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8" r:id="rId13"/>
    <sheet name="Sheet1" sheetId="79" state="hidden" r:id="rId14"/>
    <sheet name="抵押物清单（分楼）" sheetId="42" state="hidden" r:id="rId15"/>
    <sheet name="数据-汇总表" sheetId="6" r:id="rId16"/>
    <sheet name="数据-取费表" sheetId="1" r:id="rId17"/>
    <sheet name="估价对象房地状况" sheetId="20" r:id="rId18"/>
    <sheet name="系统读取表" sheetId="74" r:id="rId19"/>
    <sheet name="结果表自合并" sheetId="86" r:id="rId20"/>
    <sheet name="基准地价修正" sheetId="43" r:id="rId21"/>
    <sheet name="结果表" sheetId="9" r:id="rId22"/>
    <sheet name="成本法" sheetId="68" r:id="rId23"/>
    <sheet name="成本法 (元)" sheetId="69" state="hidden" r:id="rId24"/>
    <sheet name="假设开发法" sheetId="12" state="hidden" r:id="rId25"/>
    <sheet name="收益法" sheetId="15" r:id="rId26"/>
    <sheet name="结果表 (2)" sheetId="82" r:id="rId27"/>
    <sheet name="成本法 (2)" sheetId="81" r:id="rId28"/>
    <sheet name="收益法 (2)" sheetId="80" r:id="rId29"/>
    <sheet name="结果表 (3)" sheetId="85" r:id="rId30"/>
    <sheet name="成本法 (3)" sheetId="83" r:id="rId31"/>
    <sheet name="收益法 (3)" sheetId="84" r:id="rId32"/>
    <sheet name="收益法 (元)" sheetId="67" state="hidden" r:id="rId33"/>
    <sheet name="收益法-酒店模型" sheetId="77" state="hidden" r:id="rId34"/>
    <sheet name="收益法（汇总）" sheetId="70"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2">成本法!$A$1:$G$57</definedName>
    <definedName name="_xlnm.Print_Area" localSheetId="27">'成本法 (2)'!$A$1:$G$57</definedName>
    <definedName name="_xlnm.Print_Area" localSheetId="30">'成本法 (3)'!$A$1:$G$57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20">基准地价修正!$A$1:$J$41,基准地价修正!$A$45:$H$88,基准地价修正!$R$1:$V$16</definedName>
    <definedName name="_xlnm.Print_Area" localSheetId="24">假设开发法!$A$1:$K$32</definedName>
    <definedName name="_xlnm.Print_Area" localSheetId="21">结果表!$A$1:$I$127</definedName>
    <definedName name="_xlnm.Print_Area" localSheetId="26">'结果表 (2)'!$A$1:$I$127</definedName>
    <definedName name="_xlnm.Print_Area" localSheetId="29">'结果表 (3)'!$A$1:$I$127</definedName>
    <definedName name="_xlnm.Print_Area" localSheetId="25">收益法!$A$1:$F$43,收益法!$H$3:$M$29,收益法!$A$46:$F$71,收益法!$I$46:$N$65</definedName>
    <definedName name="_xlnm.Print_Area" localSheetId="28">'收益法 (2)'!$A$1:$F$43,'收益法 (2)'!$H$3:$M$29,'收益法 (2)'!$A$46:$F$71,'收益法 (2)'!$I$46:$N$65</definedName>
    <definedName name="_xlnm.Print_Area" localSheetId="31">'收益法 (3)'!$A$1:$F$43,'收益法 (3)'!$H$3:$M$29,'收益法 (3)'!$A$46:$F$71,'收益法 (3)'!$I$46:$N$65</definedName>
    <definedName name="_xlnm.Print_Area" localSheetId="32">'收益法 (元)'!$A$1:$F$43,'收益法 (元)'!$H$3:$M$29,'收益法 (元)'!$A$45:$F$71,'收益法 (元)'!$I$46:$N$65</definedName>
    <definedName name="_xlnm.Print_Area" localSheetId="34">'收益法（汇总）'!$A$1:$F$13</definedName>
    <definedName name="_xlnm.Print_Area" localSheetId="15">'数据-汇总表'!$A$1:$P$32</definedName>
    <definedName name="_xlnm.Print_Area" localSheetId="11">'数据-基础表'!$A$1:$I$13</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17" i="86" l="1"/>
  <c r="Q18" i="86"/>
  <c r="Q16" i="86"/>
  <c r="P18" i="86"/>
  <c r="P17" i="86"/>
  <c r="L20" i="86" l="1"/>
  <c r="L19" i="86"/>
  <c r="L18" i="86"/>
  <c r="L17" i="86"/>
  <c r="L16" i="86"/>
  <c r="L15" i="86"/>
  <c r="C7" i="86"/>
  <c r="B7" i="86"/>
  <c r="C6" i="86"/>
  <c r="B6" i="86"/>
  <c r="C5" i="86"/>
  <c r="C8" i="86" s="1"/>
  <c r="B5" i="86"/>
  <c r="B9" i="86" s="1"/>
  <c r="B8" i="86" l="1"/>
  <c r="C9" i="86"/>
  <c r="P18" i="78"/>
  <c r="P14" i="78"/>
  <c r="Q15" i="78"/>
  <c r="L10" i="78"/>
  <c r="Q14" i="78" s="1"/>
  <c r="J20" i="78"/>
  <c r="J22" i="78" s="1"/>
  <c r="A120" i="85"/>
  <c r="H111" i="85"/>
  <c r="D126" i="85" s="1"/>
  <c r="D127" i="85" s="1"/>
  <c r="E111" i="85"/>
  <c r="A126" i="85" s="1"/>
  <c r="E109" i="85"/>
  <c r="A124" i="85" s="1"/>
  <c r="E107" i="85"/>
  <c r="A122" i="85" s="1"/>
  <c r="H106" i="85"/>
  <c r="H103" i="85" s="1"/>
  <c r="D120" i="85" s="1"/>
  <c r="H105" i="85"/>
  <c r="H104" i="85"/>
  <c r="D101" i="85"/>
  <c r="C101" i="85"/>
  <c r="C91" i="85"/>
  <c r="E90" i="85"/>
  <c r="D89" i="85"/>
  <c r="C89" i="85" s="1"/>
  <c r="C87" i="85" s="1"/>
  <c r="H77" i="85"/>
  <c r="D77" i="85"/>
  <c r="C76" i="85"/>
  <c r="F59" i="85"/>
  <c r="E59" i="85"/>
  <c r="N55" i="85" s="1"/>
  <c r="F56" i="85"/>
  <c r="O55" i="85"/>
  <c r="K55" i="85"/>
  <c r="J55" i="85"/>
  <c r="I55" i="85"/>
  <c r="F55" i="85"/>
  <c r="O53" i="85" s="1"/>
  <c r="O54" i="85"/>
  <c r="N54" i="85"/>
  <c r="N53" i="85"/>
  <c r="K49" i="85"/>
  <c r="E48" i="85"/>
  <c r="N52" i="85" s="1"/>
  <c r="D48" i="85"/>
  <c r="M52" i="85" s="1"/>
  <c r="F33" i="85"/>
  <c r="D27" i="85"/>
  <c r="C25" i="85"/>
  <c r="C24" i="85"/>
  <c r="D17" i="85"/>
  <c r="C17" i="85"/>
  <c r="L4" i="85"/>
  <c r="K4" i="85"/>
  <c r="H1" i="85"/>
  <c r="Q72" i="84"/>
  <c r="Q59" i="84"/>
  <c r="K59" i="84"/>
  <c r="P74" i="84" s="1"/>
  <c r="F59" i="84"/>
  <c r="Q58" i="84"/>
  <c r="J50" i="84"/>
  <c r="M47" i="84"/>
  <c r="D46" i="84"/>
  <c r="F33" i="84"/>
  <c r="F61" i="84" s="1"/>
  <c r="F31" i="84"/>
  <c r="F23" i="84"/>
  <c r="F21" i="84"/>
  <c r="F20" i="84"/>
  <c r="M19" i="84"/>
  <c r="F18" i="84"/>
  <c r="M17" i="84"/>
  <c r="F17" i="84"/>
  <c r="F15" i="84"/>
  <c r="F38" i="83"/>
  <c r="E37" i="83"/>
  <c r="F36" i="83"/>
  <c r="F35" i="83"/>
  <c r="F21" i="83"/>
  <c r="C40" i="83" s="1"/>
  <c r="F20" i="83"/>
  <c r="F39" i="83" s="1"/>
  <c r="C19" i="83"/>
  <c r="E10" i="83"/>
  <c r="E9" i="83"/>
  <c r="F7" i="83"/>
  <c r="AM8" i="1"/>
  <c r="AK8" i="1"/>
  <c r="W8" i="1"/>
  <c r="U8" i="1"/>
  <c r="J8" i="1"/>
  <c r="J13" i="78"/>
  <c r="O5" i="78"/>
  <c r="Q5" i="78" s="1"/>
  <c r="G15" i="78"/>
  <c r="P15" i="78" s="1"/>
  <c r="G14" i="78"/>
  <c r="G13" i="78"/>
  <c r="P13" i="78" s="1"/>
  <c r="G22" i="78"/>
  <c r="G21" i="78"/>
  <c r="G20" i="78"/>
  <c r="E2" i="83"/>
  <c r="G23" i="78" l="1"/>
  <c r="P5" i="78"/>
  <c r="Q13" i="78"/>
  <c r="J21" i="78"/>
  <c r="C18" i="85"/>
  <c r="D18" i="85" s="1"/>
  <c r="K120" i="85"/>
  <c r="D121" i="85"/>
  <c r="C92" i="85"/>
  <c r="C94" i="85"/>
  <c r="H109" i="85"/>
  <c r="H112" i="85"/>
  <c r="D23" i="84"/>
  <c r="D22" i="84"/>
  <c r="D24" i="84"/>
  <c r="P61" i="84"/>
  <c r="F40" i="83"/>
  <c r="C21" i="83"/>
  <c r="F20" i="6" l="1"/>
  <c r="H23" i="78"/>
  <c r="N23" i="78"/>
  <c r="D124" i="85"/>
  <c r="D125" i="85" s="1"/>
  <c r="H110" i="85"/>
  <c r="O7" i="78"/>
  <c r="U7" i="1" l="1"/>
  <c r="Q7" i="78"/>
  <c r="P7" i="78"/>
  <c r="J52" i="15" l="1"/>
  <c r="I7" i="1"/>
  <c r="H7" i="1"/>
  <c r="H8" i="1" s="1"/>
  <c r="A120" i="82"/>
  <c r="E111" i="82"/>
  <c r="A126" i="82" s="1"/>
  <c r="E109" i="82"/>
  <c r="A124" i="82" s="1"/>
  <c r="E107" i="82"/>
  <c r="A122" i="82" s="1"/>
  <c r="H106" i="82"/>
  <c r="H105" i="82"/>
  <c r="H104" i="82"/>
  <c r="D101" i="82"/>
  <c r="C101" i="82"/>
  <c r="C91" i="82"/>
  <c r="E90" i="82"/>
  <c r="D89" i="82"/>
  <c r="C89" i="82"/>
  <c r="C87"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C17" i="82"/>
  <c r="D17" i="82"/>
  <c r="L4" i="82"/>
  <c r="K4" i="82"/>
  <c r="H1" i="82"/>
  <c r="F38" i="81"/>
  <c r="E37" i="81"/>
  <c r="F36" i="81"/>
  <c r="F35" i="81"/>
  <c r="F21" i="81"/>
  <c r="F40" i="81" s="1"/>
  <c r="F20" i="81"/>
  <c r="F39" i="81" s="1"/>
  <c r="C19" i="81"/>
  <c r="E10" i="81"/>
  <c r="E9" i="81"/>
  <c r="F7" i="81"/>
  <c r="Q72" i="80"/>
  <c r="Q59" i="80"/>
  <c r="K59" i="80"/>
  <c r="P74" i="80" s="1"/>
  <c r="F59" i="80"/>
  <c r="Q58" i="80"/>
  <c r="J50" i="80"/>
  <c r="M47" i="80"/>
  <c r="D46" i="80"/>
  <c r="F33" i="80"/>
  <c r="F61" i="80" s="1"/>
  <c r="F31" i="80"/>
  <c r="F23" i="80"/>
  <c r="D23" i="80" s="1"/>
  <c r="F21" i="80"/>
  <c r="F20" i="80"/>
  <c r="M19" i="80"/>
  <c r="F18" i="80"/>
  <c r="M17" i="80"/>
  <c r="F17" i="80"/>
  <c r="F15" i="80"/>
  <c r="AM7" i="1"/>
  <c r="AK7" i="1"/>
  <c r="V7" i="1"/>
  <c r="V8" i="1" s="1"/>
  <c r="Q7" i="1"/>
  <c r="Q8" i="1" s="1"/>
  <c r="N7" i="1"/>
  <c r="N8" i="1" s="1"/>
  <c r="L7" i="1"/>
  <c r="L8" i="1" s="1"/>
  <c r="J15" i="78"/>
  <c r="J14" i="78"/>
  <c r="E2" i="81"/>
  <c r="H103" i="82" l="1"/>
  <c r="D120" i="82" s="1"/>
  <c r="K120" i="82" s="1"/>
  <c r="H111" i="82"/>
  <c r="D126" i="82" s="1"/>
  <c r="D127" i="82" s="1"/>
  <c r="I8" i="1"/>
  <c r="J52" i="84"/>
  <c r="Q51" i="84" s="1"/>
  <c r="J52" i="80"/>
  <c r="Q51" i="80" s="1"/>
  <c r="D121" i="82"/>
  <c r="C18" i="82"/>
  <c r="D18" i="82" s="1"/>
  <c r="C92" i="82"/>
  <c r="C94" i="82"/>
  <c r="H109" i="82"/>
  <c r="H112" i="82"/>
  <c r="C21" i="81"/>
  <c r="C40" i="81"/>
  <c r="D24" i="80"/>
  <c r="P61" i="80"/>
  <c r="D22" i="80"/>
  <c r="D124" i="82" l="1"/>
  <c r="D125" i="82" s="1"/>
  <c r="H110" i="82"/>
  <c r="G18" i="78" l="1"/>
  <c r="F21" i="6" s="1"/>
  <c r="D54" i="78"/>
  <c r="D53" i="78"/>
  <c r="D42" i="78"/>
  <c r="D32" i="78"/>
  <c r="D21" i="78"/>
  <c r="D51" i="78"/>
  <c r="D50" i="78"/>
  <c r="D40" i="78"/>
  <c r="D30" i="78"/>
  <c r="D29" i="78"/>
  <c r="D18" i="78"/>
  <c r="D48" i="78"/>
  <c r="D47" i="78"/>
  <c r="D38" i="78"/>
  <c r="D37" i="78"/>
  <c r="D27" i="78"/>
  <c r="D26" i="78"/>
  <c r="D15" i="78"/>
  <c r="U2" i="43" l="1"/>
  <c r="E11" i="79"/>
  <c r="E29" i="79"/>
  <c r="E8" i="78"/>
  <c r="E24" i="79"/>
  <c r="E18" i="79"/>
  <c r="E30" i="79" l="1"/>
  <c r="G8" i="78"/>
  <c r="I13" i="3" s="1"/>
  <c r="N19" i="1"/>
  <c r="Y6" i="1"/>
  <c r="Y7" i="1" s="1"/>
  <c r="Y8" i="1" s="1"/>
  <c r="U4" i="43"/>
  <c r="U3" i="43"/>
  <c r="J8" i="78"/>
  <c r="I8" i="78"/>
  <c r="C55" i="78"/>
  <c r="D55" i="78" s="1"/>
  <c r="N7" i="78"/>
  <c r="N5" i="78"/>
  <c r="N4" i="78"/>
  <c r="N6" i="78"/>
  <c r="N3" i="78"/>
  <c r="L4" i="78"/>
  <c r="K4" i="78"/>
  <c r="C43" i="78"/>
  <c r="D43" i="78" s="1"/>
  <c r="K7" i="78"/>
  <c r="L7" i="78" s="1"/>
  <c r="C33" i="78"/>
  <c r="D33" i="78" s="1"/>
  <c r="K6" i="78"/>
  <c r="L6" i="78" s="1"/>
  <c r="C22" i="78"/>
  <c r="D22" i="78" s="1"/>
  <c r="K5" i="78"/>
  <c r="L5" i="78" s="1"/>
  <c r="Q18" i="78" s="1"/>
  <c r="K3" i="78"/>
  <c r="L3" i="78" s="1"/>
  <c r="Q22" i="78" l="1"/>
  <c r="P20" i="78"/>
  <c r="Q21" i="78"/>
  <c r="Q20" i="78"/>
  <c r="P21" i="78"/>
  <c r="P22" i="78"/>
  <c r="P23" i="78"/>
  <c r="S23" i="78" s="1"/>
  <c r="Q23" i="78"/>
  <c r="N8" i="78"/>
  <c r="G16" i="78"/>
  <c r="K8" i="78"/>
  <c r="L8" i="78" s="1"/>
  <c r="H16" i="78"/>
  <c r="A3" i="3"/>
  <c r="D3" i="4"/>
  <c r="G14" i="73"/>
  <c r="F14" i="73"/>
  <c r="E14" i="73"/>
  <c r="P16" i="78" l="1"/>
  <c r="G25" i="78"/>
  <c r="F19" i="6"/>
  <c r="Q16" i="78"/>
  <c r="S16" i="78"/>
  <c r="O3" i="78"/>
  <c r="Q3" i="78" s="1"/>
  <c r="U6" i="1"/>
  <c r="P3" i="78"/>
  <c r="D29" i="43"/>
  <c r="G13" i="73"/>
  <c r="F13" i="73"/>
  <c r="E13" i="73"/>
  <c r="O6" i="78" l="1"/>
  <c r="P6" i="78" s="1"/>
  <c r="O4" i="78"/>
  <c r="P4" i="78" s="1"/>
  <c r="AH5" i="71"/>
  <c r="AG5" i="71"/>
  <c r="AE5" i="71"/>
  <c r="AF5" i="71" s="1"/>
  <c r="AD5" i="71"/>
  <c r="Q5" i="71"/>
  <c r="P5" i="71"/>
  <c r="O5" i="71"/>
  <c r="N5" i="71"/>
  <c r="Q4" i="78" l="1"/>
  <c r="Q6"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P22" i="71"/>
  <c r="O22" i="71"/>
  <c r="N22" i="71"/>
  <c r="A2" i="53"/>
  <c r="B19" i="72" s="1"/>
  <c r="K59" i="67"/>
  <c r="P61" i="67"/>
  <c r="K59" i="15"/>
  <c r="P74" i="15" s="1"/>
  <c r="P61" i="15"/>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B65" i="72" s="1"/>
  <c r="A12" i="62"/>
  <c r="B58" i="72" s="1"/>
  <c r="A120" i="9"/>
  <c r="H2" i="52"/>
  <c r="A1" i="52"/>
  <c r="A3" i="53"/>
  <c r="Q23" i="71"/>
  <c r="P23" i="71"/>
  <c r="O23" i="71"/>
  <c r="C23" i="71" s="1"/>
  <c r="D23" i="71" s="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G9" i="43"/>
  <c r="AF9" i="43"/>
  <c r="AE9" i="43"/>
  <c r="AE12" i="43" s="1"/>
  <c r="AD9" i="43"/>
  <c r="AC9" i="43"/>
  <c r="AB9" i="43"/>
  <c r="AB12" i="43" s="1"/>
  <c r="AA9" i="43"/>
  <c r="AA12" i="43" s="1"/>
  <c r="Z9" i="43"/>
  <c r="AA10" i="43"/>
  <c r="AB10" i="43"/>
  <c r="AJ10" i="43"/>
  <c r="K49" i="9"/>
  <c r="E107" i="9"/>
  <c r="A122" i="9" s="1"/>
  <c r="A8" i="52" s="1"/>
  <c r="E111" i="9"/>
  <c r="A126" i="9" s="1"/>
  <c r="E109" i="9"/>
  <c r="A124" i="9" s="1"/>
  <c r="A10" i="52" s="1"/>
  <c r="B55" i="72" s="1"/>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B81" i="71"/>
  <c r="B80" i="71" s="1"/>
  <c r="B79" i="71" s="1"/>
  <c r="D78" i="71"/>
  <c r="Q77" i="71"/>
  <c r="P77" i="71"/>
  <c r="O77" i="71"/>
  <c r="N77" i="71"/>
  <c r="F77" i="71"/>
  <c r="V77" i="71" s="1"/>
  <c r="E77" i="7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F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B40" i="71" s="1"/>
  <c r="B41" i="71" s="1"/>
  <c r="S41" i="71" s="1"/>
  <c r="D38" i="71"/>
  <c r="Q37" i="71"/>
  <c r="P37" i="71"/>
  <c r="O37" i="71"/>
  <c r="N37" i="71"/>
  <c r="Q36" i="71"/>
  <c r="P36" i="71"/>
  <c r="AA36" i="71" s="1"/>
  <c r="O36" i="71"/>
  <c r="Y36" i="71" s="1"/>
  <c r="Z36" i="71" s="1"/>
  <c r="N36" i="71"/>
  <c r="Q35" i="71"/>
  <c r="P35" i="71"/>
  <c r="AA35" i="71" s="1"/>
  <c r="O35" i="71"/>
  <c r="Y35" i="71"/>
  <c r="Z35" i="71" s="1"/>
  <c r="N35" i="71"/>
  <c r="Q34" i="71"/>
  <c r="F35" i="71" s="1"/>
  <c r="F36" i="71" s="1"/>
  <c r="F37" i="71" s="1"/>
  <c r="V37" i="71" s="1"/>
  <c r="P34" i="71"/>
  <c r="O34" i="71"/>
  <c r="N34" i="71"/>
  <c r="D34" i="71"/>
  <c r="Q33" i="71"/>
  <c r="P33" i="71"/>
  <c r="O33" i="71"/>
  <c r="Y33" i="71"/>
  <c r="Z33" i="71" s="1"/>
  <c r="N33" i="71"/>
  <c r="Q32" i="71"/>
  <c r="AB32" i="71" s="1"/>
  <c r="P32" i="71"/>
  <c r="O32" i="71"/>
  <c r="N32" i="71"/>
  <c r="Q31" i="71"/>
  <c r="P31" i="71"/>
  <c r="O31" i="71"/>
  <c r="N31" i="71"/>
  <c r="Q30" i="71"/>
  <c r="F31" i="71" s="1"/>
  <c r="F32" i="71" s="1"/>
  <c r="P30" i="71"/>
  <c r="O30" i="71"/>
  <c r="N30" i="71"/>
  <c r="D30" i="71"/>
  <c r="Q29" i="71"/>
  <c r="P29" i="71"/>
  <c r="O29" i="71"/>
  <c r="N29" i="71"/>
  <c r="Q28" i="71"/>
  <c r="P28" i="71"/>
  <c r="O28" i="71"/>
  <c r="N28" i="71"/>
  <c r="Q27" i="71"/>
  <c r="P27" i="71"/>
  <c r="O27" i="71"/>
  <c r="Y27" i="71"/>
  <c r="Z27" i="71" s="1"/>
  <c r="N27" i="71"/>
  <c r="Q26" i="71"/>
  <c r="P26" i="71"/>
  <c r="O26" i="71"/>
  <c r="N26" i="71"/>
  <c r="D26" i="71"/>
  <c r="O25" i="71"/>
  <c r="C25" i="71" s="1"/>
  <c r="N25" i="71"/>
  <c r="B27" i="71"/>
  <c r="B28" i="71" s="1"/>
  <c r="B29" i="71"/>
  <c r="S29" i="71" s="1"/>
  <c r="B31" i="71"/>
  <c r="B32" i="71" s="1"/>
  <c r="X30" i="71"/>
  <c r="E35" i="71"/>
  <c r="E31" i="71"/>
  <c r="E32" i="71" s="1"/>
  <c r="E33" i="71" s="1"/>
  <c r="U33" i="71" s="1"/>
  <c r="C31" i="71"/>
  <c r="C32" i="71" s="1"/>
  <c r="D32" i="71" s="1"/>
  <c r="D31" i="71"/>
  <c r="P25" i="71"/>
  <c r="E25" i="71" s="1"/>
  <c r="V25" i="71" s="1"/>
  <c r="Q25" i="71"/>
  <c r="D59" i="71"/>
  <c r="T65" i="71"/>
  <c r="D65" i="71"/>
  <c r="Q65" i="71"/>
  <c r="D69" i="71"/>
  <c r="C72" i="71"/>
  <c r="D72" i="71" s="1"/>
  <c r="D73" i="71"/>
  <c r="D77" i="71"/>
  <c r="C84" i="71"/>
  <c r="C24" i="71"/>
  <c r="F25" i="71"/>
  <c r="F24" i="71" s="1"/>
  <c r="F23" i="71" s="1"/>
  <c r="E24" i="71"/>
  <c r="E23" i="71" s="1"/>
  <c r="C71" i="71"/>
  <c r="D71" i="71" s="1"/>
  <c r="C33" i="71"/>
  <c r="T33" i="71" s="1"/>
  <c r="D24" i="71"/>
  <c r="D3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c r="D81" i="21"/>
  <c r="G20" i="20"/>
  <c r="C22" i="20"/>
  <c r="B75" i="43" s="1"/>
  <c r="B55" i="43"/>
  <c r="S25" i="40"/>
  <c r="S18" i="36"/>
  <c r="U18" i="36"/>
  <c r="H25" i="40"/>
  <c r="J25" i="40"/>
  <c r="AC25" i="40" s="1"/>
  <c r="H29" i="39"/>
  <c r="AB29" i="39" s="1"/>
  <c r="J29" i="39"/>
  <c r="AC29" i="39" s="1"/>
  <c r="J18" i="36"/>
  <c r="AC18" i="36" s="1"/>
  <c r="H18" i="35"/>
  <c r="AB18" i="35" s="1"/>
  <c r="J18" i="35"/>
  <c r="AC18" i="35" s="1"/>
  <c r="H21" i="37"/>
  <c r="F21" i="37"/>
  <c r="AA21" i="37" s="1"/>
  <c r="H21" i="34"/>
  <c r="H21" i="33"/>
  <c r="U21" i="33" s="1"/>
  <c r="F21" i="33"/>
  <c r="S21" i="21"/>
  <c r="H1" i="69"/>
  <c r="W25" i="40"/>
  <c r="U29" i="39"/>
  <c r="W29" i="39"/>
  <c r="W18" i="36"/>
  <c r="S21" i="37"/>
  <c r="AB21" i="33"/>
  <c r="U18" i="35"/>
  <c r="W18" i="35"/>
  <c r="J21" i="37"/>
  <c r="AC21" i="37" s="1"/>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1"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F8" i="1" s="1"/>
  <c r="G8" i="1" s="1"/>
  <c r="D15" i="4"/>
  <c r="F7" i="1"/>
  <c r="G7" i="1" s="1"/>
  <c r="L21" i="4"/>
  <c r="F19" i="4"/>
  <c r="F2" i="52"/>
  <c r="B50" i="72" s="1"/>
  <c r="D2" i="52"/>
  <c r="B46" i="72" s="1"/>
  <c r="B8" i="53"/>
  <c r="B23" i="72" s="1"/>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W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G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H31" i="39" s="1"/>
  <c r="AB31" i="39" s="1"/>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AC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AB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U9" i="39"/>
  <c r="W25" i="37"/>
  <c r="U30" i="37"/>
  <c r="W31" i="37"/>
  <c r="U14" i="37"/>
  <c r="F29" i="36"/>
  <c r="AA29" i="36"/>
  <c r="F16" i="36"/>
  <c r="AA16" i="36" s="1"/>
  <c r="W28" i="36"/>
  <c r="S30" i="36"/>
  <c r="AC31" i="36"/>
  <c r="W31" i="36"/>
  <c r="U31" i="36"/>
  <c r="J33" i="36"/>
  <c r="W33" i="36"/>
  <c r="H22" i="35"/>
  <c r="AB22" i="35"/>
  <c r="AC27" i="35"/>
  <c r="W28" i="35"/>
  <c r="W22" i="35"/>
  <c r="S31" i="35"/>
  <c r="F36" i="34"/>
  <c r="J35" i="34"/>
  <c r="S34" i="34"/>
  <c r="U34" i="34"/>
  <c r="H39" i="33"/>
  <c r="AB39" i="33" s="1"/>
  <c r="F26" i="33"/>
  <c r="AA26" i="33" s="1"/>
  <c r="S9" i="33"/>
  <c r="U35" i="33"/>
  <c r="W33" i="33"/>
  <c r="H39" i="37"/>
  <c r="AB39" i="37" s="1"/>
  <c r="S27" i="35"/>
  <c r="F11" i="40"/>
  <c r="AA11" i="40" s="1"/>
  <c r="H11" i="40"/>
  <c r="AB11" i="40" s="1"/>
  <c r="AC40" i="40"/>
  <c r="AA9" i="40"/>
  <c r="AC9" i="40"/>
  <c r="U9" i="40"/>
  <c r="S34" i="40"/>
  <c r="U38" i="40"/>
  <c r="S40" i="40"/>
  <c r="W31"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6"/>
  <c r="AB11" i="35"/>
  <c r="J10" i="36"/>
  <c r="AC10" i="36" s="1"/>
  <c r="AB26" i="33"/>
  <c r="AA14" i="37"/>
  <c r="W31" i="34"/>
  <c r="AC13" i="36"/>
  <c r="S11" i="36"/>
  <c r="W11" i="35"/>
  <c r="AC30" i="34"/>
  <c r="S45" i="33"/>
  <c r="AB31" i="33"/>
  <c r="W29" i="33"/>
  <c r="AC28" i="21"/>
  <c r="S44" i="34"/>
  <c r="BA586" i="3"/>
  <c r="BA585" i="3"/>
  <c r="F17" i="21"/>
  <c r="AA17" i="21" s="1"/>
  <c r="H17" i="21"/>
  <c r="AB17" i="21" s="1"/>
  <c r="F15" i="21"/>
  <c r="S15" i="21" s="1"/>
  <c r="AB11" i="21"/>
  <c r="J41" i="39"/>
  <c r="W41" i="39"/>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C31" i="33"/>
  <c r="AC45" i="33"/>
  <c r="W44" i="33"/>
  <c r="U11" i="33"/>
  <c r="U19" i="21"/>
  <c r="U26" i="21"/>
  <c r="U12"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S42" i="39"/>
  <c r="AA41" i="39"/>
  <c r="W9" i="39"/>
  <c r="W8" i="39"/>
  <c r="J19" i="40"/>
  <c r="AC19" i="40" s="1"/>
  <c r="J50" i="40"/>
  <c r="B54" i="72"/>
  <c r="H103" i="9"/>
  <c r="D8" i="53" s="1"/>
  <c r="B16" i="53"/>
  <c r="B33" i="72" s="1"/>
  <c r="C7" i="37"/>
  <c r="C52" i="37" s="1"/>
  <c r="D52" i="37" s="1"/>
  <c r="C7" i="36"/>
  <c r="C46" i="36" s="1"/>
  <c r="D46" i="36" s="1"/>
  <c r="E46" i="36" s="1"/>
  <c r="F46" i="36" s="1"/>
  <c r="G46" i="36" s="1"/>
  <c r="H46" i="36" s="1"/>
  <c r="I46" i="36" s="1"/>
  <c r="W35" i="40"/>
  <c r="J11" i="39"/>
  <c r="W11" i="39" s="1"/>
  <c r="F11" i="39"/>
  <c r="AA11" i="39" s="1"/>
  <c r="A12" i="52"/>
  <c r="B56" i="72" s="1"/>
  <c r="S11" i="39"/>
  <c r="G4" i="4"/>
  <c r="I4" i="4"/>
  <c r="F59" i="43"/>
  <c r="H62" i="43" s="1"/>
  <c r="AZ20"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1" i="3"/>
  <c r="AZ59" i="3"/>
  <c r="AZ63" i="3"/>
  <c r="AZ67"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AZ392" i="3" s="1"/>
  <c r="G393" i="3"/>
  <c r="AZ275" i="3"/>
  <c r="AZ287" i="3"/>
  <c r="AZ295" i="3"/>
  <c r="AZ299" i="3"/>
  <c r="BO5" i="3"/>
  <c r="BM5" i="3"/>
  <c r="F29" i="6" s="1"/>
  <c r="BJ5" i="3"/>
  <c r="BH5" i="3"/>
  <c r="BF5" i="3"/>
  <c r="BD5" i="3"/>
  <c r="BQ5" i="3"/>
  <c r="F28" i="6" s="1"/>
  <c r="F30" i="6" s="1"/>
  <c r="AZ549" i="3"/>
  <c r="AZ496" i="3"/>
  <c r="G548" i="3"/>
  <c r="G538" i="3"/>
  <c r="G520" i="3"/>
  <c r="G502" i="3"/>
  <c r="BS5" i="3"/>
  <c r="BP5" i="3"/>
  <c r="BN5" i="3"/>
  <c r="AZ343" i="3"/>
  <c r="BK5" i="3"/>
  <c r="BI5" i="3"/>
  <c r="BG5" i="3"/>
  <c r="BE5" i="3"/>
  <c r="BC5" i="3"/>
  <c r="G17" i="3"/>
  <c r="BA17" i="3"/>
  <c r="BT5" i="3"/>
  <c r="AZ350" i="3"/>
  <c r="AZ352" i="3"/>
  <c r="BA15" i="3"/>
  <c r="AZ15" i="3"/>
  <c r="BR5" i="3"/>
  <c r="AZ380" i="3"/>
  <c r="G509" i="3"/>
  <c r="BL493" i="3"/>
  <c r="AZ491" i="3"/>
  <c r="AZ390" i="3"/>
  <c r="U36" i="40"/>
  <c r="F36" i="43"/>
  <c r="F81" i="43"/>
  <c r="H83" i="43" s="1"/>
  <c r="H113" i="43"/>
  <c r="F70" i="43"/>
  <c r="H73" i="43" s="1"/>
  <c r="M11" i="43"/>
  <c r="D17" i="43"/>
  <c r="F39" i="43"/>
  <c r="I17" i="43"/>
  <c r="F35" i="43"/>
  <c r="J17" i="43"/>
  <c r="F6" i="1"/>
  <c r="I20" i="43" s="1"/>
  <c r="U17" i="39"/>
  <c r="S14" i="35"/>
  <c r="U43" i="21"/>
  <c r="U35" i="21"/>
  <c r="AC35" i="21"/>
  <c r="U10" i="21"/>
  <c r="G9"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H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E97" i="39"/>
  <c r="F97" i="39" s="1"/>
  <c r="G97" i="39" s="1"/>
  <c r="AZ353" i="3"/>
  <c r="AZ386" i="3"/>
  <c r="C40" i="11"/>
  <c r="AZ223" i="3"/>
  <c r="AZ235" i="3"/>
  <c r="AZ240" i="3"/>
  <c r="AZ251" i="3"/>
  <c r="AZ256" i="3"/>
  <c r="AZ268" i="3"/>
  <c r="AZ271" i="3"/>
  <c r="AZ296" i="3"/>
  <c r="AZ117" i="3"/>
  <c r="AZ133" i="3"/>
  <c r="AZ21" i="3"/>
  <c r="AZ37" i="3"/>
  <c r="AZ45" i="3"/>
  <c r="AZ61" i="3"/>
  <c r="AZ72" i="3"/>
  <c r="F23" i="39"/>
  <c r="AA23" i="39" s="1"/>
  <c r="H27" i="36"/>
  <c r="U27" i="36" s="1"/>
  <c r="F27" i="36"/>
  <c r="AA27" i="36" s="1"/>
  <c r="H33" i="34"/>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K6" i="1"/>
  <c r="M6" i="1" s="1"/>
  <c r="O6" i="1" s="1"/>
  <c r="G29" i="6"/>
  <c r="AC26" i="33"/>
  <c r="W26" i="33"/>
  <c r="W27" i="34"/>
  <c r="AC27" i="34"/>
  <c r="AB34" i="36"/>
  <c r="U34" i="36"/>
  <c r="AB33" i="36"/>
  <c r="U33" i="36"/>
  <c r="AC12" i="39"/>
  <c r="AC39" i="40"/>
  <c r="AZ401" i="3"/>
  <c r="AZ412" i="3"/>
  <c r="AZ417" i="3"/>
  <c r="W12" i="33"/>
  <c r="AA32" i="36"/>
  <c r="S32" i="36"/>
  <c r="AZ441" i="3"/>
  <c r="AA39" i="34"/>
  <c r="BL14" i="3"/>
  <c r="AZ266" i="3"/>
  <c r="U30" i="33"/>
  <c r="AC13" i="34"/>
  <c r="AA47" i="34"/>
  <c r="W28" i="37"/>
  <c r="S19" i="39"/>
  <c r="F12" i="33"/>
  <c r="H12" i="39"/>
  <c r="AB12" i="39" s="1"/>
  <c r="F39" i="40"/>
  <c r="BA14" i="3"/>
  <c r="AZ14" i="3" s="1"/>
  <c r="AZ367" i="3"/>
  <c r="AZ224" i="3"/>
  <c r="AZ238" i="3"/>
  <c r="AZ254" i="3"/>
  <c r="AZ297" i="3"/>
  <c r="AZ157" i="3"/>
  <c r="AZ173" i="3"/>
  <c r="AZ189" i="3"/>
  <c r="AZ19" i="3"/>
  <c r="AZ35" i="3"/>
  <c r="AZ41" i="3"/>
  <c r="S12" i="1"/>
  <c r="AQ12" i="1" s="1"/>
  <c r="R12" i="1"/>
  <c r="B12" i="1"/>
  <c r="E12" i="1" s="1"/>
  <c r="S10" i="1"/>
  <c r="AQ10" i="1" s="1"/>
  <c r="R10" i="1"/>
  <c r="B10" i="1"/>
  <c r="E10" i="1" s="1"/>
  <c r="AZ88" i="3"/>
  <c r="AZ107" i="3"/>
  <c r="K12" i="1"/>
  <c r="M12" i="1" s="1"/>
  <c r="S13" i="1"/>
  <c r="AR13" i="1" s="1"/>
  <c r="R13" i="1"/>
  <c r="S11" i="1"/>
  <c r="R11" i="1"/>
  <c r="S9" i="1"/>
  <c r="AR9" i="1" s="1"/>
  <c r="R9" i="1"/>
  <c r="J51" i="67"/>
  <c r="H100" i="43"/>
  <c r="AC34" i="33"/>
  <c r="B41" i="1"/>
  <c r="S22" i="31"/>
  <c r="J100" i="43"/>
  <c r="AB37" i="40"/>
  <c r="S35" i="40"/>
  <c r="U35" i="40"/>
  <c r="S17" i="40"/>
  <c r="S23" i="40"/>
  <c r="AC17" i="40"/>
  <c r="AC15" i="40"/>
  <c r="S30" i="40"/>
  <c r="S28" i="40"/>
  <c r="U21" i="40"/>
  <c r="AB19" i="40"/>
  <c r="W42" i="39"/>
  <c r="U37" i="39"/>
  <c r="S43" i="39"/>
  <c r="S37" i="39"/>
  <c r="U35" i="39"/>
  <c r="F32" i="39"/>
  <c r="F107" i="39"/>
  <c r="G107" i="39" s="1"/>
  <c r="U25" i="39"/>
  <c r="AB27" i="39"/>
  <c r="U31" i="39"/>
  <c r="J21" i="39"/>
  <c r="W21" i="39" s="1"/>
  <c r="F21" i="39"/>
  <c r="H21" i="39"/>
  <c r="U21" i="39" s="1"/>
  <c r="W19" i="39"/>
  <c r="U19" i="39"/>
  <c r="S17" i="39"/>
  <c r="AC15" i="39"/>
  <c r="AB15" i="39"/>
  <c r="AA12" i="39"/>
  <c r="S9" i="39"/>
  <c r="U14" i="39"/>
  <c r="AC13" i="39"/>
  <c r="U13" i="36"/>
  <c r="AC27" i="36"/>
  <c r="U26" i="36"/>
  <c r="S33" i="36"/>
  <c r="S27" i="36"/>
  <c r="AA26" i="36"/>
  <c r="AA34" i="36"/>
  <c r="S29" i="36"/>
  <c r="AC26" i="36"/>
  <c r="AA22" i="36"/>
  <c r="W14" i="36"/>
  <c r="AB14" i="36"/>
  <c r="U22" i="36"/>
  <c r="S16" i="36"/>
  <c r="AA25" i="36"/>
  <c r="S24"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G79" i="37" s="1"/>
  <c r="F23" i="37"/>
  <c r="S23" i="37"/>
  <c r="U23" i="37"/>
  <c r="U15" i="37"/>
  <c r="AC13" i="37"/>
  <c r="U9" i="37"/>
  <c r="AA13" i="37"/>
  <c r="AA12"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U41" i="33" s="1"/>
  <c r="F121" i="33"/>
  <c r="G121" i="33" s="1"/>
  <c r="H121" i="33" s="1"/>
  <c r="I121" i="33" s="1"/>
  <c r="J121" i="33" s="1"/>
  <c r="K121" i="33" s="1"/>
  <c r="L121" i="33" s="1"/>
  <c r="M121" i="33" s="1"/>
  <c r="U42" i="33"/>
  <c r="S42" i="33"/>
  <c r="F36" i="33"/>
  <c r="S36" i="33" s="1"/>
  <c r="J35" i="33"/>
  <c r="S37" i="33"/>
  <c r="AA37" i="33"/>
  <c r="S39" i="33"/>
  <c r="J32" i="33"/>
  <c r="S46" i="33"/>
  <c r="S43" i="33"/>
  <c r="F91" i="33"/>
  <c r="H27" i="33"/>
  <c r="U27" i="33" s="1"/>
  <c r="H25" i="33"/>
  <c r="F25" i="33"/>
  <c r="AA25" i="33" s="1"/>
  <c r="J23" i="33"/>
  <c r="H23" i="33"/>
  <c r="U23" i="33" s="1"/>
  <c r="F19" i="33"/>
  <c r="S19" i="33" s="1"/>
  <c r="W19" i="33"/>
  <c r="J17" i="33"/>
  <c r="S15" i="33"/>
  <c r="W15" i="33"/>
  <c r="U9"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F34" i="67"/>
  <c r="F62" i="67" s="1"/>
  <c r="M20" i="67"/>
  <c r="F34" i="15"/>
  <c r="F62" i="15"/>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s="1"/>
  <c r="E81" i="43"/>
  <c r="B79" i="43" s="1"/>
  <c r="E70" i="43"/>
  <c r="B68" i="43" s="1"/>
  <c r="F100" i="43"/>
  <c r="H17" i="43"/>
  <c r="G6" i="1"/>
  <c r="H81" i="43"/>
  <c r="H88" i="43"/>
  <c r="H78" i="43"/>
  <c r="H71" i="43"/>
  <c r="C17" i="43"/>
  <c r="F33" i="43"/>
  <c r="K17" i="43"/>
  <c r="F34" i="43"/>
  <c r="N6" i="43"/>
  <c r="F48" i="43" s="1"/>
  <c r="N3" i="43"/>
  <c r="F38" i="43"/>
  <c r="F37" i="43"/>
  <c r="N5" i="43"/>
  <c r="B19" i="53"/>
  <c r="B37" i="72" s="1"/>
  <c r="C7" i="39"/>
  <c r="C68" i="39" s="1"/>
  <c r="C7" i="35"/>
  <c r="C48" i="35" s="1"/>
  <c r="D48" i="35" s="1"/>
  <c r="C7" i="21"/>
  <c r="C58" i="21" s="1"/>
  <c r="M47" i="9"/>
  <c r="C4" i="12"/>
  <c r="H65" i="43"/>
  <c r="H63"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AC15" i="21"/>
  <c r="U13" i="21"/>
  <c r="AB13" i="21"/>
  <c r="W8" i="21"/>
  <c r="S35" i="21"/>
  <c r="AB37" i="21"/>
  <c r="J37" i="21"/>
  <c r="H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K141" i="21"/>
  <c r="K144" i="21"/>
  <c r="K143" i="21"/>
  <c r="U27" i="21"/>
  <c r="AB25" i="21"/>
  <c r="AB44" i="21"/>
  <c r="AA30" i="21"/>
  <c r="W13" i="21"/>
  <c r="W42" i="21"/>
  <c r="F10" i="21"/>
  <c r="K145" i="21"/>
  <c r="W25" i="21"/>
  <c r="AA29" i="21"/>
  <c r="W31" i="21"/>
  <c r="S27" i="21"/>
  <c r="S17" i="21"/>
  <c r="AA15" i="21"/>
  <c r="AC26" i="21"/>
  <c r="AB29" i="21"/>
  <c r="S28" i="21"/>
  <c r="AC34" i="21"/>
  <c r="W10" i="21"/>
  <c r="W12" i="21"/>
  <c r="AB36" i="21"/>
  <c r="W30" i="40"/>
  <c r="C19" i="39"/>
  <c r="C15" i="40"/>
  <c r="C17" i="40"/>
  <c r="C23" i="40"/>
  <c r="C21" i="40"/>
  <c r="U30" i="40"/>
  <c r="B65" i="43"/>
  <c r="B52" i="43"/>
  <c r="B56" i="43"/>
  <c r="B60" i="43"/>
  <c r="B63" i="43"/>
  <c r="B67" i="43"/>
  <c r="D23" i="15"/>
  <c r="D22" i="15"/>
  <c r="E4" i="4"/>
  <c r="B5" i="62" s="1"/>
  <c r="B73" i="72" s="1"/>
  <c r="C4" i="4"/>
  <c r="F30" i="11"/>
  <c r="C48" i="11" s="1"/>
  <c r="AA39" i="40"/>
  <c r="S39" i="40"/>
  <c r="S12" i="33"/>
  <c r="AA12" i="33"/>
  <c r="J32" i="39"/>
  <c r="H107" i="39"/>
  <c r="I107" i="39" s="1"/>
  <c r="J107" i="39" s="1"/>
  <c r="K107" i="39" s="1"/>
  <c r="L107" i="39" s="1"/>
  <c r="M107" i="39" s="1"/>
  <c r="H32" i="39"/>
  <c r="AA32" i="39"/>
  <c r="S32" i="39"/>
  <c r="AB21" i="39"/>
  <c r="AA21" i="39"/>
  <c r="S21" i="39"/>
  <c r="AC21" i="39"/>
  <c r="S26" i="35"/>
  <c r="AB9" i="35"/>
  <c r="AA9" i="35"/>
  <c r="S9" i="35"/>
  <c r="AC26" i="35"/>
  <c r="W26" i="35"/>
  <c r="U26" i="35"/>
  <c r="AC17" i="37"/>
  <c r="S17" i="37"/>
  <c r="J19" i="37"/>
  <c r="G75" i="37"/>
  <c r="S19" i="37"/>
  <c r="AA19" i="37"/>
  <c r="AA23" i="37"/>
  <c r="J23" i="37"/>
  <c r="J10" i="37"/>
  <c r="W10" i="37" s="1"/>
  <c r="I60" i="37"/>
  <c r="G63" i="37"/>
  <c r="H63" i="37" s="1"/>
  <c r="I63" i="37" s="1"/>
  <c r="J63" i="37" s="1"/>
  <c r="K63" i="37" s="1"/>
  <c r="L63" i="37" s="1"/>
  <c r="M63" i="37" s="1"/>
  <c r="H11" i="37"/>
  <c r="AB10" i="37"/>
  <c r="G70" i="34"/>
  <c r="H11" i="34"/>
  <c r="AB10" i="34"/>
  <c r="J10" i="34"/>
  <c r="AC10" i="34" s="1"/>
  <c r="I67" i="34"/>
  <c r="AB41" i="33"/>
  <c r="W35" i="33"/>
  <c r="AC35" i="33"/>
  <c r="I111" i="33"/>
  <c r="J111" i="33" s="1"/>
  <c r="K111" i="33" s="1"/>
  <c r="L111" i="33" s="1"/>
  <c r="M111" i="33" s="1"/>
  <c r="J36" i="33"/>
  <c r="H36" i="33"/>
  <c r="AA36" i="33"/>
  <c r="AC32" i="33"/>
  <c r="W32" i="33"/>
  <c r="AB27" i="33"/>
  <c r="G91" i="33"/>
  <c r="H91" i="33"/>
  <c r="I91" i="33" s="1"/>
  <c r="J91" i="33" s="1"/>
  <c r="K91" i="33" s="1"/>
  <c r="L91" i="33" s="1"/>
  <c r="M91" i="33" s="1"/>
  <c r="J27" i="33"/>
  <c r="U25" i="33"/>
  <c r="AB25" i="33"/>
  <c r="S25" i="33"/>
  <c r="H87" i="33"/>
  <c r="I87" i="33" s="1"/>
  <c r="J87" i="33" s="1"/>
  <c r="K87" i="33" s="1"/>
  <c r="L87" i="33" s="1"/>
  <c r="M87" i="33" s="1"/>
  <c r="J25" i="33"/>
  <c r="AB23" i="33"/>
  <c r="F23" i="33"/>
  <c r="G85" i="33"/>
  <c r="AC23" i="33"/>
  <c r="W23" i="33"/>
  <c r="AA19" i="33"/>
  <c r="H19" i="33"/>
  <c r="G79" i="33"/>
  <c r="H17" i="33"/>
  <c r="F17" i="33"/>
  <c r="S17" i="33" s="1"/>
  <c r="W17" i="33"/>
  <c r="AC17" i="33"/>
  <c r="U10" i="33"/>
  <c r="AB10" i="33"/>
  <c r="W10" i="33"/>
  <c r="U33" i="21"/>
  <c r="S37" i="21"/>
  <c r="AA23" i="21"/>
  <c r="J23" i="21"/>
  <c r="W23" i="21" s="1"/>
  <c r="G85" i="21"/>
  <c r="H23" i="21"/>
  <c r="S13" i="21"/>
  <c r="R22" i="31"/>
  <c r="AP7" i="1"/>
  <c r="AB45" i="21"/>
  <c r="S33" i="21"/>
  <c r="AA33" i="21"/>
  <c r="AC32" i="21"/>
  <c r="AB9" i="21"/>
  <c r="U9" i="21"/>
  <c r="AA32" i="21"/>
  <c r="S32" i="21"/>
  <c r="W9" i="21"/>
  <c r="AC9" i="21"/>
  <c r="AB32" i="21"/>
  <c r="U32" i="21"/>
  <c r="AA10" i="21"/>
  <c r="S10" i="21"/>
  <c r="U32" i="39"/>
  <c r="AB32" i="39"/>
  <c r="AC32" i="39"/>
  <c r="W32" i="39"/>
  <c r="W19" i="37"/>
  <c r="AC19" i="37"/>
  <c r="W23" i="37"/>
  <c r="AC23" i="37"/>
  <c r="AB11" i="37"/>
  <c r="U11" i="37"/>
  <c r="J11" i="37"/>
  <c r="W11" i="37" s="1"/>
  <c r="AC10" i="37"/>
  <c r="U11" i="34"/>
  <c r="AB11"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11" i="37"/>
  <c r="W11" i="34"/>
  <c r="AC11" i="34"/>
  <c r="F34" i="11"/>
  <c r="F11" i="12"/>
  <c r="C23" i="12" s="1"/>
  <c r="F34" i="68"/>
  <c r="AG6" i="1"/>
  <c r="H109" i="9"/>
  <c r="H110" i="9"/>
  <c r="D18" i="53" s="1"/>
  <c r="B35" i="72" s="1"/>
  <c r="D124" i="9"/>
  <c r="H14" i="74" s="1"/>
  <c r="B7" i="74" s="1"/>
  <c r="D16" i="53"/>
  <c r="B34" i="72" s="1"/>
  <c r="D10" i="52"/>
  <c r="D125" i="9"/>
  <c r="D11" i="52" s="1"/>
  <c r="H112" i="9"/>
  <c r="D21" i="53" s="1"/>
  <c r="B39" i="72" s="1"/>
  <c r="H111" i="9"/>
  <c r="D126" i="9" s="1"/>
  <c r="I14" i="74" s="1"/>
  <c r="B8" i="74" s="1"/>
  <c r="AD3" i="71"/>
  <c r="J1" i="73"/>
  <c r="H77" i="43"/>
  <c r="H76" i="43"/>
  <c r="H59" i="43"/>
  <c r="H61" i="43"/>
  <c r="M5" i="43"/>
  <c r="N11" i="43"/>
  <c r="M2" i="43"/>
  <c r="H70" i="43"/>
  <c r="N9" i="43"/>
  <c r="N10" i="43"/>
  <c r="H74" i="43"/>
  <c r="N7" i="43"/>
  <c r="N2" i="43"/>
  <c r="N17" i="43"/>
  <c r="L17" i="43"/>
  <c r="O17" i="43"/>
  <c r="M17" i="43"/>
  <c r="E17" i="43"/>
  <c r="AB19" i="71"/>
  <c r="X17" i="71"/>
  <c r="X16" i="71"/>
  <c r="AA17" i="71"/>
  <c r="AA16" i="71"/>
  <c r="X20" i="71"/>
  <c r="Y16" i="71"/>
  <c r="Z16" i="71" s="1"/>
  <c r="AB17" i="71"/>
  <c r="AB16" i="71"/>
  <c r="C94" i="9"/>
  <c r="C92" i="9"/>
  <c r="Y17" i="71"/>
  <c r="Z17" i="71" s="1"/>
  <c r="X3" i="71"/>
  <c r="M27" i="15"/>
  <c r="M9" i="67"/>
  <c r="D7" i="73"/>
  <c r="B9" i="76"/>
  <c r="F38" i="15"/>
  <c r="M22" i="67"/>
  <c r="D2" i="33"/>
  <c r="F37" i="15"/>
  <c r="F9" i="15"/>
  <c r="E12" i="76"/>
  <c r="E2" i="68"/>
  <c r="B12" i="76"/>
  <c r="E8" i="76"/>
  <c r="M29" i="67"/>
  <c r="F9" i="67"/>
  <c r="F42" i="15"/>
  <c r="AO10" i="1"/>
  <c r="L48" i="67"/>
  <c r="F20" i="31"/>
  <c r="M29" i="15"/>
  <c r="B11" i="76"/>
  <c r="D2" i="35"/>
  <c r="F37" i="67"/>
  <c r="F40" i="67"/>
  <c r="M6" i="67"/>
  <c r="J15" i="67"/>
  <c r="AO11" i="1"/>
  <c r="E2" i="69"/>
  <c r="AO12" i="1"/>
  <c r="D2" i="34"/>
  <c r="B8" i="76"/>
  <c r="E11" i="76"/>
  <c r="F8" i="15"/>
  <c r="F36" i="15"/>
  <c r="F13" i="67"/>
  <c r="F6" i="15"/>
  <c r="D5" i="73"/>
  <c r="D6" i="73"/>
  <c r="F43" i="67"/>
  <c r="F16" i="67"/>
  <c r="M24" i="67"/>
  <c r="F7" i="67"/>
  <c r="F36" i="67"/>
  <c r="D2" i="37"/>
  <c r="M9" i="15"/>
  <c r="F38" i="67"/>
  <c r="F8" i="67"/>
  <c r="F43" i="15"/>
  <c r="L48" i="15"/>
  <c r="M28" i="67"/>
  <c r="F13" i="15"/>
  <c r="E10" i="76"/>
  <c r="B13" i="76"/>
  <c r="AO13" i="1"/>
  <c r="F26" i="67"/>
  <c r="M27" i="67"/>
  <c r="M26" i="15"/>
  <c r="F3" i="73"/>
  <c r="F7" i="73"/>
  <c r="M26" i="67"/>
  <c r="F4" i="73"/>
  <c r="M23" i="67"/>
  <c r="F6" i="67"/>
  <c r="F5" i="73"/>
  <c r="L47" i="15"/>
  <c r="J15" i="15"/>
  <c r="B10" i="76"/>
  <c r="AO9" i="1"/>
  <c r="M6" i="15"/>
  <c r="F16" i="15"/>
  <c r="C76" i="67"/>
  <c r="D2" i="36"/>
  <c r="E7" i="76"/>
  <c r="F6" i="73"/>
  <c r="E9" i="76"/>
  <c r="F7" i="15"/>
  <c r="M8" i="15"/>
  <c r="F40" i="15"/>
  <c r="M22" i="15"/>
  <c r="E13" i="76"/>
  <c r="B7" i="76"/>
  <c r="F42" i="67"/>
  <c r="L47" i="67"/>
  <c r="M28" i="15"/>
  <c r="M8" i="67"/>
  <c r="D2" i="21"/>
  <c r="D4" i="73"/>
  <c r="C76" i="15"/>
  <c r="F26" i="15"/>
  <c r="M24" i="15"/>
  <c r="D3" i="73"/>
  <c r="M23" i="15"/>
  <c r="D19" i="53" l="1"/>
  <c r="B38" i="72" s="1"/>
  <c r="AC23" i="21"/>
  <c r="W33" i="21"/>
  <c r="W17" i="21"/>
  <c r="U15" i="21"/>
  <c r="AB15" i="21"/>
  <c r="AZ13" i="3"/>
  <c r="D121" i="9"/>
  <c r="D7" i="52" s="1"/>
  <c r="D6" i="52"/>
  <c r="AC39" i="39"/>
  <c r="W39" i="39"/>
  <c r="U20" i="35"/>
  <c r="AB20" i="35"/>
  <c r="U20" i="36"/>
  <c r="AB20" i="36"/>
  <c r="W27" i="21"/>
  <c r="AC27" i="21"/>
  <c r="AA28" i="34"/>
  <c r="S28" i="34"/>
  <c r="AC32" i="40"/>
  <c r="W32" i="40"/>
  <c r="AA38" i="40"/>
  <c r="S38" i="40"/>
  <c r="S36" i="39"/>
  <c r="AA36" i="39"/>
  <c r="W37" i="21"/>
  <c r="AC37" i="21"/>
  <c r="AQ11" i="1"/>
  <c r="T11" i="1"/>
  <c r="U33" i="34"/>
  <c r="AB33" i="34"/>
  <c r="S39" i="39"/>
  <c r="AA39" i="39"/>
  <c r="S40" i="34"/>
  <c r="AA40" i="34"/>
  <c r="U34" i="33"/>
  <c r="AB34" i="33"/>
  <c r="E29" i="6"/>
  <c r="K15" i="1" s="1"/>
  <c r="AC39" i="37"/>
  <c r="W39" i="37"/>
  <c r="AZ581" i="3"/>
  <c r="BA551" i="3"/>
  <c r="BL550" i="3"/>
  <c r="BA550" i="3"/>
  <c r="M20" i="15"/>
  <c r="M20" i="84"/>
  <c r="F34" i="84"/>
  <c r="F62" i="84" s="1"/>
  <c r="F34" i="80"/>
  <c r="F62" i="80" s="1"/>
  <c r="M20" i="80"/>
  <c r="I4" i="6"/>
  <c r="M18" i="85"/>
  <c r="B118" i="85" s="1"/>
  <c r="B16" i="74" s="1"/>
  <c r="F34" i="83"/>
  <c r="F34" i="81"/>
  <c r="G41" i="69"/>
  <c r="G41" i="83"/>
  <c r="G22" i="83"/>
  <c r="G41" i="81"/>
  <c r="G22" i="81"/>
  <c r="AZ402" i="3"/>
  <c r="AZ406" i="3"/>
  <c r="AZ419" i="3"/>
  <c r="AZ438" i="3"/>
  <c r="AZ443" i="3"/>
  <c r="X25" i="71"/>
  <c r="B25" i="71"/>
  <c r="Y26" i="71"/>
  <c r="Z26" i="71" s="1"/>
  <c r="Y25" i="71"/>
  <c r="Z25" i="71" s="1"/>
  <c r="C27" i="71"/>
  <c r="Y23" i="71"/>
  <c r="Z23" i="71" s="1"/>
  <c r="F27" i="71"/>
  <c r="F28" i="71" s="1"/>
  <c r="F29" i="71" s="1"/>
  <c r="V29" i="71" s="1"/>
  <c r="AB25" i="71"/>
  <c r="AA3" i="71"/>
  <c r="AA27" i="71"/>
  <c r="Y34" i="71"/>
  <c r="Z34" i="71" s="1"/>
  <c r="Y31" i="71"/>
  <c r="Z31" i="71" s="1"/>
  <c r="Y29" i="71"/>
  <c r="Z29" i="71" s="1"/>
  <c r="C35" i="71"/>
  <c r="X33" i="71"/>
  <c r="X35" i="71"/>
  <c r="X31" i="71"/>
  <c r="C48" i="71"/>
  <c r="D47" i="71"/>
  <c r="C52" i="71"/>
  <c r="C53" i="71" s="1"/>
  <c r="D51" i="71"/>
  <c r="C57" i="71"/>
  <c r="D56" i="71"/>
  <c r="P65" i="71"/>
  <c r="U65" i="71"/>
  <c r="E64" i="71"/>
  <c r="U73" i="71"/>
  <c r="E72" i="71"/>
  <c r="E71" i="71" s="1"/>
  <c r="H84" i="43"/>
  <c r="H85" i="43"/>
  <c r="W43" i="33"/>
  <c r="AA9" i="37"/>
  <c r="AA36" i="35"/>
  <c r="S15" i="39"/>
  <c r="S25" i="39"/>
  <c r="AA19" i="40"/>
  <c r="AA32" i="40"/>
  <c r="AC36" i="40"/>
  <c r="F48" i="9"/>
  <c r="O52" i="9" s="1"/>
  <c r="F52" i="85"/>
  <c r="F48" i="85"/>
  <c r="O52" i="85" s="1"/>
  <c r="F30" i="83"/>
  <c r="D68" i="85"/>
  <c r="F54" i="85"/>
  <c r="F53" i="85"/>
  <c r="F32" i="84"/>
  <c r="F60" i="84" s="1"/>
  <c r="F28" i="84"/>
  <c r="M18" i="84"/>
  <c r="D68" i="82"/>
  <c r="F54" i="82"/>
  <c r="F53" i="82"/>
  <c r="F30" i="81"/>
  <c r="F32" i="80"/>
  <c r="F60" i="80" s="1"/>
  <c r="F28" i="80"/>
  <c r="M18" i="80"/>
  <c r="F52" i="82"/>
  <c r="F48" i="82"/>
  <c r="O52" i="82" s="1"/>
  <c r="H82" i="43"/>
  <c r="AA12" i="40"/>
  <c r="G28" i="6"/>
  <c r="AC5" i="3"/>
  <c r="AZ379" i="3"/>
  <c r="AZ345" i="3"/>
  <c r="AZ318" i="3"/>
  <c r="AZ372" i="3"/>
  <c r="AZ337" i="3"/>
  <c r="AZ320" i="3"/>
  <c r="AZ305" i="3"/>
  <c r="AZ376" i="3"/>
  <c r="AZ362" i="3"/>
  <c r="AZ341" i="3"/>
  <c r="AZ309" i="3"/>
  <c r="W14" i="39"/>
  <c r="AC13" i="40"/>
  <c r="AC12" i="37"/>
  <c r="W40" i="37"/>
  <c r="AC46" i="21"/>
  <c r="W44" i="21"/>
  <c r="AA13" i="33"/>
  <c r="AA41" i="34"/>
  <c r="S21" i="40"/>
  <c r="AZ511" i="3"/>
  <c r="AZ519" i="3"/>
  <c r="AZ569" i="3"/>
  <c r="AZ577" i="3"/>
  <c r="AZ495" i="3"/>
  <c r="AZ513" i="3"/>
  <c r="AZ517" i="3"/>
  <c r="AZ567" i="3"/>
  <c r="AZ571" i="3"/>
  <c r="AZ575" i="3"/>
  <c r="AZ579" i="3"/>
  <c r="AZ568" i="3"/>
  <c r="AZ576" i="3"/>
  <c r="U13" i="33"/>
  <c r="AB45" i="33"/>
  <c r="AA14" i="34"/>
  <c r="AB46" i="34"/>
  <c r="W11" i="36"/>
  <c r="AB30" i="21"/>
  <c r="U46" i="33"/>
  <c r="U30" i="35"/>
  <c r="S8" i="33"/>
  <c r="S26" i="33"/>
  <c r="S38" i="33"/>
  <c r="U8" i="35"/>
  <c r="F12" i="36"/>
  <c r="AB12" i="35"/>
  <c r="U40" i="40"/>
  <c r="U34" i="40"/>
  <c r="W8" i="40"/>
  <c r="W39" i="33"/>
  <c r="S40" i="33"/>
  <c r="U33" i="33"/>
  <c r="U31" i="35"/>
  <c r="AA31" i="36"/>
  <c r="W8" i="36"/>
  <c r="F39" i="37"/>
  <c r="W40" i="39"/>
  <c r="J36" i="39"/>
  <c r="BL586" i="3"/>
  <c r="AZ586" i="3" s="1"/>
  <c r="BL585" i="3"/>
  <c r="F9" i="34"/>
  <c r="F9" i="36"/>
  <c r="H12" i="36"/>
  <c r="H23" i="36"/>
  <c r="H24" i="36"/>
  <c r="F44" i="39"/>
  <c r="J38" i="40"/>
  <c r="H39" i="40"/>
  <c r="G574" i="3"/>
  <c r="G558" i="3"/>
  <c r="G542" i="3"/>
  <c r="E19" i="83"/>
  <c r="E19" i="81"/>
  <c r="H5" i="3"/>
  <c r="BB5" i="3"/>
  <c r="K8" i="1"/>
  <c r="M8" i="1" s="1"/>
  <c r="O8" i="1" s="1"/>
  <c r="P8" i="1" s="1"/>
  <c r="D78" i="9"/>
  <c r="D93" i="85"/>
  <c r="D78" i="85"/>
  <c r="D78" i="82"/>
  <c r="D93" i="82"/>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BA427" i="3"/>
  <c r="AZ427" i="3" s="1"/>
  <c r="BA428" i="3"/>
  <c r="AZ428" i="3" s="1"/>
  <c r="G431" i="3"/>
  <c r="BL431" i="3"/>
  <c r="AZ431" i="3" s="1"/>
  <c r="BA432" i="3"/>
  <c r="AZ432" i="3" s="1"/>
  <c r="BA433" i="3"/>
  <c r="AZ433" i="3" s="1"/>
  <c r="BA434" i="3"/>
  <c r="BL434" i="3"/>
  <c r="G436" i="3"/>
  <c r="BL436" i="3"/>
  <c r="AZ436" i="3" s="1"/>
  <c r="G441" i="3"/>
  <c r="G442" i="3"/>
  <c r="G446" i="3"/>
  <c r="G448" i="3"/>
  <c r="BL448" i="3"/>
  <c r="AZ448" i="3" s="1"/>
  <c r="BA449" i="3"/>
  <c r="AZ449" i="3" s="1"/>
  <c r="BA450" i="3"/>
  <c r="BL450" i="3"/>
  <c r="G452" i="3"/>
  <c r="BL452" i="3"/>
  <c r="AZ452" i="3" s="1"/>
  <c r="BA453" i="3"/>
  <c r="AZ453" i="3" s="1"/>
  <c r="BA454" i="3"/>
  <c r="AZ454" i="3" s="1"/>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AZ481" i="3" s="1"/>
  <c r="BL481" i="3"/>
  <c r="BA482" i="3"/>
  <c r="AZ482" i="3" s="1"/>
  <c r="G485" i="3"/>
  <c r="BL485" i="3"/>
  <c r="AZ485" i="3" s="1"/>
  <c r="BA486" i="3"/>
  <c r="AZ486" i="3" s="1"/>
  <c r="AZ277" i="3"/>
  <c r="S21" i="33"/>
  <c r="AA21" i="33"/>
  <c r="AB21" i="34"/>
  <c r="U21" i="34"/>
  <c r="AB21" i="37"/>
  <c r="U21" i="37"/>
  <c r="C83" i="71"/>
  <c r="D83" i="71" s="1"/>
  <c r="D84" i="71"/>
  <c r="C44" i="71"/>
  <c r="D44" i="71"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G1" i="84"/>
  <c r="G1" i="83"/>
  <c r="C51" i="10"/>
  <c r="A13" i="51" s="1"/>
  <c r="B11" i="72" s="1"/>
  <c r="A118" i="85"/>
  <c r="A2" i="85"/>
  <c r="A118" i="82"/>
  <c r="A2" i="82"/>
  <c r="AB25" i="40"/>
  <c r="U25" i="40"/>
  <c r="B86" i="43"/>
  <c r="C25" i="40"/>
  <c r="AA21" i="34"/>
  <c r="S21" i="34"/>
  <c r="G35" i="3"/>
  <c r="G36" i="3"/>
  <c r="BL36" i="3"/>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G10" i="1"/>
  <c r="C7" i="34"/>
  <c r="C59" i="34" s="1"/>
  <c r="D59" i="34" s="1"/>
  <c r="E59" i="34" s="1"/>
  <c r="F59" i="34" s="1"/>
  <c r="G59" i="34" s="1"/>
  <c r="H59" i="34" s="1"/>
  <c r="I59" i="34" s="1"/>
  <c r="J59" i="34" s="1"/>
  <c r="M47" i="85"/>
  <c r="J51" i="84"/>
  <c r="M47" i="82"/>
  <c r="J51" i="80"/>
  <c r="E59" i="43"/>
  <c r="B57" i="43" s="1"/>
  <c r="AB28" i="71"/>
  <c r="AA29" i="71"/>
  <c r="F33" i="71"/>
  <c r="V33" i="71" s="1"/>
  <c r="AA30" i="71"/>
  <c r="O65" i="71"/>
  <c r="C64" i="71"/>
  <c r="U77" i="71"/>
  <c r="E76" i="71"/>
  <c r="E75" i="71" s="1"/>
  <c r="D81" i="71"/>
  <c r="C80" i="71"/>
  <c r="AI12" i="43"/>
  <c r="AI10" i="43"/>
  <c r="AA23" i="71"/>
  <c r="F20" i="71"/>
  <c r="F19" i="71" s="1"/>
  <c r="F18" i="71" s="1"/>
  <c r="F17" i="71" s="1"/>
  <c r="F16" i="71" s="1"/>
  <c r="F15" i="71" s="1"/>
  <c r="F14" i="71" s="1"/>
  <c r="P27" i="6"/>
  <c r="B33" i="71"/>
  <c r="S33" i="71" s="1"/>
  <c r="Y28" i="71"/>
  <c r="Z28" i="71" s="1"/>
  <c r="AB29" i="71"/>
  <c r="AA28" i="71"/>
  <c r="AB33" i="71"/>
  <c r="C60" i="71"/>
  <c r="N56" i="85"/>
  <c r="K56" i="85"/>
  <c r="M56" i="85"/>
  <c r="J56" i="85"/>
  <c r="J57" i="85" s="1"/>
  <c r="J59" i="85" s="1"/>
  <c r="J61" i="85" s="1"/>
  <c r="M56" i="82"/>
  <c r="J56" i="82"/>
  <c r="J57" i="82" s="1"/>
  <c r="J59" i="82" s="1"/>
  <c r="J61" i="82" s="1"/>
  <c r="N56" i="82"/>
  <c r="K56" i="82"/>
  <c r="K5" i="4"/>
  <c r="B47" i="48" s="1"/>
  <c r="AR12" i="1"/>
  <c r="G1" i="81"/>
  <c r="G1" i="80"/>
  <c r="E8" i="6"/>
  <c r="E10" i="6"/>
  <c r="T9" i="1"/>
  <c r="AR11" i="1"/>
  <c r="M7" i="1"/>
  <c r="M18" i="82"/>
  <c r="B118" i="82" s="1"/>
  <c r="B15" i="74" s="1"/>
  <c r="L27" i="6"/>
  <c r="T12" i="1"/>
  <c r="AQ9" i="1"/>
  <c r="C18" i="9"/>
  <c r="D18" i="9" s="1"/>
  <c r="AE10" i="43"/>
  <c r="H52" i="43"/>
  <c r="G52" i="43" s="1"/>
  <c r="H56" i="43"/>
  <c r="G56" i="43" s="1"/>
  <c r="H51" i="43"/>
  <c r="G51" i="43" s="1"/>
  <c r="B49" i="43"/>
  <c r="B54" i="43"/>
  <c r="C27" i="39"/>
  <c r="C30" i="11"/>
  <c r="F54" i="9"/>
  <c r="M18" i="15"/>
  <c r="M18" i="67"/>
  <c r="F30" i="69"/>
  <c r="F31" i="12"/>
  <c r="D93" i="9"/>
  <c r="D68" i="9"/>
  <c r="F28" i="15"/>
  <c r="F32" i="15"/>
  <c r="F60" i="15" s="1"/>
  <c r="F32" i="67"/>
  <c r="F60" i="67" s="1"/>
  <c r="F52" i="9"/>
  <c r="F28" i="67"/>
  <c r="F30" i="68"/>
  <c r="F48" i="68" s="1"/>
  <c r="F53" i="9"/>
  <c r="C21" i="69"/>
  <c r="C5" i="11"/>
  <c r="D22" i="67"/>
  <c r="Q16" i="1"/>
  <c r="F27" i="11" s="1"/>
  <c r="F27" i="6"/>
  <c r="F31" i="6" s="1"/>
  <c r="E56" i="39"/>
  <c r="H16" i="1"/>
  <c r="E12" i="6"/>
  <c r="E57" i="40" s="1"/>
  <c r="O10" i="1"/>
  <c r="P10" i="1" s="1"/>
  <c r="C36" i="69"/>
  <c r="T13" i="1"/>
  <c r="AQ13" i="1"/>
  <c r="E51" i="40"/>
  <c r="T10" i="1"/>
  <c r="E15" i="6"/>
  <c r="E60" i="40" s="1"/>
  <c r="P6" i="1"/>
  <c r="D9" i="69"/>
  <c r="C9" i="69" s="1"/>
  <c r="E62" i="39"/>
  <c r="E14" i="6"/>
  <c r="E11" i="6"/>
  <c r="E56" i="40" s="1"/>
  <c r="E13" i="6"/>
  <c r="D19" i="12"/>
  <c r="C19" i="12" s="1"/>
  <c r="P7" i="1"/>
  <c r="A2" i="9"/>
  <c r="A118" i="9"/>
  <c r="A4" i="52"/>
  <c r="B41" i="72" s="1"/>
  <c r="H49" i="43"/>
  <c r="G49" i="43" s="1"/>
  <c r="N4" i="43"/>
  <c r="M6" i="43"/>
  <c r="C6" i="43" s="1"/>
  <c r="H48" i="43"/>
  <c r="G48" i="43" s="1"/>
  <c r="M8" i="43"/>
  <c r="H54" i="43"/>
  <c r="G54" i="43" s="1"/>
  <c r="M7" i="43"/>
  <c r="M10" i="43"/>
  <c r="N12" i="43"/>
  <c r="M4" i="43"/>
  <c r="H60" i="43"/>
  <c r="H67" i="43"/>
  <c r="H55" i="43"/>
  <c r="G55" i="43" s="1"/>
  <c r="H64" i="43"/>
  <c r="H66" i="43"/>
  <c r="M12" i="43"/>
  <c r="M9" i="43"/>
  <c r="H53" i="43"/>
  <c r="G53" i="43" s="1"/>
  <c r="N8" i="43"/>
  <c r="M3" i="43"/>
  <c r="H50" i="43"/>
  <c r="G50" i="43" s="1"/>
  <c r="G17" i="43"/>
  <c r="C16" i="43" s="1"/>
  <c r="C5" i="43" s="1"/>
  <c r="T35" i="4"/>
  <c r="A19" i="51" s="1"/>
  <c r="B14" i="72" s="1"/>
  <c r="A15" i="62"/>
  <c r="B61" i="72" s="1"/>
  <c r="G12" i="1"/>
  <c r="D20" i="53"/>
  <c r="B40" i="72" s="1"/>
  <c r="D17" i="53"/>
  <c r="B36" i="72" s="1"/>
  <c r="D68" i="39"/>
  <c r="C70" i="39"/>
  <c r="G19" i="43"/>
  <c r="O19" i="43" s="1"/>
  <c r="C7" i="40"/>
  <c r="C63" i="40" s="1"/>
  <c r="C7" i="33"/>
  <c r="C58" i="33" s="1"/>
  <c r="C42" i="1"/>
  <c r="D12" i="52"/>
  <c r="D127" i="9"/>
  <c r="D13" i="52" s="1"/>
  <c r="P11" i="1"/>
  <c r="O12" i="1"/>
  <c r="P12" i="1" s="1"/>
  <c r="G30" i="6"/>
  <c r="G31" i="6" s="1"/>
  <c r="E28" i="6"/>
  <c r="W9" i="34"/>
  <c r="AC9" i="34"/>
  <c r="AB9" i="36"/>
  <c r="U9" i="36"/>
  <c r="AC23" i="36"/>
  <c r="W23" i="36"/>
  <c r="AZ551" i="3"/>
  <c r="BA5" i="3"/>
  <c r="E27" i="6" s="1"/>
  <c r="F48" i="69"/>
  <c r="AZ557" i="3"/>
  <c r="AZ585" i="3"/>
  <c r="W45" i="21"/>
  <c r="AC45" i="21"/>
  <c r="AR10" i="1"/>
  <c r="E65" i="39"/>
  <c r="AA35" i="33"/>
  <c r="AC39" i="34"/>
  <c r="U44" i="34"/>
  <c r="AB27" i="36"/>
  <c r="U12" i="39"/>
  <c r="AA27" i="40"/>
  <c r="AB27" i="40"/>
  <c r="AA34" i="33"/>
  <c r="H75" i="43"/>
  <c r="H36" i="35"/>
  <c r="J36" i="35"/>
  <c r="F25" i="37"/>
  <c r="W31" i="35"/>
  <c r="AC31" i="35"/>
  <c r="G551" i="3"/>
  <c r="BL548" i="3"/>
  <c r="BL5" i="3" s="1"/>
  <c r="C31" i="12"/>
  <c r="AA14" i="33"/>
  <c r="AA44" i="33"/>
  <c r="H9" i="34"/>
  <c r="J34" i="35"/>
  <c r="H34" i="35"/>
  <c r="F34" i="35"/>
  <c r="F23" i="36"/>
  <c r="AZ398" i="3"/>
  <c r="AZ405" i="3"/>
  <c r="AZ407" i="3"/>
  <c r="AZ410" i="3"/>
  <c r="AZ415" i="3"/>
  <c r="AZ420" i="3"/>
  <c r="AZ424" i="3"/>
  <c r="AZ426"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30" i="3"/>
  <c r="AZ36" i="3"/>
  <c r="AZ40" i="3"/>
  <c r="AZ49" i="3"/>
  <c r="AZ54" i="3"/>
  <c r="AZ65" i="3"/>
  <c r="AZ70" i="3"/>
  <c r="AZ76" i="3"/>
  <c r="AZ90" i="3"/>
  <c r="AZ92" i="3"/>
  <c r="AZ96" i="3"/>
  <c r="AZ112" i="3"/>
  <c r="F3" i="35"/>
  <c r="Y5" i="71"/>
  <c r="Z5" i="71" s="1"/>
  <c r="X5" i="71"/>
  <c r="AB5" i="71"/>
  <c r="AA5" i="71"/>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M100" i="43"/>
  <c r="I100" i="43"/>
  <c r="E100" i="43"/>
  <c r="D100" i="43"/>
  <c r="C40" i="68"/>
  <c r="C21" i="68"/>
  <c r="S18" i="35"/>
  <c r="S29" i="39"/>
  <c r="C29" i="39"/>
  <c r="B66" i="43"/>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0" i="43"/>
  <c r="AH12" i="43"/>
  <c r="AH10" i="43"/>
  <c r="AA20" i="71"/>
  <c r="AA21" i="71"/>
  <c r="AA19" i="71"/>
  <c r="E21" i="71"/>
  <c r="X19" i="71"/>
  <c r="B21" i="71"/>
  <c r="X21" i="71"/>
  <c r="AA15" i="71"/>
  <c r="X15" i="71"/>
  <c r="Y15" i="71"/>
  <c r="Z15" i="71" s="1"/>
  <c r="AB15" i="71"/>
  <c r="AB10" i="71"/>
  <c r="Y10" i="71"/>
  <c r="Z10" i="71" s="1"/>
  <c r="X9" i="71"/>
  <c r="Y6" i="71"/>
  <c r="Z6" i="71" s="1"/>
  <c r="AA6" i="71"/>
  <c r="AC12" i="43"/>
  <c r="AC10" i="43"/>
  <c r="AG12" i="43"/>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M29" i="80"/>
  <c r="F7" i="80"/>
  <c r="F36" i="80"/>
  <c r="C76" i="80"/>
  <c r="D9" i="68"/>
  <c r="J15" i="80"/>
  <c r="F6" i="80"/>
  <c r="F27" i="81"/>
  <c r="M23" i="80"/>
  <c r="F42" i="80"/>
  <c r="M26" i="80"/>
  <c r="F26" i="80"/>
  <c r="M6" i="80"/>
  <c r="D9" i="81"/>
  <c r="C16" i="15"/>
  <c r="F13" i="80"/>
  <c r="F40" i="80"/>
  <c r="L47" i="80"/>
  <c r="F16" i="80"/>
  <c r="F37" i="80"/>
  <c r="M9" i="80"/>
  <c r="G1" i="73"/>
  <c r="F38" i="80"/>
  <c r="F9" i="80"/>
  <c r="M24" i="80"/>
  <c r="C36" i="68"/>
  <c r="M22" i="80"/>
  <c r="C36" i="81"/>
  <c r="F43" i="80"/>
  <c r="C16" i="67"/>
  <c r="L48" i="80"/>
  <c r="M27" i="80"/>
  <c r="F8" i="80"/>
  <c r="M28" i="80"/>
  <c r="M8" i="80"/>
  <c r="C77" i="85" l="1"/>
  <c r="C74" i="85" s="1"/>
  <c r="C77" i="82"/>
  <c r="C74" i="82" s="1"/>
  <c r="M50" i="43"/>
  <c r="N50" i="43" s="1"/>
  <c r="K50" i="43"/>
  <c r="K55" i="43"/>
  <c r="J55" i="43" s="1"/>
  <c r="D55" i="43" s="1"/>
  <c r="M55" i="43"/>
  <c r="N55" i="43" s="1"/>
  <c r="K49" i="43"/>
  <c r="M49" i="43"/>
  <c r="N49" i="43" s="1"/>
  <c r="M56" i="43"/>
  <c r="N56" i="43" s="1"/>
  <c r="K56" i="43"/>
  <c r="J56" i="43" s="1"/>
  <c r="D60" i="71"/>
  <c r="C61" i="71"/>
  <c r="C79" i="71"/>
  <c r="D79" i="71" s="1"/>
  <c r="D80" i="71"/>
  <c r="O64" i="71"/>
  <c r="C63" i="71"/>
  <c r="D64" i="71"/>
  <c r="AZ487" i="3"/>
  <c r="AZ450" i="3"/>
  <c r="AZ434" i="3"/>
  <c r="AC38" i="40"/>
  <c r="W38" i="40"/>
  <c r="AB24" i="36"/>
  <c r="U24" i="36"/>
  <c r="U12" i="36"/>
  <c r="AB12" i="36"/>
  <c r="AA9" i="34"/>
  <c r="S9" i="34"/>
  <c r="S12" i="36"/>
  <c r="AA12" i="36"/>
  <c r="C28" i="80"/>
  <c r="C48" i="81"/>
  <c r="F48" i="81"/>
  <c r="C30" i="81"/>
  <c r="F48" i="83"/>
  <c r="C30" i="83"/>
  <c r="C48" i="83"/>
  <c r="E63" i="71"/>
  <c r="P64" i="71"/>
  <c r="T57" i="71"/>
  <c r="D57" i="71"/>
  <c r="T53" i="71"/>
  <c r="D53" i="71"/>
  <c r="C49" i="71"/>
  <c r="D48" i="71"/>
  <c r="D35" i="71"/>
  <c r="C36" i="71"/>
  <c r="AZ550" i="3"/>
  <c r="C48" i="69"/>
  <c r="K53" i="43"/>
  <c r="M53" i="43"/>
  <c r="N53" i="43" s="1"/>
  <c r="M54" i="43"/>
  <c r="N54" i="43" s="1"/>
  <c r="K54" i="43"/>
  <c r="M48" i="43"/>
  <c r="N48" i="43" s="1"/>
  <c r="K48" i="43"/>
  <c r="J48" i="43" s="1"/>
  <c r="K51" i="43"/>
  <c r="J51" i="43" s="1"/>
  <c r="M51" i="43"/>
  <c r="N51" i="43" s="1"/>
  <c r="M52" i="43"/>
  <c r="N52" i="43" s="1"/>
  <c r="K52" i="43"/>
  <c r="U39" i="40"/>
  <c r="AB39" i="40"/>
  <c r="AA44" i="39"/>
  <c r="S44" i="39"/>
  <c r="AB23" i="36"/>
  <c r="U23" i="36"/>
  <c r="AA9" i="36"/>
  <c r="S9" i="36"/>
  <c r="AC36" i="39"/>
  <c r="W36" i="39"/>
  <c r="S39" i="37"/>
  <c r="AA39" i="37"/>
  <c r="C28" i="84"/>
  <c r="D27" i="71"/>
  <c r="C28" i="71"/>
  <c r="F11" i="84"/>
  <c r="M11" i="84"/>
  <c r="F45" i="81"/>
  <c r="C29" i="81"/>
  <c r="D27" i="81" s="1"/>
  <c r="C47" i="81"/>
  <c r="D45" i="81" s="1"/>
  <c r="C9" i="81"/>
  <c r="C6" i="80"/>
  <c r="C32" i="80" s="1"/>
  <c r="Q71" i="80"/>
  <c r="L59" i="80"/>
  <c r="N59" i="80"/>
  <c r="L58" i="80"/>
  <c r="M59" i="80"/>
  <c r="F65" i="80"/>
  <c r="C27" i="80"/>
  <c r="L56" i="80"/>
  <c r="J53" i="80"/>
  <c r="L57" i="80"/>
  <c r="I54" i="80"/>
  <c r="J57" i="80"/>
  <c r="J55" i="80" s="1"/>
  <c r="J58" i="80" s="1"/>
  <c r="Q50" i="80" s="1"/>
  <c r="L60" i="80"/>
  <c r="F68" i="80"/>
  <c r="F51" i="80"/>
  <c r="F66" i="80"/>
  <c r="F64" i="80"/>
  <c r="F71" i="80"/>
  <c r="M7" i="80"/>
  <c r="J6" i="80" s="1"/>
  <c r="J18" i="80" s="1"/>
  <c r="F50" i="80"/>
  <c r="O7" i="1"/>
  <c r="C9" i="68"/>
  <c r="F11" i="80"/>
  <c r="M11" i="80"/>
  <c r="F28" i="12"/>
  <c r="D5" i="43"/>
  <c r="F27" i="69"/>
  <c r="C29" i="11"/>
  <c r="D27" i="11" s="1"/>
  <c r="C47" i="11"/>
  <c r="D45" i="11" s="1"/>
  <c r="E61" i="39"/>
  <c r="E16" i="6"/>
  <c r="E58" i="40"/>
  <c r="E63" i="39"/>
  <c r="E64" i="39"/>
  <c r="E59" i="40"/>
  <c r="H10" i="39"/>
  <c r="U10" i="39" s="1"/>
  <c r="J10" i="40"/>
  <c r="W10" i="40" s="1"/>
  <c r="C36" i="11"/>
  <c r="C30" i="69"/>
  <c r="C28" i="67"/>
  <c r="C48" i="68"/>
  <c r="C28" i="15"/>
  <c r="C13" i="12"/>
  <c r="C77" i="9"/>
  <c r="C74" i="9" s="1"/>
  <c r="C30" i="68"/>
  <c r="C24" i="12"/>
  <c r="D70" i="39"/>
  <c r="E68" i="39"/>
  <c r="B20" i="71"/>
  <c r="B19" i="71" s="1"/>
  <c r="B18" i="71" s="1"/>
  <c r="B17" i="71" s="1"/>
  <c r="S21" i="71"/>
  <c r="E20" i="71"/>
  <c r="E19" i="71" s="1"/>
  <c r="E18" i="71" s="1"/>
  <c r="E17" i="71" s="1"/>
  <c r="V21" i="71"/>
  <c r="D76" i="71"/>
  <c r="C75" i="71"/>
  <c r="D75" i="71" s="1"/>
  <c r="C67" i="71"/>
  <c r="D67" i="71" s="1"/>
  <c r="D68" i="71"/>
  <c r="Q62" i="71"/>
  <c r="Q63" i="71"/>
  <c r="J10" i="39"/>
  <c r="AC10" i="39" s="1"/>
  <c r="H10" i="40"/>
  <c r="AB10" i="40" s="1"/>
  <c r="F7" i="36"/>
  <c r="J7" i="37"/>
  <c r="AC7" i="37" s="1"/>
  <c r="V42" i="37" s="1"/>
  <c r="I42" i="37" s="1"/>
  <c r="H7" i="36"/>
  <c r="H7" i="34"/>
  <c r="U7" i="34" s="1"/>
  <c r="F7" i="34"/>
  <c r="C20" i="71"/>
  <c r="D21" i="71"/>
  <c r="U21" i="71" s="1"/>
  <c r="T21" i="71"/>
  <c r="N64" i="71"/>
  <c r="B63" i="71"/>
  <c r="C41" i="71"/>
  <c r="D40" i="71"/>
  <c r="AA23" i="36"/>
  <c r="S23" i="36"/>
  <c r="AB34" i="35"/>
  <c r="U34" i="35"/>
  <c r="U9" i="34"/>
  <c r="AB9" i="34"/>
  <c r="AA25" i="37"/>
  <c r="S25" i="37"/>
  <c r="AB36" i="35"/>
  <c r="U36" i="35"/>
  <c r="AZ548" i="3"/>
  <c r="AZ5" i="3" s="1"/>
  <c r="AA34" i="35"/>
  <c r="S34" i="35"/>
  <c r="AC34" i="35"/>
  <c r="W34" i="35"/>
  <c r="G5" i="3"/>
  <c r="B3" i="3" s="1"/>
  <c r="E551" i="3" s="1"/>
  <c r="W36" i="35"/>
  <c r="AC36" i="35"/>
  <c r="K21" i="6"/>
  <c r="E30" i="6"/>
  <c r="E31" i="6" s="1"/>
  <c r="K20" i="6"/>
  <c r="K24" i="6"/>
  <c r="M24" i="6" s="1"/>
  <c r="I24" i="6" s="1"/>
  <c r="S24" i="6" s="1"/>
  <c r="K14" i="1"/>
  <c r="K26" i="6"/>
  <c r="M26" i="6" s="1"/>
  <c r="I26" i="6" s="1"/>
  <c r="S26" i="6" s="1"/>
  <c r="K19" i="6"/>
  <c r="S6" i="1" s="1"/>
  <c r="K22" i="6"/>
  <c r="M22" i="6" s="1"/>
  <c r="I22" i="6" s="1"/>
  <c r="S22" i="6" s="1"/>
  <c r="K25" i="6"/>
  <c r="M25" i="6" s="1"/>
  <c r="I25" i="6" s="1"/>
  <c r="S25" i="6" s="1"/>
  <c r="K23" i="6"/>
  <c r="M23" i="6" s="1"/>
  <c r="I23" i="6" s="1"/>
  <c r="S23" i="6" s="1"/>
  <c r="F59" i="67"/>
  <c r="H7" i="37"/>
  <c r="AB7" i="37" s="1"/>
  <c r="T42" i="37" s="1"/>
  <c r="G42" i="37" s="1"/>
  <c r="B40" i="1"/>
  <c r="W10" i="39"/>
  <c r="S10" i="39"/>
  <c r="AA10" i="39"/>
  <c r="H7" i="33"/>
  <c r="J7" i="33"/>
  <c r="D65" i="40"/>
  <c r="E63" i="40"/>
  <c r="F48" i="35"/>
  <c r="S7" i="36"/>
  <c r="AA7" i="36"/>
  <c r="R36" i="36" s="1"/>
  <c r="W7" i="37"/>
  <c r="AB7" i="36"/>
  <c r="T36" i="36" s="1"/>
  <c r="G36" i="36" s="1"/>
  <c r="U7" i="36"/>
  <c r="AB7" i="34"/>
  <c r="T49" i="34" s="1"/>
  <c r="G49" i="34" s="1"/>
  <c r="AA7" i="34"/>
  <c r="R49" i="34" s="1"/>
  <c r="S7" i="34"/>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3" i="84"/>
  <c r="J15" i="84"/>
  <c r="F27" i="83"/>
  <c r="F8" i="84"/>
  <c r="AE6" i="1"/>
  <c r="M23" i="84"/>
  <c r="C17" i="67"/>
  <c r="M29" i="84"/>
  <c r="M26" i="84"/>
  <c r="F40" i="84"/>
  <c r="F9" i="84"/>
  <c r="C14" i="67"/>
  <c r="M6" i="84"/>
  <c r="F27" i="68"/>
  <c r="F42" i="84"/>
  <c r="F16" i="84"/>
  <c r="F13" i="84"/>
  <c r="C36" i="83"/>
  <c r="F38" i="84"/>
  <c r="C16" i="80"/>
  <c r="F7" i="84"/>
  <c r="F26" i="84"/>
  <c r="M8" i="84"/>
  <c r="F36" i="84"/>
  <c r="F37" i="84"/>
  <c r="C76" i="84"/>
  <c r="C17" i="15"/>
  <c r="M9" i="84"/>
  <c r="F6" i="84"/>
  <c r="M27" i="84"/>
  <c r="M24" i="84"/>
  <c r="D9" i="83"/>
  <c r="L48" i="84"/>
  <c r="L47" i="84"/>
  <c r="M28" i="84"/>
  <c r="M22" i="84"/>
  <c r="J10" i="80" l="1"/>
  <c r="J5" i="80" s="1"/>
  <c r="J26" i="80" s="1"/>
  <c r="C27" i="84"/>
  <c r="F51" i="84"/>
  <c r="M7" i="84"/>
  <c r="J6" i="84" s="1"/>
  <c r="J18" i="84" s="1"/>
  <c r="F50" i="84"/>
  <c r="F65" i="84"/>
  <c r="L59" i="84"/>
  <c r="M59" i="84"/>
  <c r="N59" i="84"/>
  <c r="L58" i="84"/>
  <c r="F45" i="83"/>
  <c r="C47" i="83"/>
  <c r="D45" i="83" s="1"/>
  <c r="C29" i="83"/>
  <c r="D27" i="83" s="1"/>
  <c r="C6" i="84"/>
  <c r="C10" i="84" s="1"/>
  <c r="C5" i="84" s="1"/>
  <c r="F64" i="84"/>
  <c r="Q71" i="84"/>
  <c r="L56" i="84"/>
  <c r="L57" i="84"/>
  <c r="L60" i="84"/>
  <c r="J57" i="84"/>
  <c r="J55" i="84" s="1"/>
  <c r="J58" i="84" s="1"/>
  <c r="Q50" i="84" s="1"/>
  <c r="I54" i="84"/>
  <c r="J53" i="84"/>
  <c r="F66" i="84"/>
  <c r="F71" i="84"/>
  <c r="F68" i="84"/>
  <c r="C9" i="83"/>
  <c r="C29" i="71"/>
  <c r="D28" i="71"/>
  <c r="J53" i="43"/>
  <c r="D53" i="43"/>
  <c r="T49" i="71"/>
  <c r="D49" i="71"/>
  <c r="P63" i="71"/>
  <c r="P62" i="71"/>
  <c r="D63" i="71"/>
  <c r="O63" i="71"/>
  <c r="O62" i="71"/>
  <c r="T61" i="71"/>
  <c r="D61" i="71"/>
  <c r="J50" i="43"/>
  <c r="D50" i="43"/>
  <c r="C20" i="43"/>
  <c r="E41" i="43"/>
  <c r="C41" i="43" s="1"/>
  <c r="J52" i="43"/>
  <c r="D52" i="43"/>
  <c r="J54" i="43"/>
  <c r="D54" i="43"/>
  <c r="D36" i="71"/>
  <c r="C37" i="71"/>
  <c r="J49" i="43"/>
  <c r="D49" i="43"/>
  <c r="E48" i="43" s="1"/>
  <c r="B46" i="43" s="1"/>
  <c r="C24" i="43" s="1"/>
  <c r="C49" i="80"/>
  <c r="F22" i="83"/>
  <c r="F41" i="83" s="1"/>
  <c r="F24" i="84"/>
  <c r="C53" i="84"/>
  <c r="C33" i="80"/>
  <c r="M21" i="6"/>
  <c r="I21" i="6" s="1"/>
  <c r="S8" i="1"/>
  <c r="Q57" i="80"/>
  <c r="Q66" i="80"/>
  <c r="Q52" i="80"/>
  <c r="F1" i="80"/>
  <c r="Q60" i="80"/>
  <c r="Q73" i="80"/>
  <c r="Q74" i="80"/>
  <c r="Q61" i="80"/>
  <c r="C29" i="12"/>
  <c r="D28" i="12" s="1"/>
  <c r="C47" i="68"/>
  <c r="D45" i="68" s="1"/>
  <c r="F24" i="80"/>
  <c r="C24" i="80" s="1"/>
  <c r="F22" i="81"/>
  <c r="C53" i="80"/>
  <c r="C10" i="80"/>
  <c r="C5" i="80" s="1"/>
  <c r="AB10" i="39"/>
  <c r="M20" i="6"/>
  <c r="I20" i="6" s="1"/>
  <c r="S7" i="1"/>
  <c r="S16" i="1" s="1"/>
  <c r="C15" i="67"/>
  <c r="C18" i="67"/>
  <c r="E6" i="70"/>
  <c r="C47" i="69"/>
  <c r="D45" i="69" s="1"/>
  <c r="F45" i="69"/>
  <c r="C29" i="69"/>
  <c r="D27" i="69" s="1"/>
  <c r="AQ6" i="1"/>
  <c r="T6" i="1"/>
  <c r="AR6" i="1"/>
  <c r="F45" i="68"/>
  <c r="C29" i="68"/>
  <c r="D27" i="68" s="1"/>
  <c r="E66" i="39"/>
  <c r="U10" i="40"/>
  <c r="F68" i="39"/>
  <c r="E70" i="39"/>
  <c r="AY6" i="3"/>
  <c r="E3" i="6"/>
  <c r="U7" i="37"/>
  <c r="M19" i="6"/>
  <c r="K27" i="6"/>
  <c r="M14" i="1"/>
  <c r="K16" i="1"/>
  <c r="C34" i="69"/>
  <c r="N63" i="71"/>
  <c r="N62" i="71"/>
  <c r="E16" i="71"/>
  <c r="E15" i="71" s="1"/>
  <c r="E14" i="71" s="1"/>
  <c r="E13" i="71" s="1"/>
  <c r="V17" i="71"/>
  <c r="B16" i="71"/>
  <c r="B15" i="71" s="1"/>
  <c r="B14" i="71" s="1"/>
  <c r="B13" i="71" s="1"/>
  <c r="S17"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41" i="71"/>
  <c r="D41"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D10" i="83"/>
  <c r="C17" i="84"/>
  <c r="C16" i="84"/>
  <c r="D10" i="81"/>
  <c r="F41" i="15"/>
  <c r="F41" i="67"/>
  <c r="C14" i="15"/>
  <c r="AE7" i="1"/>
  <c r="C17" i="80"/>
  <c r="J10" i="84" l="1"/>
  <c r="J5" i="84" s="1"/>
  <c r="J24" i="84" s="1"/>
  <c r="J24" i="80"/>
  <c r="C24" i="83"/>
  <c r="C48" i="80"/>
  <c r="C60" i="80" s="1"/>
  <c r="J26" i="84"/>
  <c r="C10" i="83"/>
  <c r="C8" i="83" s="1"/>
  <c r="D19" i="83"/>
  <c r="D37" i="83" s="1"/>
  <c r="C37" i="83" s="1"/>
  <c r="S21" i="6"/>
  <c r="L18" i="85"/>
  <c r="T37" i="71"/>
  <c r="M19" i="43"/>
  <c r="D37" i="71"/>
  <c r="Q52" i="84"/>
  <c r="F1" i="84"/>
  <c r="C33" i="84"/>
  <c r="C32" i="84"/>
  <c r="Q61" i="84"/>
  <c r="Q74" i="84"/>
  <c r="C49" i="84"/>
  <c r="C48" i="84" s="1"/>
  <c r="E8" i="70"/>
  <c r="T29" i="71"/>
  <c r="D29" i="71"/>
  <c r="Q66" i="84"/>
  <c r="Q57" i="84"/>
  <c r="Q60" i="84"/>
  <c r="Q73" i="84"/>
  <c r="F69" i="67"/>
  <c r="J29" i="67"/>
  <c r="C26" i="83"/>
  <c r="D22" i="83" s="1"/>
  <c r="C44" i="83"/>
  <c r="D41" i="83" s="1"/>
  <c r="C24" i="84"/>
  <c r="C38" i="84"/>
  <c r="AR8" i="1"/>
  <c r="AQ8" i="1"/>
  <c r="T8" i="1"/>
  <c r="C10" i="81"/>
  <c r="D19" i="81"/>
  <c r="D37" i="81" s="1"/>
  <c r="C37" i="81" s="1"/>
  <c r="S20" i="6"/>
  <c r="L18" i="82"/>
  <c r="E7" i="70"/>
  <c r="F41" i="81"/>
  <c r="C24" i="81"/>
  <c r="C26" i="81"/>
  <c r="D22" i="81" s="1"/>
  <c r="C44" i="81"/>
  <c r="D41" i="81" s="1"/>
  <c r="C19" i="67"/>
  <c r="C20" i="67" s="1"/>
  <c r="C26" i="67" s="1"/>
  <c r="C66" i="80"/>
  <c r="C38" i="80"/>
  <c r="T7" i="1"/>
  <c r="AR7" i="1"/>
  <c r="AQ7" i="1"/>
  <c r="C15" i="15"/>
  <c r="C18" i="15"/>
  <c r="F69" i="15"/>
  <c r="J29" i="15"/>
  <c r="AC6" i="3"/>
  <c r="H6" i="3"/>
  <c r="G68" i="39"/>
  <c r="F70" i="39"/>
  <c r="B12" i="71"/>
  <c r="B11" i="71" s="1"/>
  <c r="B10" i="71" s="1"/>
  <c r="B9" i="71" s="1"/>
  <c r="S13" i="71"/>
  <c r="E12" i="71"/>
  <c r="E11" i="71" s="1"/>
  <c r="E10" i="71" s="1"/>
  <c r="E9" i="71" s="1"/>
  <c r="V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8" i="71"/>
  <c r="D19" i="71"/>
  <c r="E6" i="3"/>
  <c r="C35" i="69"/>
  <c r="C38" i="69"/>
  <c r="O14" i="1"/>
  <c r="O16" i="1" s="1"/>
  <c r="M16" i="1"/>
  <c r="M27" i="6"/>
  <c r="I19" i="6"/>
  <c r="D3" i="21"/>
  <c r="D19" i="11"/>
  <c r="C19" i="11" s="1"/>
  <c r="C17" i="4"/>
  <c r="B4" i="52" s="1"/>
  <c r="B43" i="72" s="1"/>
  <c r="L18" i="9"/>
  <c r="D3" i="37"/>
  <c r="D3" i="34"/>
  <c r="D3" i="33"/>
  <c r="E6" i="6"/>
  <c r="D37" i="11"/>
  <c r="C37" i="11" s="1"/>
  <c r="D14" i="12"/>
  <c r="M18" i="9"/>
  <c r="B118" i="9" s="1"/>
  <c r="B14" i="74" s="1"/>
  <c r="B1" i="74"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F41" i="80"/>
  <c r="C14" i="84"/>
  <c r="C34" i="81"/>
  <c r="C34" i="83"/>
  <c r="AE8" i="1"/>
  <c r="C14" i="80"/>
  <c r="C38" i="83" l="1"/>
  <c r="C35" i="83"/>
  <c r="C15" i="84"/>
  <c r="C18" i="84"/>
  <c r="C66" i="84"/>
  <c r="C60" i="84"/>
  <c r="D9" i="78"/>
  <c r="I7" i="6"/>
  <c r="G3" i="43" s="1"/>
  <c r="T16" i="1"/>
  <c r="E2" i="70"/>
  <c r="F69" i="80"/>
  <c r="J29" i="80"/>
  <c r="C23" i="67"/>
  <c r="C29" i="67" s="1"/>
  <c r="C36" i="67" s="1"/>
  <c r="C35" i="81"/>
  <c r="C38" i="81"/>
  <c r="C18" i="80"/>
  <c r="C15" i="80"/>
  <c r="C19" i="15"/>
  <c r="C20" i="15" s="1"/>
  <c r="C26" i="15" s="1"/>
  <c r="P14" i="1"/>
  <c r="P16" i="1" s="1"/>
  <c r="C11" i="12" s="1"/>
  <c r="C15" i="12" s="1"/>
  <c r="H68" i="39"/>
  <c r="G70" i="39"/>
  <c r="D17" i="12"/>
  <c r="C17" i="12" s="1"/>
  <c r="C14" i="12"/>
  <c r="D10" i="69"/>
  <c r="D10" i="11"/>
  <c r="C10" i="11" s="1"/>
  <c r="D20" i="12"/>
  <c r="C20" i="12" s="1"/>
  <c r="N16" i="1"/>
  <c r="L16" i="1"/>
  <c r="C34" i="11"/>
  <c r="H20" i="6"/>
  <c r="M19" i="9"/>
  <c r="C118" i="9" s="1"/>
  <c r="C14" i="74" s="1"/>
  <c r="D19" i="6"/>
  <c r="D26" i="6"/>
  <c r="C18" i="4"/>
  <c r="D8" i="6"/>
  <c r="D23" i="6"/>
  <c r="D14" i="6"/>
  <c r="D5" i="6"/>
  <c r="D12" i="6"/>
  <c r="D11" i="6"/>
  <c r="D13" i="6"/>
  <c r="D28" i="6"/>
  <c r="E61" i="40"/>
  <c r="H23" i="6"/>
  <c r="H26" i="6"/>
  <c r="H19" i="6"/>
  <c r="D25" i="6"/>
  <c r="D15" i="6"/>
  <c r="D22" i="6"/>
  <c r="D21" i="6"/>
  <c r="D24" i="6"/>
  <c r="D20" i="6"/>
  <c r="D6" i="6"/>
  <c r="D9" i="6"/>
  <c r="D10" i="6"/>
  <c r="L19" i="9"/>
  <c r="D29" i="6"/>
  <c r="H25" i="6"/>
  <c r="H22" i="6"/>
  <c r="H21" i="6"/>
  <c r="H24" i="6"/>
  <c r="B2" i="34"/>
  <c r="B3" i="34" s="1"/>
  <c r="C7" i="74"/>
  <c r="C8" i="74"/>
  <c r="C20" i="11"/>
  <c r="C25" i="11" s="1"/>
  <c r="C22" i="11" s="1"/>
  <c r="S19" i="6"/>
  <c r="S27" i="6" s="1"/>
  <c r="I27" i="6"/>
  <c r="D18" i="71"/>
  <c r="C17" i="71"/>
  <c r="E8" i="71"/>
  <c r="E7" i="71" s="1"/>
  <c r="E6" i="71" s="1"/>
  <c r="E5" i="71" s="1"/>
  <c r="V9" i="7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F41" i="84"/>
  <c r="D10" i="68"/>
  <c r="C34" i="68"/>
  <c r="J29" i="84" l="1"/>
  <c r="F69" i="84"/>
  <c r="C33" i="83"/>
  <c r="C42" i="83" s="1"/>
  <c r="C19" i="84"/>
  <c r="C20" i="84" s="1"/>
  <c r="C23" i="84" s="1"/>
  <c r="M19" i="85"/>
  <c r="C118" i="85" s="1"/>
  <c r="C16" i="74" s="1"/>
  <c r="L19" i="85"/>
  <c r="F50" i="81"/>
  <c r="F50" i="83"/>
  <c r="C39" i="83"/>
  <c r="S3" i="43"/>
  <c r="J22" i="43"/>
  <c r="K101" i="43"/>
  <c r="N101" i="43"/>
  <c r="H22" i="43"/>
  <c r="M101" i="43"/>
  <c r="E101" i="43"/>
  <c r="B113" i="43"/>
  <c r="C101" i="43"/>
  <c r="N104" i="46"/>
  <c r="H101" i="43"/>
  <c r="S2" i="43"/>
  <c r="AH11" i="43"/>
  <c r="AH13" i="43" s="1"/>
  <c r="AD11" i="43"/>
  <c r="AD13" i="43" s="1"/>
  <c r="Z11" i="43"/>
  <c r="Z13" i="43" s="1"/>
  <c r="AI11" i="43"/>
  <c r="AI13" i="43" s="1"/>
  <c r="AE11" i="43"/>
  <c r="AE13" i="43" s="1"/>
  <c r="AA11" i="43"/>
  <c r="AA13" i="43" s="1"/>
  <c r="C23" i="43"/>
  <c r="S7" i="43"/>
  <c r="S6" i="43"/>
  <c r="F22" i="43"/>
  <c r="F101" i="43"/>
  <c r="E22" i="43"/>
  <c r="D101" i="43"/>
  <c r="I101" i="43"/>
  <c r="S5" i="43"/>
  <c r="G101" i="43"/>
  <c r="J101" i="43"/>
  <c r="L101" i="43"/>
  <c r="G22" i="43"/>
  <c r="AJ11" i="43"/>
  <c r="AJ13" i="43" s="1"/>
  <c r="AF11" i="43"/>
  <c r="AF13" i="43" s="1"/>
  <c r="AB11" i="43"/>
  <c r="AB13" i="43" s="1"/>
  <c r="Z7" i="43"/>
  <c r="AG11" i="43"/>
  <c r="AG13" i="43" s="1"/>
  <c r="AC11" i="43"/>
  <c r="AC13" i="43" s="1"/>
  <c r="Y11" i="43"/>
  <c r="Y13" i="43" s="1"/>
  <c r="S4" i="43"/>
  <c r="C33" i="81"/>
  <c r="C39" i="81" s="1"/>
  <c r="C43" i="81" s="1"/>
  <c r="J59" i="67"/>
  <c r="J60" i="67" s="1"/>
  <c r="Q48" i="67" s="1"/>
  <c r="C13" i="67"/>
  <c r="C75" i="67" s="1"/>
  <c r="C57" i="67"/>
  <c r="C61" i="67" s="1"/>
  <c r="C33" i="67"/>
  <c r="Q49" i="67"/>
  <c r="J19" i="67"/>
  <c r="J14" i="67"/>
  <c r="J22" i="67" s="1"/>
  <c r="C19" i="80"/>
  <c r="C20" i="80" s="1"/>
  <c r="C26" i="80" s="1"/>
  <c r="R20" i="6"/>
  <c r="R7" i="1" s="1"/>
  <c r="L19" i="82"/>
  <c r="M19" i="82"/>
  <c r="C118" i="82" s="1"/>
  <c r="C15" i="74" s="1"/>
  <c r="B2" i="74" s="1"/>
  <c r="C23" i="15"/>
  <c r="C29" i="15" s="1"/>
  <c r="Q49" i="15" s="1"/>
  <c r="H27" i="6"/>
  <c r="D30" i="6"/>
  <c r="D16" i="6"/>
  <c r="R25" i="6"/>
  <c r="C12" i="12"/>
  <c r="C16" i="12" s="1"/>
  <c r="H70" i="39"/>
  <c r="I68" i="39"/>
  <c r="C16" i="71"/>
  <c r="T17" i="71"/>
  <c r="D17" i="71"/>
  <c r="U17" i="71" s="1"/>
  <c r="R24" i="6"/>
  <c r="R22" i="6"/>
  <c r="C28" i="11"/>
  <c r="C27" i="11" s="1"/>
  <c r="C31" i="11" s="1"/>
  <c r="R21" i="6"/>
  <c r="R8" i="1" s="1"/>
  <c r="R23" i="6"/>
  <c r="A7" i="51"/>
  <c r="B7" i="72" s="1"/>
  <c r="C4" i="52"/>
  <c r="B45" i="72" s="1"/>
  <c r="A10" i="51"/>
  <c r="B9" i="72" s="1"/>
  <c r="D27" i="6"/>
  <c r="R19" i="6"/>
  <c r="C38" i="68"/>
  <c r="C35" i="68"/>
  <c r="C10" i="69"/>
  <c r="C8" i="69" s="1"/>
  <c r="C5" i="69" s="1"/>
  <c r="D19" i="69"/>
  <c r="R26" i="6"/>
  <c r="C38" i="11"/>
  <c r="C35" i="11"/>
  <c r="F50" i="11"/>
  <c r="F50" i="68"/>
  <c r="F50" i="69"/>
  <c r="C10" i="68"/>
  <c r="B29" i="1" s="1"/>
  <c r="D19" i="68"/>
  <c r="I63" i="40"/>
  <c r="H65" i="40"/>
  <c r="I58" i="21"/>
  <c r="J58" i="21" s="1"/>
  <c r="K58" i="21" s="1"/>
  <c r="L58" i="21" s="1"/>
  <c r="M58" i="21" s="1"/>
  <c r="N58" i="21" s="1"/>
  <c r="O58" i="21" s="1"/>
  <c r="H7" i="21" s="1"/>
  <c r="F7" i="21"/>
  <c r="J48" i="35"/>
  <c r="F35" i="80"/>
  <c r="F35" i="84"/>
  <c r="M21" i="80"/>
  <c r="M21" i="84"/>
  <c r="C46" i="83" l="1"/>
  <c r="C45" i="83" s="1"/>
  <c r="C43" i="83"/>
  <c r="K104" i="43"/>
  <c r="K109" i="43"/>
  <c r="K102" i="43"/>
  <c r="K107" i="43"/>
  <c r="K106" i="43"/>
  <c r="K103" i="43"/>
  <c r="K105" i="43"/>
  <c r="J105" i="43"/>
  <c r="J106" i="43"/>
  <c r="J107" i="43"/>
  <c r="J104" i="43"/>
  <c r="J103" i="43"/>
  <c r="J109" i="43"/>
  <c r="J102" i="43"/>
  <c r="D109" i="43"/>
  <c r="D106" i="43"/>
  <c r="D103" i="43"/>
  <c r="D107" i="43"/>
  <c r="D105" i="43"/>
  <c r="D102" i="43"/>
  <c r="D104" i="43"/>
  <c r="F107" i="43"/>
  <c r="F103" i="43"/>
  <c r="F104" i="43"/>
  <c r="F105" i="43"/>
  <c r="F106" i="43"/>
  <c r="F109" i="43"/>
  <c r="F102" i="43"/>
  <c r="H103" i="43"/>
  <c r="H109" i="43"/>
  <c r="H106" i="43"/>
  <c r="H102" i="43"/>
  <c r="H104" i="43"/>
  <c r="H107" i="43"/>
  <c r="H105" i="43"/>
  <c r="C104" i="43"/>
  <c r="C105" i="43"/>
  <c r="C107" i="43"/>
  <c r="C109" i="43"/>
  <c r="C106" i="43"/>
  <c r="C102" i="43"/>
  <c r="C103" i="43"/>
  <c r="E102" i="43"/>
  <c r="E103" i="43"/>
  <c r="E107" i="43"/>
  <c r="E109" i="43"/>
  <c r="E106" i="43"/>
  <c r="E104" i="43"/>
  <c r="E105" i="43"/>
  <c r="C26" i="84"/>
  <c r="C29" i="84" s="1"/>
  <c r="L109" i="43"/>
  <c r="L107" i="43"/>
  <c r="L102" i="43"/>
  <c r="L104" i="43"/>
  <c r="L106" i="43"/>
  <c r="L103" i="43"/>
  <c r="L105" i="43"/>
  <c r="G105" i="43"/>
  <c r="G103" i="43"/>
  <c r="G104" i="43"/>
  <c r="G109" i="43"/>
  <c r="G102" i="43"/>
  <c r="G107" i="43"/>
  <c r="G106" i="43"/>
  <c r="I104" i="43"/>
  <c r="I105" i="43"/>
  <c r="I106" i="43"/>
  <c r="I109" i="43"/>
  <c r="I107" i="43"/>
  <c r="I102" i="43"/>
  <c r="I103" i="43"/>
  <c r="D22" i="43"/>
  <c r="C21"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M102" i="43"/>
  <c r="M103" i="43"/>
  <c r="M107" i="43"/>
  <c r="M109" i="43"/>
  <c r="M106" i="43"/>
  <c r="M104" i="43"/>
  <c r="M105" i="43"/>
  <c r="N103" i="43"/>
  <c r="N107" i="43"/>
  <c r="N102" i="43"/>
  <c r="N104" i="43"/>
  <c r="N106" i="43"/>
  <c r="N109" i="43"/>
  <c r="N105" i="43"/>
  <c r="C41" i="83"/>
  <c r="C42" i="81"/>
  <c r="C41" i="81" s="1"/>
  <c r="J20" i="84"/>
  <c r="F63" i="84"/>
  <c r="C62" i="84" s="1"/>
  <c r="C34" i="84"/>
  <c r="C31" i="84" s="1"/>
  <c r="Q70" i="67"/>
  <c r="C56" i="67"/>
  <c r="C65" i="67" s="1"/>
  <c r="C37" i="67"/>
  <c r="J13" i="67"/>
  <c r="J23" i="67" s="1"/>
  <c r="C46" i="81"/>
  <c r="C45" i="81" s="1"/>
  <c r="C64" i="67"/>
  <c r="J20" i="80"/>
  <c r="C34" i="80"/>
  <c r="C31" i="80" s="1"/>
  <c r="F63" i="80"/>
  <c r="C62" i="80" s="1"/>
  <c r="D8" i="74"/>
  <c r="D7" i="74"/>
  <c r="C23" i="80"/>
  <c r="C29" i="80" s="1"/>
  <c r="C8" i="68"/>
  <c r="C8" i="81"/>
  <c r="D31" i="6"/>
  <c r="I5" i="6" s="1"/>
  <c r="C13" i="15"/>
  <c r="C37" i="15" s="1"/>
  <c r="C57" i="15"/>
  <c r="C61" i="15" s="1"/>
  <c r="C36" i="15"/>
  <c r="J19" i="15"/>
  <c r="J14" i="15"/>
  <c r="J59" i="15"/>
  <c r="J60" i="15" s="1"/>
  <c r="Q48" i="15" s="1"/>
  <c r="C18" i="12"/>
  <c r="C21" i="12" s="1"/>
  <c r="R27" i="6"/>
  <c r="R6" i="1"/>
  <c r="C33" i="11"/>
  <c r="C42" i="11" s="1"/>
  <c r="I70" i="39"/>
  <c r="J68" i="39"/>
  <c r="J7" i="21"/>
  <c r="C19" i="68"/>
  <c r="D37" i="68"/>
  <c r="C37" i="68" s="1"/>
  <c r="C33" i="68" s="1"/>
  <c r="C23" i="69"/>
  <c r="I6" i="6"/>
  <c r="C15" i="71"/>
  <c r="D16" i="71"/>
  <c r="C39" i="11"/>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M21" i="15"/>
  <c r="F35" i="15"/>
  <c r="M21" i="67"/>
  <c r="F35" i="67"/>
  <c r="C49" i="83" l="1"/>
  <c r="C51" i="83" s="1"/>
  <c r="F35" i="85" s="1"/>
  <c r="Q70" i="15"/>
  <c r="C57" i="84"/>
  <c r="C13" i="84"/>
  <c r="J14" i="84"/>
  <c r="J59" i="84"/>
  <c r="J60" i="84" s="1"/>
  <c r="J19" i="84"/>
  <c r="J17" i="84" s="1"/>
  <c r="Q49" i="84"/>
  <c r="C36" i="84"/>
  <c r="J7" i="35"/>
  <c r="D113" i="43"/>
  <c r="C49" i="81"/>
  <c r="C51" i="81" s="1"/>
  <c r="F35" i="82" s="1"/>
  <c r="C36" i="80"/>
  <c r="J14" i="80"/>
  <c r="C57" i="80"/>
  <c r="C13" i="80"/>
  <c r="Q49" i="80"/>
  <c r="J59" i="80"/>
  <c r="J60" i="80" s="1"/>
  <c r="J19" i="80"/>
  <c r="J17" i="80" s="1"/>
  <c r="J20" i="67"/>
  <c r="J17" i="67" s="1"/>
  <c r="J16" i="67" s="1"/>
  <c r="J25" i="67" s="1"/>
  <c r="F63" i="67"/>
  <c r="C62" i="67" s="1"/>
  <c r="C59" i="67" s="1"/>
  <c r="C58" i="67" s="1"/>
  <c r="C67" i="67" s="1"/>
  <c r="C68" i="67" s="1"/>
  <c r="C34" i="67"/>
  <c r="C31" i="67" s="1"/>
  <c r="C30" i="67" s="1"/>
  <c r="C39" i="67" s="1"/>
  <c r="C56" i="15"/>
  <c r="C65" i="15" s="1"/>
  <c r="C75" i="15"/>
  <c r="C64" i="15"/>
  <c r="J22" i="15"/>
  <c r="J13" i="15"/>
  <c r="J23" i="15" s="1"/>
  <c r="F63" i="15"/>
  <c r="C62" i="15" s="1"/>
  <c r="C59" i="15" s="1"/>
  <c r="C34" i="15"/>
  <c r="C31" i="15" s="1"/>
  <c r="C30" i="15" s="1"/>
  <c r="C39" i="15" s="1"/>
  <c r="J20" i="15"/>
  <c r="J17" i="15" s="1"/>
  <c r="R16" i="1"/>
  <c r="C22" i="12"/>
  <c r="C30" i="12" s="1"/>
  <c r="C28" i="12" s="1"/>
  <c r="K68" i="39"/>
  <c r="J70" i="39"/>
  <c r="C39" i="69"/>
  <c r="C43" i="69" s="1"/>
  <c r="C42" i="69"/>
  <c r="C46" i="11"/>
  <c r="C45" i="11" s="1"/>
  <c r="C43" i="11"/>
  <c r="C41" i="11" s="1"/>
  <c r="C14" i="71"/>
  <c r="D15" i="71"/>
  <c r="C20" i="69"/>
  <c r="C24" i="68"/>
  <c r="C39" i="68"/>
  <c r="C42" i="68"/>
  <c r="W7" i="35"/>
  <c r="AC7" i="35"/>
  <c r="V38" i="35" s="1"/>
  <c r="I38" i="35" s="1"/>
  <c r="J65" i="40"/>
  <c r="K63" i="40"/>
  <c r="I52" i="21"/>
  <c r="J52" i="21" s="1"/>
  <c r="U7" i="35"/>
  <c r="AB7" i="35"/>
  <c r="T38" i="35" s="1"/>
  <c r="G38" i="35" s="1"/>
  <c r="R49" i="21"/>
  <c r="E48" i="21"/>
  <c r="G52" i="21"/>
  <c r="H52" i="21" s="1"/>
  <c r="G53" i="21"/>
  <c r="H53" i="21" s="1"/>
  <c r="F7" i="35"/>
  <c r="C71" i="67"/>
  <c r="L51" i="67"/>
  <c r="L51" i="15"/>
  <c r="L46" i="84" l="1"/>
  <c r="Q48" i="84"/>
  <c r="C75" i="84"/>
  <c r="Q70" i="84"/>
  <c r="C37" i="84"/>
  <c r="C30" i="84" s="1"/>
  <c r="C39" i="84" s="1"/>
  <c r="Q69" i="84" s="1"/>
  <c r="C56" i="84"/>
  <c r="C65" i="84" s="1"/>
  <c r="J22" i="84"/>
  <c r="J13" i="84"/>
  <c r="J23" i="84" s="1"/>
  <c r="C64" i="84"/>
  <c r="C61" i="84"/>
  <c r="C59" i="84" s="1"/>
  <c r="C64" i="80"/>
  <c r="C61" i="80"/>
  <c r="C59" i="80" s="1"/>
  <c r="Q48" i="80"/>
  <c r="L46" i="80"/>
  <c r="C75" i="80"/>
  <c r="Q70" i="80"/>
  <c r="C37" i="80"/>
  <c r="C30" i="80" s="1"/>
  <c r="C39" i="80" s="1"/>
  <c r="C56" i="80"/>
  <c r="C65" i="80" s="1"/>
  <c r="J13" i="80"/>
  <c r="J23" i="80" s="1"/>
  <c r="J22" i="80"/>
  <c r="L57" i="67"/>
  <c r="L60" i="67" s="1"/>
  <c r="L46" i="67" s="1"/>
  <c r="Q67" i="67"/>
  <c r="C80" i="67"/>
  <c r="C79" i="67" s="1"/>
  <c r="Q69" i="67"/>
  <c r="Q68" i="67" s="1"/>
  <c r="C40" i="67"/>
  <c r="C58" i="15"/>
  <c r="C67" i="15" s="1"/>
  <c r="C68" i="15" s="1"/>
  <c r="C71" i="15" s="1"/>
  <c r="J16" i="15"/>
  <c r="J25" i="15" s="1"/>
  <c r="L57" i="15"/>
  <c r="L60" i="15" s="1"/>
  <c r="L46" i="15" s="1"/>
  <c r="Q67" i="15"/>
  <c r="C80" i="15"/>
  <c r="C79" i="15" s="1"/>
  <c r="Q69" i="15"/>
  <c r="Q68" i="15" s="1"/>
  <c r="C40" i="15"/>
  <c r="C27" i="12"/>
  <c r="C25" i="12" s="1"/>
  <c r="C32" i="12" s="1"/>
  <c r="B2" i="12" s="1"/>
  <c r="B3" i="12" s="1"/>
  <c r="C49" i="11"/>
  <c r="C51" i="11" s="1"/>
  <c r="C52" i="11" s="1"/>
  <c r="B2" i="11" s="1"/>
  <c r="B3" i="11" s="1"/>
  <c r="L68" i="39"/>
  <c r="K70" i="39"/>
  <c r="C41" i="69"/>
  <c r="C46" i="68"/>
  <c r="C45" i="68" s="1"/>
  <c r="C43" i="68"/>
  <c r="C41" i="68" s="1"/>
  <c r="C28" i="69"/>
  <c r="C27" i="69" s="1"/>
  <c r="C25" i="69"/>
  <c r="C22" i="69" s="1"/>
  <c r="C13" i="71"/>
  <c r="D14"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L51" i="80"/>
  <c r="Q68" i="84" l="1"/>
  <c r="J16" i="84"/>
  <c r="J25" i="84" s="1"/>
  <c r="C80" i="84"/>
  <c r="C79" i="84" s="1"/>
  <c r="C58" i="84"/>
  <c r="C67" i="84" s="1"/>
  <c r="C68" i="84" s="1"/>
  <c r="C40" i="84"/>
  <c r="J16" i="80"/>
  <c r="J25" i="80" s="1"/>
  <c r="C58" i="80"/>
  <c r="C67" i="80" s="1"/>
  <c r="C68" i="80" s="1"/>
  <c r="C71" i="80" s="1"/>
  <c r="Q67" i="80"/>
  <c r="Q69" i="80"/>
  <c r="Q68" i="80" s="1"/>
  <c r="C40" i="80"/>
  <c r="C80" i="80"/>
  <c r="C79" i="80" s="1"/>
  <c r="Q57" i="67"/>
  <c r="D2" i="67"/>
  <c r="C83" i="67"/>
  <c r="C82" i="67" s="1"/>
  <c r="C45" i="67"/>
  <c r="C46" i="67" s="1"/>
  <c r="C43" i="67"/>
  <c r="Q47" i="67"/>
  <c r="Q53" i="67" s="1"/>
  <c r="Q65" i="67"/>
  <c r="Q75" i="67" s="1"/>
  <c r="Q56" i="67"/>
  <c r="Q57" i="15"/>
  <c r="C49" i="69"/>
  <c r="C51" i="69" s="1"/>
  <c r="Q66" i="15"/>
  <c r="Q56" i="15"/>
  <c r="C43" i="15"/>
  <c r="C83" i="15"/>
  <c r="C82" i="15" s="1"/>
  <c r="B2" i="15"/>
  <c r="Q65" i="15"/>
  <c r="Q47" i="15"/>
  <c r="Q53" i="15" s="1"/>
  <c r="C46" i="15"/>
  <c r="C49" i="68"/>
  <c r="C51" i="68" s="1"/>
  <c r="F35" i="9" s="1"/>
  <c r="C31" i="69"/>
  <c r="L70" i="39"/>
  <c r="M68" i="39"/>
  <c r="C56" i="11"/>
  <c r="C57" i="11" s="1"/>
  <c r="C12" i="71"/>
  <c r="T13" i="71"/>
  <c r="D13" i="71"/>
  <c r="U13" i="71" s="1"/>
  <c r="R39" i="35"/>
  <c r="E38" i="35"/>
  <c r="M63" i="40"/>
  <c r="L65" i="40"/>
  <c r="AO6" i="1"/>
  <c r="L51" i="84"/>
  <c r="D19" i="9"/>
  <c r="Q67" i="84" l="1"/>
  <c r="Q56" i="84"/>
  <c r="Q62" i="84" s="1"/>
  <c r="Q47" i="84"/>
  <c r="Q53" i="84" s="1"/>
  <c r="C83" i="84"/>
  <c r="C82" i="84" s="1"/>
  <c r="Q65" i="84"/>
  <c r="Q75" i="84" s="1"/>
  <c r="C43" i="84"/>
  <c r="B2" i="84"/>
  <c r="C71" i="84"/>
  <c r="C46" i="84"/>
  <c r="Q47" i="80"/>
  <c r="Q53" i="80" s="1"/>
  <c r="C83" i="80"/>
  <c r="C82" i="80" s="1"/>
  <c r="Q65" i="80"/>
  <c r="Q75" i="80" s="1"/>
  <c r="Q56" i="80"/>
  <c r="Q62" i="80" s="1"/>
  <c r="B2" i="80"/>
  <c r="C43" i="80"/>
  <c r="C46" i="80"/>
  <c r="Q62" i="67"/>
  <c r="B3" i="67"/>
  <c r="B2" i="67"/>
  <c r="Q62" i="15"/>
  <c r="C52" i="69"/>
  <c r="B2" i="69" s="1"/>
  <c r="B3" i="69" s="1"/>
  <c r="Q75" i="15"/>
  <c r="B6" i="70"/>
  <c r="D102" i="9"/>
  <c r="D21" i="9"/>
  <c r="B3" i="15"/>
  <c r="M70" i="39"/>
  <c r="N68" i="39"/>
  <c r="C11" i="71"/>
  <c r="D12" i="71"/>
  <c r="C39" i="35"/>
  <c r="B2" i="35" s="1"/>
  <c r="B3" i="35" s="1"/>
  <c r="C38" i="35"/>
  <c r="N63" i="40"/>
  <c r="M65" i="40"/>
  <c r="E43" i="35"/>
  <c r="F43" i="35" s="1"/>
  <c r="E42" i="35"/>
  <c r="F42" i="35" s="1"/>
  <c r="I43" i="35"/>
  <c r="J43" i="35" s="1"/>
  <c r="D19" i="85"/>
  <c r="AO7" i="1"/>
  <c r="D20" i="9"/>
  <c r="AO8" i="1"/>
  <c r="B8" i="70" l="1"/>
  <c r="B3" i="84"/>
  <c r="D21" i="85"/>
  <c r="D102" i="85"/>
  <c r="B7" i="70"/>
  <c r="B2" i="70" s="1"/>
  <c r="B3" i="70" s="1"/>
  <c r="B3" i="80"/>
  <c r="C57" i="69"/>
  <c r="C56" i="69" s="1"/>
  <c r="D103" i="9"/>
  <c r="N70" i="39"/>
  <c r="F7" i="39" s="1"/>
  <c r="O68" i="39"/>
  <c r="O70" i="39" s="1"/>
  <c r="J7" i="39"/>
  <c r="H7" i="39"/>
  <c r="D11" i="71"/>
  <c r="C10" i="71"/>
  <c r="O63" i="40"/>
  <c r="O65" i="40" s="1"/>
  <c r="N65" i="40"/>
  <c r="D20" i="85"/>
  <c r="D103" i="85" l="1"/>
  <c r="AB7" i="39"/>
  <c r="T47" i="39" s="1"/>
  <c r="G47" i="39" s="1"/>
  <c r="U7" i="39"/>
  <c r="AC7" i="39"/>
  <c r="V47" i="39" s="1"/>
  <c r="I47" i="39" s="1"/>
  <c r="W7" i="39"/>
  <c r="AA7" i="39"/>
  <c r="R47" i="39" s="1"/>
  <c r="S7" i="39"/>
  <c r="C9" i="71"/>
  <c r="D10" i="71"/>
  <c r="J7" i="40"/>
  <c r="F7" i="40"/>
  <c r="H7" i="40"/>
  <c r="R48" i="39" l="1"/>
  <c r="E47" i="39"/>
  <c r="I52" i="39" s="1"/>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T5" i="43" l="1"/>
  <c r="V5" i="43" s="1"/>
  <c r="T12" i="43"/>
  <c r="V12" i="43" s="1"/>
  <c r="T4" i="43"/>
  <c r="C35" i="43"/>
  <c r="T3" i="43"/>
  <c r="T10" i="43"/>
  <c r="V10" i="43" s="1"/>
  <c r="T9" i="43"/>
  <c r="V9" i="43" s="1"/>
  <c r="C34" i="43"/>
  <c r="T16" i="43"/>
  <c r="V16" i="43" s="1"/>
  <c r="C29" i="43"/>
  <c r="T13" i="43"/>
  <c r="V13" i="43" s="1"/>
  <c r="T14" i="43"/>
  <c r="V14" i="43" s="1"/>
  <c r="C36" i="43"/>
  <c r="T2" i="43"/>
  <c r="T6" i="43"/>
  <c r="V6" i="43" s="1"/>
  <c r="T11" i="43"/>
  <c r="V11" i="43" s="1"/>
  <c r="C33" i="43"/>
  <c r="C39" i="43"/>
  <c r="T8" i="43"/>
  <c r="V8" i="43" s="1"/>
  <c r="T7" i="43"/>
  <c r="V7" i="43" s="1"/>
  <c r="T15" i="43"/>
  <c r="V15" i="43" s="1"/>
  <c r="C37" i="43"/>
  <c r="C38" i="43"/>
  <c r="V3" i="43" l="1"/>
  <c r="K14" i="78"/>
  <c r="V4" i="43"/>
  <c r="K15" i="78"/>
  <c r="V2" i="43"/>
  <c r="K13" i="78"/>
  <c r="K20" i="78" s="1"/>
  <c r="L20" i="78" s="1"/>
  <c r="G38" i="43"/>
  <c r="I38" i="43" s="1"/>
  <c r="E38" i="43"/>
  <c r="G37" i="43"/>
  <c r="I37" i="43" s="1"/>
  <c r="E37" i="43"/>
  <c r="G39" i="43"/>
  <c r="I39" i="43" s="1"/>
  <c r="E39" i="43"/>
  <c r="V19" i="43"/>
  <c r="E29" i="43"/>
  <c r="C30" i="43"/>
  <c r="E30" i="43" s="1"/>
  <c r="E34" i="43"/>
  <c r="G34" i="43"/>
  <c r="I34" i="43" s="1"/>
  <c r="E35" i="43"/>
  <c r="G35" i="43"/>
  <c r="I35" i="43" s="1"/>
  <c r="E33" i="43"/>
  <c r="G33" i="43"/>
  <c r="I33" i="43" s="1"/>
  <c r="E36" i="43"/>
  <c r="G36" i="43"/>
  <c r="I36" i="43" s="1"/>
  <c r="L15" i="78" l="1"/>
  <c r="K22" i="78"/>
  <c r="L22" i="78" s="1"/>
  <c r="L14" i="78"/>
  <c r="K21" i="78"/>
  <c r="L21" i="78" s="1"/>
  <c r="L23" i="78" s="1"/>
  <c r="C6" i="81" s="1"/>
  <c r="L13" i="78"/>
  <c r="K18" i="78"/>
  <c r="L18" i="78" s="1"/>
  <c r="C6" i="83" s="1"/>
  <c r="C26" i="43"/>
  <c r="C27" i="43"/>
  <c r="E6" i="76"/>
  <c r="L16" i="78" l="1"/>
  <c r="C6" i="68" s="1"/>
  <c r="C7" i="81"/>
  <c r="C5" i="81" s="1"/>
  <c r="C20" i="81" s="1"/>
  <c r="C25" i="81" s="1"/>
  <c r="E2" i="76"/>
  <c r="B2" i="43"/>
  <c r="B6" i="76"/>
  <c r="C23" i="81" l="1"/>
  <c r="C22" i="81" s="1"/>
  <c r="C7" i="83"/>
  <c r="C5" i="83" s="1"/>
  <c r="C28" i="81"/>
  <c r="C27" i="81" s="1"/>
  <c r="B2" i="76"/>
  <c r="B3" i="76" s="1"/>
  <c r="C7" i="68"/>
  <c r="C5" i="68" s="1"/>
  <c r="B3" i="43"/>
  <c r="C23" i="83" l="1"/>
  <c r="C20" i="83"/>
  <c r="C25" i="83" s="1"/>
  <c r="C31" i="81"/>
  <c r="C52" i="81" s="1"/>
  <c r="C57" i="81" s="1"/>
  <c r="C56" i="81" s="1"/>
  <c r="C23" i="68"/>
  <c r="C20" i="68"/>
  <c r="C25" i="68" s="1"/>
  <c r="D19" i="82"/>
  <c r="C28" i="83" l="1"/>
  <c r="C27" i="83" s="1"/>
  <c r="C22" i="83"/>
  <c r="B2" i="81"/>
  <c r="D102" i="82"/>
  <c r="D21" i="82"/>
  <c r="C28" i="68"/>
  <c r="C27" i="68" s="1"/>
  <c r="C22" i="68"/>
  <c r="B3" i="81"/>
  <c r="D20" i="82"/>
  <c r="C31" i="83" l="1"/>
  <c r="C52" i="83" s="1"/>
  <c r="B2" i="83" s="1"/>
  <c r="D103" i="82"/>
  <c r="C31" i="68"/>
  <c r="C52" i="68" s="1"/>
  <c r="B2" i="68" s="1"/>
  <c r="C19" i="9"/>
  <c r="C19" i="85"/>
  <c r="C19" i="82"/>
  <c r="C20" i="82"/>
  <c r="B3" i="83"/>
  <c r="B3" i="68"/>
  <c r="D22" i="85" l="1"/>
  <c r="G19" i="85"/>
  <c r="C102" i="85"/>
  <c r="C21" i="85"/>
  <c r="C57" i="83"/>
  <c r="C56" i="83" s="1"/>
  <c r="G20" i="82"/>
  <c r="C103" i="82"/>
  <c r="C102" i="82"/>
  <c r="D22" i="82"/>
  <c r="C21" i="82"/>
  <c r="G19" i="82"/>
  <c r="F34" i="82" s="1"/>
  <c r="C57" i="68"/>
  <c r="G19" i="9"/>
  <c r="D22" i="9"/>
  <c r="C21" i="9"/>
  <c r="C102" i="9"/>
  <c r="C20" i="9"/>
  <c r="C20" i="85"/>
  <c r="G21" i="85" l="1"/>
  <c r="F34" i="85"/>
  <c r="G21" i="9"/>
  <c r="F34" i="9"/>
  <c r="C32" i="85"/>
  <c r="G20" i="9"/>
  <c r="C32" i="9" s="1"/>
  <c r="C103" i="9"/>
  <c r="G20" i="85"/>
  <c r="C103" i="85"/>
  <c r="C32" i="82"/>
  <c r="G21" i="82"/>
  <c r="C56" i="68"/>
  <c r="D35" i="85"/>
  <c r="D35" i="9"/>
  <c r="C35" i="85" l="1"/>
  <c r="C34" i="85" s="1"/>
  <c r="C35" i="9"/>
  <c r="C34" i="9" s="1"/>
  <c r="H118" i="85"/>
  <c r="D16" i="74" s="1"/>
  <c r="G16" i="74" s="1"/>
  <c r="H118" i="9"/>
  <c r="D14" i="74" s="1"/>
  <c r="H118" i="82"/>
  <c r="H6" i="86" s="1"/>
  <c r="M19" i="86" s="1"/>
  <c r="N19" i="86" s="1"/>
  <c r="F118" i="9"/>
  <c r="F5" i="86" s="1"/>
  <c r="D34" i="85"/>
  <c r="D35" i="82"/>
  <c r="D34" i="9"/>
  <c r="H119" i="85" l="1"/>
  <c r="F118" i="85"/>
  <c r="G118" i="85" s="1"/>
  <c r="C35" i="82"/>
  <c r="C34" i="82" s="1"/>
  <c r="D118" i="85"/>
  <c r="D119" i="85" s="1"/>
  <c r="F118" i="82"/>
  <c r="F6" i="86" s="1"/>
  <c r="D118" i="9"/>
  <c r="D5" i="86" s="1"/>
  <c r="H101" i="9"/>
  <c r="H107" i="9" s="1"/>
  <c r="I118" i="85"/>
  <c r="I7" i="86" s="1"/>
  <c r="H7" i="86"/>
  <c r="M15" i="86" s="1"/>
  <c r="H101" i="85"/>
  <c r="H107" i="85" s="1"/>
  <c r="C104" i="85"/>
  <c r="I118" i="9"/>
  <c r="I5" i="86" s="1"/>
  <c r="E16" i="74"/>
  <c r="S5" i="78" s="1"/>
  <c r="T5" i="78" s="1"/>
  <c r="F16" i="74"/>
  <c r="D15" i="74"/>
  <c r="G15" i="74" s="1"/>
  <c r="H119" i="9"/>
  <c r="H5" i="52" s="1"/>
  <c r="H5" i="86"/>
  <c r="H4" i="52"/>
  <c r="C104" i="9"/>
  <c r="I118" i="82"/>
  <c r="C104" i="82"/>
  <c r="H119" i="82"/>
  <c r="H101" i="82"/>
  <c r="F4" i="52"/>
  <c r="B51" i="72" s="1"/>
  <c r="F119" i="9"/>
  <c r="F5" i="52" s="1"/>
  <c r="B53" i="72" s="1"/>
  <c r="G118" i="9"/>
  <c r="F14" i="74"/>
  <c r="E14" i="74"/>
  <c r="S3" i="78" s="1"/>
  <c r="T3" i="78" s="1"/>
  <c r="V3" i="78" s="1"/>
  <c r="D119" i="9"/>
  <c r="D5" i="52" s="1"/>
  <c r="B49" i="72" s="1"/>
  <c r="D34" i="82"/>
  <c r="F119" i="82" l="1"/>
  <c r="G7" i="86"/>
  <c r="E118" i="85"/>
  <c r="E7" i="86" s="1"/>
  <c r="F7" i="86"/>
  <c r="F8" i="86" s="1"/>
  <c r="G8" i="86" s="1"/>
  <c r="F119" i="85"/>
  <c r="D45" i="9"/>
  <c r="D52" i="9" s="1"/>
  <c r="G118" i="82"/>
  <c r="G6" i="86" s="1"/>
  <c r="D7" i="86"/>
  <c r="D118" i="82"/>
  <c r="D6" i="86" s="1"/>
  <c r="D9" i="86" s="1"/>
  <c r="D4" i="52"/>
  <c r="B47" i="72" s="1"/>
  <c r="N15" i="86"/>
  <c r="D45" i="85"/>
  <c r="C78" i="85" s="1"/>
  <c r="C73" i="85" s="1"/>
  <c r="M48" i="9"/>
  <c r="H102" i="9"/>
  <c r="D7" i="53" s="1"/>
  <c r="B21" i="72" s="1"/>
  <c r="H102" i="85"/>
  <c r="M48" i="85"/>
  <c r="C105" i="85"/>
  <c r="M16" i="86"/>
  <c r="N16" i="86" s="1"/>
  <c r="M17" i="86"/>
  <c r="N17" i="86" s="1"/>
  <c r="D5" i="53"/>
  <c r="B20" i="72" s="1"/>
  <c r="H9" i="86"/>
  <c r="H10" i="86" s="1"/>
  <c r="I6" i="86"/>
  <c r="F15" i="74"/>
  <c r="H8" i="86"/>
  <c r="C105" i="9"/>
  <c r="I4" i="52"/>
  <c r="B5" i="74"/>
  <c r="D5" i="74" s="1"/>
  <c r="E15" i="74"/>
  <c r="S7" i="78" s="1"/>
  <c r="T7" i="78" s="1"/>
  <c r="D119" i="82"/>
  <c r="G4" i="52"/>
  <c r="B52" i="72" s="1"/>
  <c r="G5" i="86"/>
  <c r="S4" i="78"/>
  <c r="T4" i="78" s="1"/>
  <c r="V4" i="78" s="1"/>
  <c r="S6" i="78"/>
  <c r="T6" i="78" s="1"/>
  <c r="V6" i="78" s="1"/>
  <c r="D53" i="85"/>
  <c r="D122" i="85"/>
  <c r="D123" i="85" s="1"/>
  <c r="H108" i="85"/>
  <c r="M49" i="85"/>
  <c r="H107" i="82"/>
  <c r="D45" i="82"/>
  <c r="M48" i="82"/>
  <c r="C105" i="82"/>
  <c r="H102" i="82"/>
  <c r="E118" i="9"/>
  <c r="D122" i="9"/>
  <c r="D13" i="53"/>
  <c r="H108" i="9"/>
  <c r="D15" i="53" s="1"/>
  <c r="B31" i="72" s="1"/>
  <c r="M49" i="9"/>
  <c r="C64" i="9"/>
  <c r="C63" i="9" s="1"/>
  <c r="C67" i="9" s="1"/>
  <c r="C72" i="9"/>
  <c r="C78" i="9"/>
  <c r="C73" i="9" s="1"/>
  <c r="C85" i="9"/>
  <c r="D55" i="9" l="1"/>
  <c r="M53" i="9" s="1"/>
  <c r="C93" i="9"/>
  <c r="C86" i="9" s="1"/>
  <c r="D53" i="9"/>
  <c r="F9" i="86"/>
  <c r="F10" i="86" s="1"/>
  <c r="D6" i="53"/>
  <c r="B22" i="72" s="1"/>
  <c r="E118" i="82"/>
  <c r="E6" i="86" s="1"/>
  <c r="C5" i="74"/>
  <c r="C85" i="85"/>
  <c r="C64" i="85"/>
  <c r="C63" i="85" s="1"/>
  <c r="C67" i="85" s="1"/>
  <c r="D59" i="85" s="1"/>
  <c r="M55" i="85" s="1"/>
  <c r="D52" i="85"/>
  <c r="D55" i="85"/>
  <c r="M53" i="85" s="1"/>
  <c r="C72" i="85"/>
  <c r="C79" i="85" s="1"/>
  <c r="C80" i="85" s="1"/>
  <c r="E80" i="85" s="1"/>
  <c r="E81" i="85" s="1"/>
  <c r="C93" i="85"/>
  <c r="C86" i="85" s="1"/>
  <c r="M18" i="86"/>
  <c r="N18" i="86" s="1"/>
  <c r="I8" i="86"/>
  <c r="E8" i="86" s="1"/>
  <c r="D8" i="86"/>
  <c r="D10" i="86"/>
  <c r="E4" i="52"/>
  <c r="B48" i="72" s="1"/>
  <c r="E5" i="86"/>
  <c r="L66" i="85"/>
  <c r="M66" i="85" s="1"/>
  <c r="L65" i="85"/>
  <c r="M65" i="85" s="1"/>
  <c r="L64" i="85"/>
  <c r="M64" i="85" s="1"/>
  <c r="L68" i="85"/>
  <c r="M68" i="85" s="1"/>
  <c r="L67" i="85"/>
  <c r="M67" i="85" s="1"/>
  <c r="L63" i="85"/>
  <c r="M63" i="85" s="1"/>
  <c r="C78" i="82"/>
  <c r="C73" i="82" s="1"/>
  <c r="D52" i="82"/>
  <c r="C93" i="82"/>
  <c r="C86" i="82" s="1"/>
  <c r="C85" i="82"/>
  <c r="C72" i="82"/>
  <c r="C64" i="82"/>
  <c r="C63" i="82" s="1"/>
  <c r="C67" i="82" s="1"/>
  <c r="D55" i="82"/>
  <c r="M53" i="82" s="1"/>
  <c r="D53" i="82"/>
  <c r="D122" i="82"/>
  <c r="D123" i="82" s="1"/>
  <c r="H108" i="82"/>
  <c r="M49" i="82"/>
  <c r="D123" i="9"/>
  <c r="D9" i="52" s="1"/>
  <c r="G14" i="74"/>
  <c r="B6" i="74" s="1"/>
  <c r="D8" i="52"/>
  <c r="C95" i="9"/>
  <c r="C79" i="9"/>
  <c r="C68" i="9"/>
  <c r="D54" i="9" s="1"/>
  <c r="D59" i="9"/>
  <c r="M55" i="9" s="1"/>
  <c r="L67" i="9"/>
  <c r="M67" i="9" s="1"/>
  <c r="L63" i="9"/>
  <c r="M63" i="9" s="1"/>
  <c r="L65" i="9"/>
  <c r="M65" i="9" s="1"/>
  <c r="L68" i="9"/>
  <c r="M68" i="9" s="1"/>
  <c r="L64" i="9"/>
  <c r="M64" i="9" s="1"/>
  <c r="L66" i="9"/>
  <c r="M66" i="9" s="1"/>
  <c r="D14" i="53"/>
  <c r="B32" i="72" s="1"/>
  <c r="B30" i="72"/>
  <c r="C68" i="85" l="1"/>
  <c r="D54" i="85" s="1"/>
  <c r="C95" i="85"/>
  <c r="M20" i="86"/>
  <c r="N20" i="86" s="1"/>
  <c r="C81" i="85"/>
  <c r="M69" i="85"/>
  <c r="N69" i="85" s="1"/>
  <c r="C96" i="85"/>
  <c r="E96" i="85" s="1"/>
  <c r="E97" i="85" s="1"/>
  <c r="C79" i="82"/>
  <c r="L66" i="82"/>
  <c r="M66" i="82" s="1"/>
  <c r="L65" i="82"/>
  <c r="M65" i="82" s="1"/>
  <c r="L64" i="82"/>
  <c r="M64" i="82" s="1"/>
  <c r="L68" i="82"/>
  <c r="M68" i="82" s="1"/>
  <c r="L67" i="82"/>
  <c r="M67" i="82" s="1"/>
  <c r="L63" i="82"/>
  <c r="M63" i="82" s="1"/>
  <c r="D59" i="82"/>
  <c r="M55" i="82" s="1"/>
  <c r="C68" i="82"/>
  <c r="D54" i="82" s="1"/>
  <c r="C95" i="82"/>
  <c r="C80" i="82"/>
  <c r="E80" i="82" s="1"/>
  <c r="E81" i="82" s="1"/>
  <c r="M69" i="9"/>
  <c r="N69" i="9" s="1"/>
  <c r="C80" i="9"/>
  <c r="E80" i="9" s="1"/>
  <c r="E81" i="9" s="1"/>
  <c r="C96" i="9"/>
  <c r="E96" i="9" s="1"/>
  <c r="E97" i="9" s="1"/>
  <c r="C6" i="74"/>
  <c r="D6" i="74"/>
  <c r="C97" i="85" l="1"/>
  <c r="D58" i="85" s="1"/>
  <c r="D56" i="85" s="1"/>
  <c r="M54" i="85" s="1"/>
  <c r="N57" i="85" s="1"/>
  <c r="N58" i="85" s="1"/>
  <c r="M69" i="82"/>
  <c r="N69" i="82" s="1"/>
  <c r="C81" i="82"/>
  <c r="C96" i="82"/>
  <c r="E96" i="82" s="1"/>
  <c r="E97" i="82" s="1"/>
  <c r="C81" i="9"/>
  <c r="C97" i="9"/>
  <c r="D58" i="9" s="1"/>
  <c r="D56" i="9" s="1"/>
  <c r="M54" i="9" s="1"/>
  <c r="N57" i="9" s="1"/>
  <c r="P57" i="85" l="1"/>
  <c r="N59" i="85"/>
  <c r="N61" i="85" s="1"/>
  <c r="C97" i="82"/>
  <c r="D58" i="82" s="1"/>
  <c r="D56" i="82" s="1"/>
  <c r="M54" i="82" s="1"/>
  <c r="N57" i="82" s="1"/>
  <c r="N58" i="9"/>
  <c r="P57" i="9"/>
  <c r="N59" i="9"/>
  <c r="N60" i="85" l="1"/>
  <c r="N58" i="82"/>
  <c r="P57" i="82"/>
  <c r="N59" i="82"/>
  <c r="N60" i="9"/>
  <c r="N61" i="9"/>
  <c r="N61" i="82"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<sst xmlns="http://schemas.openxmlformats.org/spreadsheetml/2006/main" count="9347" uniqueCount="3281">
  <si>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</si>
  <si>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</si>
  <si>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</si>
  <si>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</si>
  <si>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</si>
  <si>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</si>
  <si>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</si>
  <si>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</si>
  <si>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</si>
  <si>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</si>
  <si>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</si>
  <si>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</si>
  <si>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</si>
  <si>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</si>
  <si>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</si>
  <si>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</si>
  <si>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</si>
  <si>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</si>
  <si>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</si>
  <si>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</si>
  <si>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</si>
  <si>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</si>
  <si>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</si>
  <si>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</si>
  <si>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</si>
  <si>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</si>
  <si>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</si>
  <si>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</si>
  <si>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</si>
  <si>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</si>
  <si>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</si>
  <si>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</si>
  <si>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</si>
  <si>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</si>
  <si>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</si>
  <si>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</si>
  <si>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</si>
  <si>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</si>
  <si>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</si>
  <si>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</si>
  <si>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</si>
  <si>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</si>
  <si>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</si>
  <si>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</si>
  <si>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</si>
  <si>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</si>
  <si>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</si>
  <si>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</si>
  <si>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</si>
  <si>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</si>
  <si>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</si>
  <si>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</si>
  <si>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</si>
  <si>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</si>
  <si>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</si>
  <si>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</si>
  <si>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</si>
  <si>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</si>
  <si>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</si>
  <si>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</si>
  <si>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</si>
  <si>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</si>
  <si>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</si>
  <si>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</si>
  <si>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</si>
  <si>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</si>
  <si>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</si>
  <si>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</si>
  <si>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</si>
  <si>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</si>
  <si>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</si>
  <si>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</si>
  <si>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</si>
  <si>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</si>
  <si>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</si>
  <si>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</si>
  <si>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</si>
  <si>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</si>
  <si>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</si>
  <si>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</si>
  <si>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</si>
  <si>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</si>
  <si>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</si>
  <si>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</si>
  <si>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</si>
  <si>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</si>
  <si>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</si>
  <si>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</si>
  <si>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</si>
  <si>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</si>
  <si>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</si>
  <si>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</si>
  <si>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</si>
  <si>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</si>
  <si>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</si>
  <si>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</si>
  <si>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</si>
  <si>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</si>
  <si>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</si>
  <si>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</si>
  <si>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</si>
  <si>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</si>
  <si>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</si>
  <si>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</si>
  <si>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</si>
  <si>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</si>
  <si>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</si>
  <si>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</si>
  <si>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</si>
  <si>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</si>
  <si>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</si>
  <si>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</si>
  <si>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</si>
  <si>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</si>
  <si>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</si>
  <si>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</si>
  <si>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</si>
  <si>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</si>
  <si>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</si>
  <si>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</si>
  <si>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</si>
  <si>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</si>
  <si>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</si>
  <si>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</si>
  <si>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</si>
  <si>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</si>
  <si>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</si>
  <si>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</si>
  <si>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</si>
  <si>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</si>
  <si>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</si>
  <si>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</si>
  <si>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</si>
  <si>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</si>
  <si>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</si>
  <si>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</si>
  <si>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</si>
  <si>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</si>
  <si>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</si>
  <si>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</si>
  <si>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</si>
  <si>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</si>
  <si>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</si>
  <si>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</si>
  <si>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</si>
  <si>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</si>
  <si>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</si>
  <si>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</si>
  <si>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</si>
  <si>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</si>
  <si>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</si>
  <si>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</si>
  <si>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</si>
  <si>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</si>
  <si>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</si>
  <si>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</si>
  <si>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</si>
  <si>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</si>
  <si>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</si>
  <si>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</si>
  <si>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</si>
  <si>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</si>
  <si>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</si>
  <si>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</si>
  <si>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</si>
  <si>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</si>
  <si>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</si>
  <si>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</si>
  <si>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</si>
  <si>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</si>
  <si>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</si>
  <si>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</si>
  <si>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</si>
  <si>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</si>
  <si>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</si>
  <si>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</si>
  <si>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</si>
  <si>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</si>
  <si>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</si>
  <si>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</si>
  <si>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</si>
  <si>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</si>
  <si>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</si>
  <si>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</si>
  <si>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</si>
  <si>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</si>
  <si>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</si>
  <si>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</si>
  <si>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</si>
  <si>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</si>
  <si>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</si>
  <si>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</si>
  <si>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</si>
  <si>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</si>
  <si>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</si>
  <si>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</si>
  <si>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</si>
  <si>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</si>
  <si>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</si>
  <si>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</si>
  <si>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</si>
  <si>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</si>
  <si>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</si>
  <si>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</si>
  <si>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</si>
  <si>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</si>
  <si>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</si>
  <si>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</si>
  <si>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</si>
  <si>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</si>
  <si>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</si>
  <si>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</si>
  <si>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</si>
  <si>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</si>
  <si>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</si>
  <si>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</si>
  <si>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</si>
  <si>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</si>
  <si>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</si>
  <si>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</si>
  <si>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</si>
  <si>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</si>
  <si>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</si>
  <si>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</si>
  <si>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</si>
  <si>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</si>
  <si>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</si>
  <si>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</si>
  <si>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</si>
  <si>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</si>
  <si>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</si>
  <si>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</si>
  <si>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</si>
  <si>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</si>
  <si>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</si>
  <si>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</si>
  <si>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</si>
  <si>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</si>
  <si>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</si>
  <si>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</si>
  <si>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</si>
  <si>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</si>
  <si>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</si>
  <si>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</si>
  <si>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</si>
  <si>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</si>
  <si>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</si>
  <si>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</si>
  <si>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</si>
  <si>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</si>
  <si>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</si>
  <si>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</si>
  <si>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</si>
  <si>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</si>
  <si>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</si>
  <si>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</si>
  <si>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</si>
  <si>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</si>
  <si>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</si>
  <si>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</si>
  <si>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</si>
  <si>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</si>
  <si>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</si>
  <si>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</si>
  <si>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</si>
  <si>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</si>
  <si>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</si>
  <si>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</si>
  <si>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</si>
  <si>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</si>
  <si>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</si>
  <si>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</si>
  <si>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</si>
  <si>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</si>
  <si>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</si>
  <si>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</si>
  <si>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</si>
  <si>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</si>
  <si>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</si>
  <si>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</si>
  <si>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</si>
  <si>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</si>
  <si>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</si>
  <si>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</si>
  <si>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</si>
  <si>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</si>
  <si>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</si>
  <si>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</si>
  <si>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</si>
  <si>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</si>
  <si>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</si>
  <si>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</si>
  <si>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</si>
  <si>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</si>
  <si>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</si>
  <si>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</si>
  <si>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</si>
  <si>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</si>
  <si>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</si>
  <si>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</si>
  <si>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</si>
  <si>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</si>
  <si>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</si>
  <si>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</si>
  <si>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</si>
  <si>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</si>
  <si>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</si>
  <si>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</si>
  <si>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</si>
  <si>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</si>
  <si>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</si>
  <si>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</si>
  <si>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</si>
  <si>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</si>
  <si>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</si>
  <si>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</si>
  <si>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</si>
  <si>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</si>
  <si>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</si>
  <si>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</si>
  <si>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</si>
  <si>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</si>
  <si>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</si>
  <si>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</si>
  <si>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</si>
  <si>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</si>
  <si>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</si>
  <si>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</si>
  <si>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</si>
  <si>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</si>
  <si>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</si>
  <si>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</si>
  <si>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</si>
  <si>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</si>
  <si>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</si>
  <si>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</si>
  <si>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</si>
  <si>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</si>
  <si>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</si>
  <si>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</si>
  <si>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</si>
  <si>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</si>
  <si>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</si>
  <si>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</si>
  <si>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</si>
  <si>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</si>
  <si>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</si>
  <si>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</si>
  <si>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</si>
  <si>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</si>
  <si>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</si>
  <si>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</si>
  <si>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</si>
  <si>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</si>
  <si>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</si>
  <si>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</si>
  <si>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</si>
  <si>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</si>
  <si>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</si>
  <si>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</si>
  <si>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</si>
  <si>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</si>
  <si>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</si>
  <si>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</si>
  <si>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</si>
  <si>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</si>
  <si>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</si>
  <si>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</si>
  <si>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</si>
  <si>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</si>
  <si>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</si>
  <si>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</si>
  <si>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</si>
  <si>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</si>
  <si>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</si>
  <si>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</si>
  <si>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</si>
  <si>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</si>
  <si>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</si>
  <si>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</si>
  <si>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</si>
  <si>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</si>
  <si>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</si>
  <si>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</si>
  <si>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</si>
  <si>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</si>
  <si>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</si>
  <si>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</si>
  <si>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</si>
  <si>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</si>
  <si>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</si>
  <si>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</si>
  <si>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</si>
  <si>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</si>
  <si>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</si>
  <si>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</si>
  <si>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</si>
  <si>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</si>
  <si>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</si>
  <si>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</si>
  <si>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</si>
  <si>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</si>
  <si>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</si>
  <si>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</si>
  <si>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</si>
  <si>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</si>
  <si>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</si>
  <si>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</si>
  <si>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</si>
  <si>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</si>
  <si>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</si>
  <si>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</si>
  <si>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</si>
  <si>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</si>
  <si>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</si>
  <si>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</si>
  <si>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</si>
  <si>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</si>
  <si>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</si>
  <si>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</si>
  <si>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</si>
  <si>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</si>
  <si>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</si>
  <si>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</si>
  <si>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</si>
  <si>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</si>
  <si>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</si>
  <si>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</si>
  <si>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</si>
  <si>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</si>
  <si>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</si>
  <si>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</si>
  <si>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</si>
  <si>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</si>
  <si>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</si>
  <si>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</si>
  <si>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</si>
  <si>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</si>
  <si>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</si>
  <si>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</si>
  <si>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</si>
  <si>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</si>
  <si>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</si>
  <si>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</si>
  <si>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</si>
  <si>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</si>
  <si>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</si>
  <si>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</si>
  <si>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</si>
  <si>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</si>
  <si>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</si>
  <si>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</si>
  <si>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</si>
  <si>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</si>
  <si>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</si>
  <si>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</si>
  <si>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</si>
  <si>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</si>
  <si>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</si>
  <si>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</si>
  <si>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</si>
  <si>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</si>
  <si>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</si>
  <si>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</si>
  <si>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</si>
  <si>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</si>
  <si>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</si>
  <si>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</si>
  <si>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</si>
  <si>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</si>
  <si>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</si>
  <si>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</si>
  <si>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</si>
  <si>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</si>
  <si>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</si>
  <si>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</si>
  <si>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</si>
  <si>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</si>
  <si>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</si>
  <si>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</si>
  <si>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</si>
  <si>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</si>
  <si>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</si>
  <si>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</si>
  <si>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</si>
  <si>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</si>
  <si>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</si>
  <si>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</si>
  <si>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</si>
  <si>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</si>
  <si>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</si>
  <si>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</si>
  <si>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</si>
  <si>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</si>
  <si>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</si>
  <si>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</si>
  <si>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</si>
  <si>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</si>
  <si>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</si>
  <si>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</si>
  <si>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</si>
  <si>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</si>
  <si>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</si>
  <si>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</si>
  <si>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</si>
  <si>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</si>
  <si>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</si>
  <si>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</si>
  <si>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</si>
  <si>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</si>
  <si>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</si>
  <si>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</si>
  <si>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</si>
  <si>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</si>
  <si>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</si>
  <si>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</si>
  <si>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</si>
  <si>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</si>
  <si>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</si>
  <si>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</si>
  <si>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</si>
  <si>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</si>
  <si>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</si>
  <si>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</si>
  <si>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</si>
  <si>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</si>
  <si>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</si>
  <si>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</si>
  <si>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</si>
  <si>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</si>
  <si>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</si>
  <si>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</si>
  <si>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</si>
  <si>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</si>
  <si>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</si>
  <si>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</si>
  <si>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</si>
  <si>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</si>
  <si>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</si>
  <si>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</si>
  <si>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</si>
  <si>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</si>
  <si>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</si>
  <si>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</si>
  <si>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</si>
  <si>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</si>
  <si>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</si>
  <si>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</si>
  <si>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</si>
  <si>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</si>
  <si>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</si>
  <si>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</si>
  <si>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</si>
  <si>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</si>
  <si>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</si>
  <si>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</si>
  <si>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</si>
  <si>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</si>
  <si>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</si>
  <si>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</si>
  <si>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</si>
  <si>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</si>
  <si>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</si>
  <si>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</si>
  <si>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</si>
  <si>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</si>
  <si>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</si>
  <si>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</si>
  <si>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</si>
  <si>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</si>
  <si>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</si>
  <si>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</si>
  <si>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</si>
  <si>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</si>
  <si>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</si>
  <si>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</si>
  <si>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</si>
  <si>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</si>
  <si>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</si>
  <si>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</si>
  <si>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</si>
  <si>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</si>
  <si>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</si>
  <si>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</si>
  <si>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</si>
  <si>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</si>
  <si>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</si>
  <si>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</si>
  <si>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</si>
  <si>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</si>
  <si>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</si>
  <si>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</si>
  <si>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</si>
  <si>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</si>
  <si>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</si>
  <si>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</si>
  <si>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</si>
  <si>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</si>
  <si>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</si>
  <si>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</si>
  <si>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</si>
  <si>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</si>
  <si>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</si>
  <si>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</si>
  <si>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</si>
  <si>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</si>
  <si>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</si>
  <si>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</si>
  <si>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</si>
  <si>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</si>
  <si>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</si>
  <si>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</si>
  <si>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</si>
  <si>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</si>
  <si>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</si>
  <si>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</si>
  <si>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</si>
  <si>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</si>
  <si>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</si>
  <si>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</si>
  <si>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</si>
  <si>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</si>
  <si>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</si>
  <si>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</si>
  <si>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</si>
  <si>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</si>
  <si>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</si>
  <si>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</si>
  <si>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</si>
  <si>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</si>
  <si>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</si>
  <si>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</si>
  <si>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</si>
  <si>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</si>
  <si>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</si>
  <si>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</si>
  <si>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</si>
  <si>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</si>
  <si>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</si>
  <si>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</si>
  <si>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</si>
  <si>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</si>
  <si>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</si>
  <si>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</si>
  <si>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</si>
  <si>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</si>
  <si>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</si>
  <si>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</si>
  <si>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</si>
  <si>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</si>
  <si>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</si>
  <si>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</si>
  <si>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</si>
  <si>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</si>
  <si>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</si>
  <si>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</si>
  <si>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</si>
  <si>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</si>
  <si>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</si>
  <si>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</si>
  <si>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</si>
  <si>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</si>
  <si>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</si>
  <si>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</si>
  <si>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</si>
  <si>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</si>
  <si>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</si>
  <si>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</si>
  <si>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</si>
  <si>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</si>
  <si>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</si>
  <si>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</si>
  <si>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</si>
  <si>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</si>
  <si>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</si>
  <si>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</si>
  <si>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</si>
  <si>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</si>
  <si>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</si>
  <si>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</si>
  <si>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</si>
  <si>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</si>
  <si>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</si>
  <si>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</si>
  <si>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</si>
  <si>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</si>
  <si>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</si>
  <si>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</si>
  <si>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</si>
  <si>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</si>
  <si>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</si>
  <si>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</si>
  <si>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</si>
  <si>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</si>
  <si>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</si>
  <si>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</si>
  <si>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</si>
  <si>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</si>
  <si>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</si>
  <si>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</si>
  <si>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</si>
  <si>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</si>
  <si>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</si>
  <si>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</si>
  <si>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</si>
  <si>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</si>
  <si>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</si>
  <si>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</si>
  <si>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</si>
  <si>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</si>
  <si>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</si>
  <si>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</si>
  <si>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</si>
  <si>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</si>
  <si>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</si>
  <si>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</si>
  <si>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</si>
  <si>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</si>
  <si>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</si>
  <si>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</si>
  <si>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</si>
  <si>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</si>
  <si>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</si>
  <si>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</si>
  <si>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</si>
  <si>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</si>
  <si>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</si>
  <si>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</si>
  <si>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</si>
  <si>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</si>
  <si>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</si>
  <si>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</si>
  <si>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</si>
  <si>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</si>
  <si>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</si>
  <si>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</si>
  <si>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</si>
  <si>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</si>
  <si>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</si>
  <si>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</si>
  <si>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</si>
  <si>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</si>
  <si>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</si>
  <si>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</si>
  <si>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</si>
  <si>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</si>
  <si>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</si>
  <si>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</si>
  <si>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</si>
  <si>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</si>
  <si>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</si>
  <si>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</si>
  <si>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</si>
  <si>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</si>
  <si>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</si>
  <si>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</si>
  <si>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</si>
  <si>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</si>
  <si>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</si>
  <si>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</si>
  <si>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</si>
  <si>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</si>
  <si>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</si>
  <si>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</si>
  <si>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</si>
  <si>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</si>
  <si>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</si>
  <si>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</si>
  <si>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</si>
  <si>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</si>
  <si>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</si>
  <si>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</si>
  <si>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</si>
  <si>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</si>
  <si>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</si>
  <si>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</si>
  <si>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</si>
  <si>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</si>
  <si>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</si>
  <si>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</si>
  <si>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</si>
  <si>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</si>
  <si>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</si>
  <si>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</si>
  <si>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</si>
  <si>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</si>
  <si>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</si>
  <si>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</si>
  <si>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</si>
  <si>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</si>
  <si>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</si>
  <si>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</si>
  <si>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</si>
  <si>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</si>
  <si>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</si>
  <si>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</si>
  <si>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</si>
  <si>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</si>
  <si>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</si>
  <si>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</si>
  <si>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</si>
  <si>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</si>
  <si>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</si>
  <si>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</si>
  <si>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</si>
  <si>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</si>
  <si>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</si>
  <si>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</si>
  <si>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</si>
  <si>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</si>
  <si>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</si>
  <si>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</si>
  <si>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</si>
  <si>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</si>
  <si>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</si>
  <si>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</si>
  <si>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</si>
  <si>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</si>
  <si>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</si>
  <si>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</si>
  <si>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</si>
  <si>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</si>
  <si>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</si>
  <si>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</si>
  <si>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</si>
  <si>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</si>
  <si>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</si>
  <si>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</si>
  <si>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</si>
  <si>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</si>
  <si>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</si>
  <si>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</si>
  <si>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</si>
  <si>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</si>
  <si>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</si>
  <si>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</si>
  <si>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</si>
  <si>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</si>
  <si>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</si>
  <si>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</si>
  <si>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</si>
  <si>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</si>
  <si>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</si>
  <si>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</si>
  <si>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</si>
  <si>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</si>
  <si>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</si>
  <si>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</si>
  <si>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</si>
  <si>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</si>
  <si>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</si>
  <si>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</si>
  <si>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</si>
  <si>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</si>
  <si>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</si>
  <si>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</si>
  <si>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</si>
  <si>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</si>
  <si>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</si>
  <si>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</si>
  <si>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</si>
  <si>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</si>
  <si>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</si>
  <si>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</si>
  <si>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</si>
  <si>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</si>
  <si>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</si>
  <si>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</si>
  <si>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</si>
  <si>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</si>
  <si>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</si>
  <si>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</si>
  <si>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</si>
  <si>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</si>
  <si>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</si>
  <si>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</si>
  <si>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</si>
  <si>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</si>
  <si>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</si>
  <si>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</si>
  <si>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</si>
  <si>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</si>
  <si>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</si>
  <si>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</si>
  <si>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</si>
  <si>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</si>
  <si>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</si>
  <si>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</si>
  <si>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</si>
  <si>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</si>
  <si>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</si>
  <si>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</si>
  <si>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</si>
  <si>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</si>
  <si>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</si>
  <si>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</si>
  <si>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</si>
  <si>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</si>
  <si>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</si>
  <si>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</si>
  <si>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</si>
  <si>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</si>
  <si>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</si>
  <si>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</si>
  <si>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</si>
  <si>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</si>
  <si>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</si>
  <si>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</si>
  <si>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</si>
  <si>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</si>
  <si>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</si>
  <si>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</si>
  <si>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</si>
  <si>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</si>
  <si>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</si>
  <si>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</si>
  <si>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</si>
  <si>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</si>
  <si>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</si>
  <si>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</si>
  <si>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</si>
  <si>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</si>
  <si>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</si>
  <si>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</si>
  <si>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</si>
  <si>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</si>
  <si>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</si>
  <si>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</si>
  <si>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</si>
  <si>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</si>
  <si>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</si>
  <si>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</si>
  <si>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</si>
  <si>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</si>
  <si>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</si>
  <si>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</si>
  <si>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</si>
  <si>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</si>
  <si>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</si>
  <si>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</si>
  <si>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</si>
  <si>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</si>
  <si>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</si>
  <si>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</si>
  <si>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</si>
  <si>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</si>
  <si>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</si>
  <si>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</si>
  <si>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</si>
  <si>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</si>
  <si>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</si>
  <si>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</si>
  <si>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</si>
  <si>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</si>
  <si>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</si>
  <si>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</si>
  <si>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</si>
  <si>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</si>
  <si>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</si>
  <si>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</si>
  <si>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</si>
  <si>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</si>
  <si>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</si>
  <si>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</si>
  <si>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</si>
  <si>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</si>
  <si>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</si>
  <si>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</si>
  <si>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</si>
  <si>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</si>
  <si>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</si>
  <si>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</si>
  <si>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</si>
  <si>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</si>
  <si>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</si>
  <si>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</si>
  <si>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</si>
  <si>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</si>
  <si>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</si>
  <si>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</si>
  <si>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</si>
  <si>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</si>
  <si>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</si>
  <si>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</si>
  <si>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</si>
  <si>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</si>
  <si>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</si>
  <si>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</si>
  <si>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</si>
  <si>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</si>
  <si>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</si>
  <si>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</si>
  <si>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</si>
  <si>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</si>
  <si>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</si>
  <si>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</si>
  <si>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</si>
  <si>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</si>
  <si>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</si>
  <si>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</si>
  <si>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</si>
  <si>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</si>
  <si>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</si>
  <si>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</si>
  <si>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</si>
  <si>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</si>
  <si>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</si>
  <si>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</si>
  <si>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</si>
  <si>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</si>
  <si>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</si>
  <si>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</si>
  <si>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</si>
  <si>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</si>
  <si>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</si>
  <si>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</si>
  <si>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</si>
  <si>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</si>
  <si>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</si>
  <si>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</si>
  <si>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</si>
  <si>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</si>
  <si>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</si>
  <si>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</si>
  <si>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</si>
  <si>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</si>
  <si>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</si>
  <si>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</si>
  <si>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</si>
  <si>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</si>
  <si>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</si>
  <si>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</si>
  <si>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</si>
  <si>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</si>
  <si>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</si>
  <si>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</si>
  <si>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</si>
  <si>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</si>
  <si>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</si>
  <si>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</si>
  <si>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</si>
  <si>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</si>
  <si>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</si>
  <si>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</si>
  <si>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</si>
  <si>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</si>
  <si>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</si>
  <si>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</si>
  <si>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</si>
  <si>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</si>
  <si>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</si>
  <si>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</si>
  <si>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</si>
  <si>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</si>
  <si>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</si>
  <si>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</si>
  <si>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</si>
  <si>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</si>
  <si>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</si>
  <si>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</si>
  <si>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</si>
  <si>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</si>
  <si>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</si>
  <si>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</si>
  <si>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</si>
  <si>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</si>
  <si>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</si>
  <si>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</si>
  <si>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</si>
  <si>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</si>
  <si>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</si>
  <si>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</si>
  <si>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</si>
  <si>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</si>
  <si>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</si>
  <si>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</si>
  <si>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</si>
  <si>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</si>
  <si>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</si>
  <si>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</si>
  <si>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</si>
  <si>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</si>
  <si>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</si>
  <si>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</si>
  <si>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</si>
  <si>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</si>
  <si>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</si>
  <si>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</si>
  <si>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</si>
  <si>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</si>
  <si>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</si>
  <si>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</si>
  <si>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</si>
  <si>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</si>
  <si>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</si>
  <si>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</si>
  <si>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</si>
  <si>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</si>
  <si>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</si>
  <si>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</si>
  <si>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</si>
  <si>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</si>
  <si>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</si>
  <si>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</si>
  <si>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</si>
  <si>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</si>
  <si>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</si>
  <si>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</si>
  <si>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</si>
  <si>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</si>
  <si>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</si>
  <si>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</si>
  <si>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</si>
  <si>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</si>
  <si>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</si>
  <si>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</si>
  <si>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</si>
  <si>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</si>
  <si>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</si>
  <si>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</si>
  <si>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</si>
  <si>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</si>
  <si>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</si>
  <si>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</si>
  <si>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</si>
  <si>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</si>
  <si>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</si>
  <si>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</si>
  <si>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</si>
  <si>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</si>
  <si>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</si>
  <si>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</si>
  <si>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</si>
  <si>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</si>
  <si>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</si>
  <si>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</si>
  <si>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</si>
  <si>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</si>
  <si>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</si>
  <si>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</si>
  <si>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</si>
  <si>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</si>
  <si>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</si>
  <si>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</si>
  <si>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</si>
  <si>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</si>
  <si>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</si>
  <si>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</si>
  <si>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</si>
  <si>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</si>
  <si>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</si>
  <si>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</si>
  <si>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</si>
  <si>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</si>
  <si>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</si>
  <si>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</si>
  <si>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</si>
  <si>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</si>
  <si>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</si>
  <si>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</si>
  <si>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</si>
  <si>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</si>
  <si>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</si>
  <si>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</si>
  <si>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</si>
  <si>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</si>
  <si>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</si>
  <si>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</si>
  <si>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</si>
  <si>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</si>
  <si>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</si>
  <si>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</si>
  <si>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</si>
  <si>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</si>
  <si>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</si>
  <si>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</si>
  <si>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</si>
  <si>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</si>
  <si>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</si>
  <si>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</si>
  <si>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</si>
  <si>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</si>
  <si>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</si>
  <si>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</si>
  <si>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</si>
  <si>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</si>
  <si>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</si>
  <si>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</si>
  <si>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</si>
  <si>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</si>
  <si>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</si>
  <si>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</si>
  <si>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</si>
  <si>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</si>
  <si>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</si>
  <si>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</si>
  <si>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</si>
  <si>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</si>
  <si>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</si>
  <si>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</si>
  <si>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</si>
  <si>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</si>
  <si>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</si>
  <si>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</si>
  <si>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</si>
  <si>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</si>
  <si>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</si>
  <si>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</si>
  <si>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</si>
  <si>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</si>
  <si>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</si>
  <si>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</si>
  <si>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</si>
  <si>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</si>
  <si>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</si>
  <si>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</si>
  <si>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</si>
  <si>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</si>
  <si>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</si>
  <si>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</si>
  <si>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</si>
  <si>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</si>
  <si>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</si>
  <si>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</si>
  <si>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</si>
  <si>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</si>
  <si>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</si>
  <si>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</si>
  <si>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</si>
  <si>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</si>
  <si>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</si>
  <si>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</si>
  <si>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</si>
  <si>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</si>
  <si>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</si>
  <si>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</si>
  <si>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</si>
  <si>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</si>
  <si>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</si>
  <si>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</si>
  <si>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</si>
  <si>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</si>
  <si>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</si>
  <si>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</si>
  <si>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</si>
  <si>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</si>
  <si>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</si>
  <si>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</si>
  <si>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</si>
  <si>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</si>
  <si>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</si>
  <si>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</si>
  <si>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</si>
  <si>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</si>
  <si>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</si>
  <si>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</si>
  <si>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</si>
  <si>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</si>
  <si>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</si>
  <si>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</si>
  <si>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</si>
  <si>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</si>
  <si>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</si>
  <si>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</si>
  <si>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</si>
  <si>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</si>
  <si>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</si>
  <si>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</si>
  <si>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</si>
  <si>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</si>
  <si>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</si>
  <si>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</si>
  <si>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</si>
  <si>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</si>
  <si>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</si>
  <si>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</si>
  <si>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</si>
  <si>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</si>
  <si>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</si>
  <si>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</si>
  <si>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</si>
  <si>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</si>
  <si>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</si>
  <si>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</si>
  <si>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</si>
  <si>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</si>
  <si>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</si>
  <si>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</si>
  <si>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</si>
  <si>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</si>
  <si>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</si>
  <si>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</si>
  <si>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</si>
  <si>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</si>
  <si>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</si>
  <si>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</si>
  <si>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</si>
  <si>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</si>
  <si>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</si>
  <si>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</si>
  <si>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</si>
  <si>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</si>
  <si>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</si>
  <si>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</si>
  <si>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</si>
  <si>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</si>
  <si>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</si>
  <si>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</si>
  <si>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</si>
  <si>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</si>
  <si>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</si>
  <si>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</si>
  <si>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</si>
  <si>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</si>
  <si>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</si>
  <si>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</si>
  <si>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</si>
  <si>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</si>
  <si>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</si>
  <si>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</si>
  <si>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</si>
  <si>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</si>
  <si>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</si>
  <si>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</si>
  <si>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</si>
  <si>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</si>
  <si>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</si>
  <si>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</si>
  <si>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</si>
  <si>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</si>
  <si>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</si>
  <si>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</si>
  <si>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</si>
  <si>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</si>
  <si>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</si>
  <si>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</si>
  <si>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</si>
  <si>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</si>
  <si>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</si>
  <si>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</si>
  <si>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</si>
  <si>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</si>
  <si>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</si>
  <si>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</si>
  <si>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</si>
  <si>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</si>
  <si>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</si>
  <si>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</si>
  <si>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</si>
  <si>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</si>
  <si>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</si>
  <si>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</si>
  <si>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</si>
  <si>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</si>
  <si>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</si>
  <si>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</si>
  <si>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</si>
  <si>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</si>
  <si>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</si>
  <si>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</si>
  <si>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</si>
  <si>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</si>
  <si>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</si>
  <si>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</si>
  <si>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</si>
  <si>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</si>
  <si>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</si>
  <si>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</si>
  <si>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</si>
  <si>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</si>
  <si>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</si>
  <si>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</si>
  <si>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</si>
  <si>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</si>
  <si>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</si>
  <si>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</si>
  <si>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</si>
  <si>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</si>
  <si>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</si>
  <si>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</si>
  <si>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</si>
  <si>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</si>
  <si>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</si>
  <si>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</si>
  <si>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</si>
  <si>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</si>
  <si>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</si>
  <si>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</si>
  <si>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</si>
  <si>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</si>
  <si>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</si>
  <si>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</si>
  <si>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</si>
  <si>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</si>
  <si>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</si>
  <si>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</si>
  <si>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</si>
  <si>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</si>
  <si>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</si>
  <si>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</si>
  <si>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</si>
  <si>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</si>
  <si>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</si>
  <si>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</si>
  <si>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</si>
  <si>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</si>
  <si>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</si>
  <si>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</si>
  <si>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</si>
  <si>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</si>
  <si>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</si>
  <si>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</si>
  <si>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</si>
  <si>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</si>
  <si>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</si>
  <si>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</si>
  <si>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</si>
  <si>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</si>
  <si>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</si>
  <si>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</si>
  <si>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</si>
  <si>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</si>
  <si>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</si>
  <si>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</si>
  <si>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</si>
  <si>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</si>
  <si>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</si>
  <si>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</si>
  <si>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</si>
  <si>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</si>
  <si>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</si>
  <si>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</si>
  <si>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</si>
  <si>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</si>
  <si>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</si>
  <si>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</si>
  <si>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</si>
  <si>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</si>
  <si>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</si>
  <si>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</si>
  <si>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</si>
  <si>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</si>
  <si>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</si>
  <si>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</si>
  <si>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</si>
  <si>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</si>
  <si>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</si>
  <si>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</si>
  <si>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</si>
  <si>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</si>
  <si>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</si>
  <si>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</si>
  <si>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</si>
  <si>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</si>
  <si>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</si>
  <si>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</si>
  <si>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</si>
  <si>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</si>
  <si>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</si>
  <si>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</si>
  <si>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</si>
  <si>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</si>
  <si>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</si>
  <si>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</si>
  <si>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</si>
  <si>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</si>
  <si>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</si>
  <si>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</si>
  <si>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</si>
  <si>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</si>
  <si>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</si>
  <si>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</si>
  <si>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</si>
  <si>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</si>
  <si>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</si>
  <si>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</si>
  <si>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</si>
  <si>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</si>
  <si>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</si>
  <si>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</si>
  <si>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</si>
  <si>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</si>
  <si>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</si>
  <si>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</si>
  <si>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</si>
  <si>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</si>
  <si>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</si>
  <si>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</si>
  <si>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</si>
  <si>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</si>
  <si>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</si>
  <si>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</si>
  <si>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</si>
  <si>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</si>
  <si>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</si>
  <si>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</si>
  <si>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</si>
  <si>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</si>
  <si>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</si>
  <si>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</si>
  <si>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</si>
  <si>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</si>
  <si>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</si>
  <si>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</si>
  <si>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</si>
  <si>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</si>
  <si>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</si>
  <si>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</si>
  <si>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</si>
  <si>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</si>
  <si>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</si>
  <si>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</si>
  <si>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</si>
  <si>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</si>
  <si>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</si>
  <si>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</si>
  <si>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</si>
  <si>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</si>
  <si>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</si>
  <si>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</si>
  <si>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</si>
  <si>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</si>
  <si>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</si>
  <si>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</si>
  <si>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</si>
  <si>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</si>
  <si>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</si>
  <si>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</si>
  <si>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</si>
  <si>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</si>
  <si>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</si>
  <si>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</si>
  <si>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</si>
  <si>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</si>
  <si>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</si>
  <si>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</si>
  <si>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</si>
  <si>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</si>
  <si>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</si>
  <si>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</si>
  <si>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</si>
  <si>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</si>
  <si>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</si>
  <si>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</si>
  <si>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</si>
  <si>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</si>
  <si>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</si>
  <si>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</si>
  <si>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</si>
  <si>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</si>
  <si>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</si>
  <si>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</si>
  <si>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</si>
  <si>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</si>
  <si>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</si>
  <si>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</si>
  <si>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</si>
  <si>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</si>
  <si>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</si>
  <si>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</si>
  <si>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</si>
  <si>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</si>
  <si>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</si>
  <si>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</si>
  <si>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</si>
  <si>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</si>
  <si>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</si>
  <si>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</si>
  <si>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</si>
  <si>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</si>
  <si>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</si>
  <si>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</si>
  <si>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</si>
  <si>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</si>
  <si>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</si>
  <si>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</si>
  <si>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</si>
  <si>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</si>
  <si>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</si>
  <si>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</si>
  <si>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</si>
  <si>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</si>
  <si>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</si>
  <si>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</si>
  <si>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</si>
  <si>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</si>
  <si>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</si>
  <si>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</si>
  <si>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</si>
  <si>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</si>
  <si>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</si>
  <si>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</si>
  <si>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</si>
  <si>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</si>
  <si>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</si>
  <si>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</si>
  <si>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</si>
  <si>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</si>
  <si>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</si>
  <si>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</si>
  <si>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</si>
  <si>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</si>
  <si>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</si>
  <si>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</si>
  <si>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</si>
  <si>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</si>
  <si>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</si>
  <si>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</si>
  <si>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</si>
  <si>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</si>
  <si>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</si>
  <si>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</si>
  <si>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</si>
  <si>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</si>
  <si>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</si>
  <si>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</si>
  <si>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</si>
  <si>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</si>
  <si>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</si>
  <si>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</si>
  <si>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</si>
  <si>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</si>
  <si>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</si>
  <si>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</si>
  <si>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</si>
  <si>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</si>
  <si>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</si>
  <si>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</si>
  <si>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</si>
  <si>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</si>
  <si>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</si>
  <si>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</si>
  <si>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</si>
  <si>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</si>
  <si>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</si>
  <si>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</si>
  <si>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</si>
  <si>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</si>
  <si>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</si>
  <si>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</si>
  <si>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</si>
  <si>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</si>
  <si>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</si>
  <si>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</si>
  <si>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</si>
  <si>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</si>
  <si>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</si>
  <si>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</si>
  <si>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</si>
  <si>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</si>
  <si>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</si>
  <si>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</si>
  <si>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</si>
  <si>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</si>
  <si>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</si>
  <si>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</si>
  <si>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</si>
  <si>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</si>
  <si>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</si>
  <si>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</si>
  <si>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</si>
  <si>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</si>
  <si>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</si>
  <si>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</si>
  <si>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</si>
  <si>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</si>
  <si>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</si>
  <si>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</si>
  <si>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</si>
  <si>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</si>
  <si>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</si>
  <si>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</si>
  <si>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</si>
  <si>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</si>
  <si>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</si>
  <si>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</si>
  <si>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</si>
  <si>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</si>
  <si>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</si>
  <si>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</si>
  <si>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</si>
  <si>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</si>
  <si>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</si>
  <si>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</si>
  <si>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</si>
  <si>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</si>
  <si>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</si>
  <si>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</si>
  <si>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</si>
  <si>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</si>
  <si>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</si>
  <si>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</si>
  <si>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</si>
  <si>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</si>
  <si>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</si>
  <si>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</si>
  <si>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</si>
  <si>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</si>
  <si>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</si>
  <si>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</si>
  <si>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</si>
  <si>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</si>
  <si>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</si>
  <si>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</si>
  <si>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</si>
  <si>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</si>
  <si>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</si>
  <si>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</si>
  <si>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</si>
  <si>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</si>
  <si>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</si>
  <si>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</si>
  <si>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</si>
  <si>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</si>
  <si>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</si>
  <si>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</si>
  <si>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</si>
  <si>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</si>
  <si>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</si>
  <si>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</si>
  <si>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</si>
  <si>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</si>
  <si>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</si>
  <si>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</si>
  <si>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</si>
  <si>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</si>
  <si>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</si>
  <si>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</si>
  <si>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</si>
  <si>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</si>
  <si>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</si>
  <si>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</si>
  <si>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</si>
  <si>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</si>
  <si>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</si>
  <si>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</si>
  <si>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</si>
  <si>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</si>
  <si>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</si>
  <si>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</si>
  <si>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</si>
  <si>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</si>
  <si>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</si>
  <si>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</si>
  <si>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</si>
  <si>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</si>
  <si>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</si>
  <si>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</si>
  <si>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</si>
  <si>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</si>
  <si>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</si>
  <si>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</si>
  <si>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</si>
  <si>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</si>
  <si>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</si>
  <si>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</si>
  <si>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</si>
  <si>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</si>
  <si>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</si>
  <si>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</si>
  <si>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</si>
  <si>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</si>
  <si>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</si>
  <si>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</si>
  <si>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</si>
  <si>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</si>
  <si>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</si>
  <si>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</si>
  <si>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</si>
  <si>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</si>
  <si>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</si>
  <si>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</si>
  <si>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</si>
  <si>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</si>
  <si>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</si>
  <si>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</si>
  <si>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</si>
  <si>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</si>
  <si>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</si>
  <si>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</si>
  <si>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</si>
  <si>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</si>
  <si>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</si>
  <si>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</si>
  <si>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</si>
  <si>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</si>
  <si>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</si>
  <si>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</si>
  <si>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</si>
  <si>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</si>
  <si>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</si>
  <si>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</si>
  <si>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</si>
  <si>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</si>
  <si>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</si>
  <si>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</si>
  <si>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</si>
  <si>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</si>
  <si>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</si>
  <si>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</si>
  <si>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</si>
  <si>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</si>
  <si>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</si>
  <si>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</si>
  <si>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</si>
  <si>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</si>
  <si>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</si>
  <si>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</si>
  <si>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</si>
  <si>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</si>
  <si>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</si>
  <si>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</si>
  <si>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</si>
  <si>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</si>
  <si>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</si>
  <si>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</si>
  <si>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</si>
  <si>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</si>
  <si>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</si>
  <si>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</si>
  <si>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</si>
  <si>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</si>
  <si>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</si>
  <si>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</si>
  <si>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</si>
  <si>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</si>
  <si>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</si>
  <si>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</si>
  <si>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</si>
  <si>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</si>
  <si>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</si>
  <si>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</si>
  <si>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</si>
  <si>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</si>
  <si>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</si>
  <si>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</si>
  <si>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</si>
  <si>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</si>
  <si>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</si>
  <si>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</si>
  <si>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</si>
  <si>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</si>
  <si>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</si>
  <si>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</si>
  <si>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</si>
  <si>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</si>
  <si>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</si>
  <si>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</si>
  <si>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</si>
  <si>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</si>
  <si>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</si>
  <si>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</si>
  <si>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</si>
  <si>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</si>
  <si>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</si>
  <si>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</si>
  <si>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</si>
  <si>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</si>
  <si>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</si>
  <si>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</si>
  <si>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</si>
  <si>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</si>
  <si>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</si>
  <si>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</si>
  <si>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</si>
  <si>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</si>
  <si>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</si>
  <si>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</si>
  <si>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</si>
  <si>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</si>
  <si>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</si>
  <si>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</si>
  <si>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</si>
  <si>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</si>
  <si>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</si>
  <si>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</si>
  <si>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</si>
  <si>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</si>
  <si>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</si>
  <si>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</si>
  <si>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</si>
  <si>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</si>
  <si>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</si>
  <si>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</si>
  <si>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</si>
  <si>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</si>
  <si>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</si>
  <si>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</si>
  <si>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</si>
  <si>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</si>
  <si>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</si>
  <si>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</si>
  <si>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</si>
  <si>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</si>
  <si>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</si>
  <si>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</si>
  <si>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</si>
  <si>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</si>
  <si>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</si>
  <si>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</si>
  <si>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</si>
  <si>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</si>
  <si>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</si>
  <si>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</si>
  <si>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</si>
  <si>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</si>
  <si>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</si>
  <si>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</si>
  <si>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</si>
  <si>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</si>
  <si>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</si>
  <si>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</si>
  <si>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</si>
  <si>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</si>
  <si>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</si>
  <si>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</si>
  <si>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</si>
  <si>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</si>
  <si>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</si>
  <si>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</si>
  <si>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</si>
  <si>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</si>
  <si>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</si>
  <si>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</si>
  <si>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</si>
  <si>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</si>
  <si>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</si>
  <si>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</si>
  <si>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</si>
  <si>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</si>
  <si>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</si>
  <si>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</si>
  <si>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</si>
  <si>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</si>
  <si>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</si>
  <si>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</si>
  <si>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</si>
  <si>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</si>
  <si>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</si>
  <si>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</si>
  <si>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</si>
  <si>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</si>
  <si>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</si>
  <si>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</si>
  <si>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</si>
  <si>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</si>
  <si>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</si>
  <si>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</si>
  <si>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</si>
  <si>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</si>
  <si>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</si>
  <si>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</si>
  <si>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</si>
  <si>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</si>
  <si>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</si>
  <si>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</si>
  <si>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</si>
  <si>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</si>
  <si>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</si>
  <si>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</si>
  <si>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</si>
  <si>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</si>
  <si>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</si>
  <si>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</si>
  <si>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</si>
  <si>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</si>
  <si>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</si>
  <si>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</si>
  <si>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</si>
  <si>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</si>
  <si>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</si>
  <si>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</si>
  <si>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</si>
  <si>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</si>
  <si>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</si>
  <si>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</si>
  <si>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</si>
  <si>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</si>
  <si>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</si>
  <si>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</si>
  <si>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</si>
  <si>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</si>
  <si>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</si>
  <si>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</si>
  <si>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</si>
  <si>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</si>
  <si>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</si>
  <si>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</si>
  <si>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</si>
  <si>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</si>
  <si>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</si>
  <si>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</si>
  <si>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</si>
  <si>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</si>
  <si>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</si>
  <si>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</si>
  <si>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</si>
  <si>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</si>
  <si>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</si>
  <si>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</si>
  <si>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</si>
  <si>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</si>
  <si>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</si>
  <si>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</si>
  <si>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</si>
  <si>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</si>
  <si>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</si>
  <si>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</si>
  <si>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</si>
  <si>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</si>
  <si>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</si>
  <si>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</si>
  <si>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</si>
  <si>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</si>
  <si>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</si>
  <si>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</si>
  <si>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</si>
  <si>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</si>
  <si>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</si>
  <si>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</si>
  <si>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</si>
  <si>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</si>
  <si>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</si>
  <si>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</si>
  <si>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</si>
  <si>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</si>
  <si>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</si>
  <si>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</si>
  <si>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</si>
  <si>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</si>
  <si>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</si>
  <si>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</si>
  <si>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</si>
  <si>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</si>
  <si>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</si>
  <si>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</si>
  <si>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</si>
  <si>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</si>
  <si>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</si>
  <si>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</si>
  <si>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</si>
  <si>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</si>
  <si>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</si>
  <si>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</si>
  <si>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</si>
  <si>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</si>
  <si>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</si>
  <si>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</si>
  <si>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</si>
  <si>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</si>
  <si>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</si>
  <si>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</si>
  <si>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</si>
  <si>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</si>
  <si>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</si>
  <si>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</si>
  <si>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</si>
  <si>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</si>
  <si>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</si>
  <si>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</si>
  <si>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</si>
  <si>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</si>
  <si>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</si>
  <si>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</si>
  <si>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</si>
  <si>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</si>
  <si>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</si>
  <si>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</si>
  <si>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</si>
  <si>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</si>
  <si>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</si>
  <si>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</si>
  <si>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</si>
  <si>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</si>
  <si>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</si>
  <si>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</si>
  <si>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</si>
  <si>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</si>
  <si>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</si>
  <si>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</si>
  <si>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</si>
  <si>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</si>
  <si>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</si>
  <si>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</si>
  <si>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</si>
  <si>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</si>
  <si>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</si>
  <si>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</si>
  <si>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</si>
  <si>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</si>
  <si>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</si>
  <si>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</si>
  <si>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</si>
  <si>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</si>
  <si>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</si>
  <si>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</si>
  <si>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</si>
  <si>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</si>
  <si>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</si>
  <si>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</si>
  <si>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</si>
  <si>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</si>
  <si>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</si>
  <si>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</si>
  <si>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</si>
  <si>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</si>
  <si>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</si>
  <si>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</si>
  <si>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</si>
  <si>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</si>
  <si>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</si>
  <si>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</si>
  <si>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</si>
  <si>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</si>
  <si>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</si>
  <si>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</si>
  <si>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</si>
  <si>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</si>
  <si>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</si>
  <si>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</si>
  <si>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</si>
  <si>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</si>
  <si>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</si>
  <si>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</si>
  <si>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</si>
  <si>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</si>
  <si>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</si>
  <si>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</si>
  <si>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</si>
  <si>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</si>
  <si>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</si>
  <si>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</si>
  <si>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</si>
  <si>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</si>
  <si>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</si>
  <si>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</si>
  <si>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</si>
  <si>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</si>
  <si>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</si>
  <si>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</si>
  <si>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</si>
  <si>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</si>
  <si>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</si>
  <si>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</si>
  <si>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</si>
  <si>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</si>
  <si>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</si>
  <si>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</si>
  <si>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</si>
  <si>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</si>
  <si>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</si>
  <si>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</si>
  <si>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</si>
  <si>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</si>
  <si>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</si>
  <si>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</si>
  <si>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</si>
  <si>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</si>
  <si>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</si>
  <si>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</si>
  <si>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</si>
  <si>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</si>
  <si>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</si>
  <si>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</si>
  <si>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</si>
  <si>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</si>
  <si>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</si>
  <si>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</si>
  <si>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</si>
  <si>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</si>
  <si>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</si>
  <si>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</si>
  <si>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</si>
  <si>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</si>
  <si>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</si>
  <si>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</si>
  <si>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</si>
  <si>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</si>
  <si>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</si>
  <si>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</si>
  <si>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</si>
  <si>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</si>
  <si>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</si>
  <si>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</si>
  <si>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</si>
  <si>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</si>
  <si>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</si>
  <si>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</si>
  <si>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</si>
  <si>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</si>
  <si>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</si>
  <si>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</si>
  <si>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</si>
  <si>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</si>
  <si>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</si>
  <si>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</si>
  <si>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</si>
  <si>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</si>
  <si>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</si>
  <si>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</si>
  <si>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</si>
  <si>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</si>
  <si>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</si>
  <si>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</si>
  <si>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</si>
  <si>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</si>
  <si>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</si>
  <si>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</si>
  <si>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</si>
  <si>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</si>
  <si>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</si>
  <si>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</si>
  <si>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</si>
  <si>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</si>
  <si>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</si>
  <si>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</si>
  <si>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</si>
  <si>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</si>
  <si>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</si>
  <si>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</si>
  <si>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</si>
  <si>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</si>
  <si>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</si>
  <si>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</si>
  <si>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</si>
  <si>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</si>
  <si>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</si>
  <si>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</si>
  <si>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</si>
  <si>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</si>
  <si>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</si>
  <si>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</si>
  <si>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</si>
  <si>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</si>
  <si>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</si>
  <si>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</si>
  <si>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</si>
  <si>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</si>
  <si>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</si>
  <si>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</si>
  <si>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</si>
  <si>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</si>
  <si>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</si>
  <si>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</si>
  <si>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</si>
  <si>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</si>
  <si>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</si>
  <si>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</si>
  <si>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</si>
  <si>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</si>
  <si>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</si>
  <si>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</si>
  <si>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</si>
  <si>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</si>
  <si>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</si>
  <si>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</si>
  <si>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</si>
  <si>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</si>
  <si>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</si>
  <si>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</si>
  <si>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</si>
  <si>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</si>
  <si>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</si>
  <si>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</si>
  <si>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</si>
  <si>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</si>
  <si>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</si>
  <si>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</si>
  <si>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</si>
  <si>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</si>
  <si>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</si>
  <si>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</si>
  <si>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</si>
  <si>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</si>
  <si>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</si>
  <si>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</si>
  <si>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</si>
  <si>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</si>
  <si>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</si>
  <si>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</si>
  <si>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</si>
  <si>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</si>
  <si>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</si>
  <si>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</si>
  <si>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</si>
  <si>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</si>
  <si>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</si>
  <si>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</si>
  <si>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</si>
  <si>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</si>
  <si>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</si>
  <si>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</si>
  <si>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</si>
  <si>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</si>
  <si>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</si>
  <si>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</si>
  <si>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</si>
  <si>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</si>
  <si>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</si>
  <si>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</si>
  <si>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</si>
  <si>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</si>
  <si>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</si>
  <si>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</si>
  <si>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</si>
  <si>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</si>
  <si>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</si>
  <si>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</si>
  <si>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</si>
  <si>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</si>
  <si>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</si>
  <si>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</si>
  <si>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</si>
  <si>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</si>
  <si>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</si>
  <si>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</si>
  <si>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</si>
  <si>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</si>
  <si>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</si>
  <si>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</si>
  <si>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</si>
  <si>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</si>
  <si>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</si>
  <si>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</si>
  <si>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</si>
  <si>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</si>
  <si>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</si>
  <si>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</si>
  <si>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</si>
  <si>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</si>
  <si>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</si>
  <si>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</si>
  <si>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</si>
  <si>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</si>
  <si>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</si>
  <si>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</si>
  <si>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</si>
  <si>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</si>
  <si>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</si>
  <si>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</si>
  <si>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</si>
  <si>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</si>
  <si>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</si>
  <si>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</si>
  <si>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</si>
  <si>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</si>
  <si>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</si>
  <si>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</si>
  <si>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</si>
  <si>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</si>
  <si>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</si>
  <si>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</si>
  <si>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</si>
  <si>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</si>
  <si>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</si>
  <si>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</si>
  <si>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</si>
  <si>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</si>
  <si>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</si>
  <si>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</si>
  <si>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</si>
  <si>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</si>
  <si>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</si>
  <si>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</si>
  <si>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</si>
  <si>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</si>
  <si>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</si>
  <si>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</si>
  <si>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</si>
  <si>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</si>
  <si>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</si>
  <si>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</si>
  <si>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</si>
  <si>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</si>
  <si>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</si>
  <si>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</si>
  <si>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</si>
  <si>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</si>
  <si>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</si>
  <si>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</si>
  <si>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</si>
  <si>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</si>
  <si>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</si>
  <si>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</si>
  <si>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</si>
  <si>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</si>
  <si>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</si>
  <si>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</si>
  <si>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</si>
  <si>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</si>
  <si>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</si>
  <si>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</si>
  <si>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</si>
  <si>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</si>
  <si>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</si>
  <si>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</si>
  <si>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</si>
  <si>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</si>
  <si>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</si>
  <si>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</si>
  <si>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</si>
  <si>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</si>
  <si>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</si>
  <si>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</si>
  <si>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</si>
  <si>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</si>
  <si>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</si>
  <si>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</si>
  <si>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</si>
  <si>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</si>
  <si>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</si>
  <si>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</si>
  <si>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</si>
  <si>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</si>
  <si>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</si>
  <si>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</si>
  <si>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</si>
  <si>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</si>
  <si>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</si>
  <si>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</si>
  <si>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</si>
  <si>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</si>
  <si>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</si>
  <si>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</si>
  <si>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</si>
  <si>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</si>
  <si>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</si>
  <si>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</si>
  <si>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</si>
  <si>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</si>
  <si>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</si>
  <si>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</si>
  <si>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</si>
  <si>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</si>
  <si>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</si>
  <si>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</si>
  <si>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</si>
  <si>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</si>
  <si>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</si>
  <si>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</si>
  <si>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</si>
  <si>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</si>
  <si>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</si>
  <si>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</si>
  <si>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</si>
  <si>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</si>
  <si>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</si>
  <si>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</si>
  <si>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</si>
  <si>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</si>
  <si>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</si>
  <si>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</si>
  <si>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</si>
  <si>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</si>
  <si>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</si>
  <si>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</si>
  <si>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</si>
  <si>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</si>
  <si>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</si>
  <si>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</si>
  <si>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</si>
  <si>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</si>
  <si>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</si>
  <si>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</si>
  <si>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</si>
  <si>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</si>
  <si>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</si>
  <si>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</si>
  <si>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</si>
  <si>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</si>
  <si>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</si>
  <si>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</si>
  <si>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</si>
  <si>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</si>
  <si>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</si>
  <si>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</si>
  <si>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</si>
  <si>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</si>
  <si>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</si>
  <si>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</si>
  <si>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</si>
  <si>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</si>
  <si>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</si>
  <si>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</si>
  <si>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</si>
  <si>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</si>
  <si>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</si>
  <si>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</si>
  <si>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</si>
  <si>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</si>
  <si>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</si>
  <si>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</si>
  <si>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</si>
  <si>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</si>
  <si>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</si>
  <si>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</si>
  <si>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</si>
  <si>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</si>
  <si>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</si>
  <si>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</si>
  <si>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</si>
  <si>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</si>
  <si>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</si>
  <si>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</si>
  <si>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</si>
  <si>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</si>
  <si>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</si>
  <si>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</si>
  <si>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</si>
  <si>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</si>
  <si>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</si>
  <si>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</si>
  <si>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</si>
  <si>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</si>
  <si>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</si>
  <si>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</si>
  <si>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</si>
  <si>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</si>
  <si>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</si>
  <si>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</si>
  <si>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</si>
  <si>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</si>
  <si>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</si>
  <si>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</si>
  <si>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</si>
  <si>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</si>
  <si>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</si>
  <si>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</si>
  <si>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</si>
  <si>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</si>
  <si>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</si>
  <si>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</si>
  <si>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</si>
  <si>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</si>
  <si>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</si>
  <si>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</si>
  <si>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</si>
  <si>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</si>
  <si>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</si>
  <si>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</si>
  <si>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</si>
  <si>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</si>
  <si>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</si>
  <si>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</si>
  <si>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</si>
  <si>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</si>
  <si>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</si>
  <si>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</si>
  <si>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</si>
  <si>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</si>
  <si>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</si>
  <si>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</si>
  <si>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</si>
  <si>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</si>
  <si>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</si>
  <si>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</si>
  <si>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</si>
  <si>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</si>
  <si>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</si>
  <si>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</si>
  <si>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</si>
  <si>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</si>
  <si>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</si>
  <si>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</si>
  <si>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</si>
  <si>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</si>
  <si>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</si>
  <si>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</si>
  <si>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</si>
  <si>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</si>
  <si>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</si>
  <si>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</si>
  <si>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</si>
  <si>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</si>
  <si>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</si>
  <si>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</si>
  <si>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</si>
  <si>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</si>
  <si>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</si>
  <si>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</si>
  <si>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</si>
  <si>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</si>
  <si>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</si>
  <si>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</si>
  <si>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</si>
  <si>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</si>
  <si>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</si>
  <si>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</si>
  <si>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</si>
  <si>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</si>
  <si>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</si>
  <si>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</si>
  <si>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</si>
  <si>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</si>
  <si>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</si>
  <si>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</si>
  <si>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</si>
  <si>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</si>
  <si>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</si>
  <si>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</si>
  <si>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</si>
  <si>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</si>
  <si>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</si>
  <si>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</si>
  <si>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</si>
  <si>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</si>
  <si>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</si>
  <si>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</si>
  <si>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</si>
  <si>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</si>
  <si>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</si>
  <si>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</si>
  <si>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</si>
  <si>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</si>
  <si>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</si>
  <si>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</si>
  <si>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</si>
  <si>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</si>
  <si>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</si>
  <si>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</si>
  <si>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</si>
  <si>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</si>
  <si>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</si>
  <si>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</si>
  <si>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</si>
  <si>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</si>
  <si>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</si>
  <si>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</si>
  <si>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</si>
  <si>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</si>
  <si>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</si>
  <si>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</si>
  <si>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</si>
  <si>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</si>
  <si>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</si>
  <si>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</si>
  <si>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</si>
  <si>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</si>
  <si>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</si>
  <si>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</si>
  <si>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</si>
  <si>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</si>
  <si>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</si>
  <si>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</si>
  <si>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</si>
  <si>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</si>
  <si>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</si>
  <si>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</si>
  <si>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</si>
  <si>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</si>
  <si>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</si>
  <si>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</si>
  <si>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</si>
  <si>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</si>
  <si>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</si>
  <si>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</si>
  <si>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</si>
  <si>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</si>
  <si>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</si>
  <si>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</si>
  <si>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</si>
  <si>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</si>
  <si>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</si>
  <si>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</si>
  <si>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</si>
  <si>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</si>
  <si>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</si>
  <si>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</si>
  <si>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</si>
  <si>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</si>
  <si>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</si>
  <si>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</si>
  <si>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</si>
  <si>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</si>
  <si>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</si>
  <si>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</si>
  <si>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</si>
  <si>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</si>
  <si>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</si>
  <si>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</si>
  <si>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</si>
  <si>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</si>
  <si>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</si>
  <si>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</si>
  <si>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</si>
  <si>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</si>
  <si>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</si>
  <si>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</si>
  <si>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</si>
  <si>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</si>
  <si>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</si>
  <si>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</si>
  <si>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</si>
  <si>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</si>
  <si>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</si>
  <si>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</si>
  <si>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</si>
  <si>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</si>
  <si>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</si>
  <si>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</si>
  <si>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</si>
  <si>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</si>
  <si>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</si>
  <si>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</si>
  <si>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</si>
  <si>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</si>
  <si>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</si>
  <si>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</si>
  <si>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</si>
  <si>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</si>
  <si>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</si>
  <si>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</si>
  <si>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</si>
  <si>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</si>
  <si>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</si>
  <si>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</si>
  <si>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</si>
  <si>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</si>
  <si>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</si>
  <si>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</si>
  <si>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</si>
  <si>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</si>
  <si>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</si>
  <si>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</si>
  <si>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</si>
  <si>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</si>
  <si>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</si>
  <si>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</si>
  <si>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</si>
  <si>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</si>
  <si>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</si>
  <si>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</si>
  <si>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</si>
  <si>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</si>
  <si>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</si>
  <si>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</si>
  <si>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</si>
  <si>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</si>
  <si>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</si>
  <si>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</si>
  <si>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</si>
  <si>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</si>
  <si>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</si>
  <si>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</si>
  <si>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</si>
  <si>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</si>
  <si>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</si>
  <si>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</si>
  <si>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</si>
  <si>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</si>
  <si>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</si>
  <si>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</si>
  <si>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</si>
  <si>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</si>
  <si>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</si>
  <si>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</si>
  <si>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</si>
  <si>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</si>
  <si>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</si>
  <si>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</si>
  <si>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</si>
  <si>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</si>
  <si>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</si>
  <si>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</si>
  <si>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</si>
  <si>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</si>
  <si>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</si>
  <si>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</si>
  <si>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</si>
  <si>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</si>
  <si>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</si>
  <si>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</si>
  <si>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</si>
  <si>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</si>
  <si>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</si>
  <si>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</si>
  <si>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</si>
  <si>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</si>
  <si>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</si>
  <si>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</si>
  <si>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</si>
  <si>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</si>
  <si>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</si>
  <si>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</si>
  <si>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</si>
  <si>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</si>
  <si>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</si>
  <si>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</si>
  <si>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</si>
  <si>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</si>
  <si>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</si>
  <si>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</si>
  <si>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</si>
  <si>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</si>
  <si>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</si>
  <si>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</si>
  <si>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</si>
  <si>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</si>
  <si>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</si>
  <si>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</si>
  <si>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</si>
  <si>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</si>
  <si>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</si>
  <si>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</si>
  <si>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</si>
  <si>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</si>
  <si>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</si>
  <si>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</si>
  <si>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</si>
  <si>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</si>
  <si>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</si>
  <si>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</si>
  <si>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</si>
  <si>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</si>
  <si>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</si>
  <si>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</si>
  <si>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</si>
  <si>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</si>
  <si>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</si>
  <si>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</si>
  <si>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</si>
  <si>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</si>
  <si>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</si>
  <si>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</si>
  <si>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</si>
  <si>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</si>
  <si>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</si>
  <si>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</si>
  <si>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</si>
  <si>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</si>
  <si>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</si>
  <si>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</si>
  <si>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</si>
  <si>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</si>
  <si>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</si>
  <si>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</si>
  <si>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</si>
  <si>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</si>
  <si>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</si>
  <si>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</si>
  <si>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</si>
  <si>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</si>
  <si>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</si>
  <si>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</si>
  <si>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</si>
  <si>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</si>
  <si>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</si>
  <si>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</si>
  <si>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</si>
  <si>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</si>
  <si>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</si>
  <si>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</si>
  <si>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</si>
  <si>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</si>
  <si>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</si>
  <si>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</si>
  <si>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</si>
  <si>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</si>
  <si>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</si>
  <si>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</si>
  <si>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</si>
  <si>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</si>
  <si>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</si>
  <si>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</si>
  <si>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</si>
  <si>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</si>
  <si>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</si>
  <si>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</si>
  <si>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</si>
  <si>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</si>
  <si>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</si>
  <si>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</si>
  <si>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</si>
  <si>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</si>
  <si>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</si>
  <si>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</si>
  <si>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</si>
  <si>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</si>
  <si>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</si>
  <si>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</si>
  <si>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</si>
  <si>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</si>
  <si>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</si>
  <si>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</si>
  <si>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</si>
  <si>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</si>
  <si>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</si>
  <si>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</si>
  <si>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</si>
  <si>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</si>
  <si>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</si>
  <si>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</si>
  <si>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</si>
  <si>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</si>
  <si>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</si>
  <si>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</si>
  <si>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</si>
  <si>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</si>
  <si>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</si>
  <si>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</si>
  <si>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</si>
  <si>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</si>
  <si>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</si>
  <si>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</si>
  <si>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</si>
  <si>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</si>
  <si>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</si>
  <si>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</si>
  <si>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</si>
  <si>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</si>
  <si>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</si>
  <si>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</si>
  <si>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</si>
  <si>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</si>
  <si>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</si>
  <si>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</si>
  <si>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</si>
  <si>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</si>
  <si>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</si>
  <si>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</si>
  <si>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</si>
  <si>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</si>
  <si>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</si>
  <si>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</si>
  <si>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</si>
  <si>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</si>
  <si>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</si>
  <si>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</si>
  <si>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</si>
  <si>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</si>
  <si>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</si>
  <si>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</si>
  <si>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</si>
  <si>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</si>
  <si>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</si>
  <si>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</si>
  <si>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</si>
  <si>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</si>
  <si>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</si>
  <si>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</si>
  <si>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</si>
  <si>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</si>
  <si>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</si>
  <si>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</si>
  <si>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</si>
  <si>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</si>
  <si>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</si>
  <si>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</si>
  <si>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</si>
  <si>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</si>
  <si>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</si>
  <si>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</si>
  <si>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</si>
  <si>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</si>
  <si>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</si>
  <si>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</si>
  <si>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</si>
  <si>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</si>
  <si>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</si>
  <si>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</si>
  <si>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</si>
  <si>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</si>
  <si>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</si>
  <si>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</si>
  <si>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</si>
  <si>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</si>
  <si>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</si>
  <si>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</si>
  <si>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</si>
  <si>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</si>
  <si>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</si>
  <si>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</si>
  <si>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</si>
  <si>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</si>
  <si>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</si>
  <si>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</si>
  <si>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</si>
  <si>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</si>
  <si>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</si>
  <si>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</si>
  <si>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</si>
  <si>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</si>
  <si>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</si>
  <si>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</si>
  <si>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</si>
  <si>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</si>
  <si>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</si>
  <si>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</si>
  <si>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</si>
  <si>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</si>
  <si>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</si>
  <si>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</si>
  <si>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</si>
  <si>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</si>
  <si>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</si>
  <si>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</si>
  <si>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</si>
  <si>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</si>
  <si>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</si>
  <si>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</si>
  <si>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</si>
  <si>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</si>
  <si>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</si>
  <si>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</si>
  <si>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</si>
  <si>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</si>
  <si>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</si>
  <si>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</si>
  <si>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</si>
  <si>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</si>
  <si>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</si>
  <si>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</si>
  <si>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</si>
  <si>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</si>
  <si>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</si>
  <si>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</si>
  <si>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</si>
  <si>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</si>
  <si>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</si>
  <si>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</si>
  <si>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</si>
  <si>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</si>
  <si>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</si>
  <si>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</si>
  <si>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</si>
  <si>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</si>
  <si>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</si>
  <si>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</si>
  <si>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</si>
  <si>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</si>
  <si>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</si>
  <si>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</si>
  <si>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</si>
  <si>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</si>
  <si>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</si>
  <si>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</si>
  <si>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</si>
  <si>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</si>
  <si>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</si>
  <si>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</si>
  <si>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</si>
  <si>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</si>
  <si>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</si>
  <si>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</si>
  <si>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</si>
  <si>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</si>
  <si>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</si>
  <si>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</si>
  <si>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</si>
  <si>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</si>
  <si>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</si>
  <si>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</si>
  <si>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</si>
  <si>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</si>
  <si>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</si>
  <si>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</si>
  <si>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</si>
  <si>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</si>
  <si>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</si>
  <si>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</si>
  <si>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</si>
  <si>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</si>
  <si>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</si>
  <si>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</si>
  <si>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</si>
  <si>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</si>
  <si>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</si>
  <si>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</si>
  <si>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</si>
  <si>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</si>
  <si>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</si>
  <si>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</si>
  <si>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</si>
  <si>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</si>
  <si>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</si>
  <si>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</si>
  <si>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</si>
  <si>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</si>
  <si>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</si>
  <si>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</si>
  <si>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</si>
  <si>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</si>
  <si>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</si>
  <si>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</si>
  <si>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</si>
  <si>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</si>
  <si>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</si>
  <si>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</si>
  <si>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</si>
  <si>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</si>
  <si>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</si>
  <si>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</si>
  <si>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</si>
  <si>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</si>
  <si>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</si>
  <si>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</si>
  <si>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</si>
  <si>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</si>
  <si>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</si>
  <si>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</si>
  <si>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</si>
  <si>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</si>
  <si>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</si>
  <si>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</si>
  <si>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</si>
  <si>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</si>
  <si>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</si>
  <si>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</si>
  <si>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</si>
  <si>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</si>
  <si>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</si>
  <si>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</si>
  <si>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</si>
  <si>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</si>
  <si>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</si>
  <si>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</si>
  <si>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</si>
  <si>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</si>
  <si>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吴薇</t>
  </si>
  <si>
    <t>郑燚</t>
  </si>
  <si>
    <t>抵押</t>
  </si>
  <si>
    <t>房地产抵押价值</t>
  </si>
  <si>
    <t>北京市</t>
  </si>
  <si>
    <t>企业</t>
  </si>
  <si>
    <t>出让</t>
  </si>
  <si>
    <t>否</t>
  </si>
  <si>
    <t>商业项目</t>
  </si>
  <si>
    <t>现房</t>
  </si>
  <si>
    <t>通路</t>
  </si>
  <si>
    <t>通电</t>
  </si>
  <si>
    <t>通讯</t>
  </si>
  <si>
    <t>通上水</t>
  </si>
  <si>
    <t>通下水</t>
  </si>
  <si>
    <t>燃气</t>
  </si>
  <si>
    <t>通热</t>
  </si>
  <si>
    <t>楼号</t>
  </si>
  <si>
    <t>规划用途</t>
  </si>
  <si>
    <t>所在楼层</t>
  </si>
  <si>
    <t>规划建筑面积（㎡）</t>
  </si>
  <si>
    <t>成本法</t>
  </si>
  <si>
    <t>收益法</t>
  </si>
  <si>
    <t>总价</t>
  </si>
  <si>
    <t>成本比率</t>
  </si>
  <si>
    <t>房屋坐落</t>
    <phoneticPr fontId="140" type="noConversion"/>
  </si>
  <si>
    <t>建筑面积</t>
    <phoneticPr fontId="140" type="noConversion"/>
  </si>
  <si>
    <t>不动产权证证号</t>
    <phoneticPr fontId="140" type="noConversion"/>
  </si>
  <si>
    <t>土地终止日期</t>
    <phoneticPr fontId="140" type="noConversion"/>
  </si>
  <si>
    <t>套内</t>
    <phoneticPr fontId="140" type="noConversion"/>
  </si>
  <si>
    <t>分摊</t>
    <phoneticPr fontId="140" type="noConversion"/>
  </si>
  <si>
    <t>合计</t>
    <phoneticPr fontId="140" type="noConversion"/>
  </si>
  <si>
    <t>朝阳区黄渠东路5号院3号楼1层101</t>
    <phoneticPr fontId="140" type="noConversion"/>
  </si>
  <si>
    <t>京（2021）朝不动产权第0110622号</t>
    <phoneticPr fontId="140" type="noConversion"/>
  </si>
  <si>
    <t>8号楼</t>
  </si>
  <si>
    <t>1-3层</t>
  </si>
  <si>
    <t>10号楼</t>
  </si>
  <si>
    <t>11号楼</t>
  </si>
  <si>
    <t>1层</t>
  </si>
  <si>
    <t>13号楼</t>
  </si>
  <si>
    <t>14号楼</t>
  </si>
  <si>
    <t>朝阳区黄渠东路5号院4号楼1至3层302等[6]套</t>
    <phoneticPr fontId="140" type="noConversion"/>
  </si>
  <si>
    <t>京（2021）朝不动产权第0106251号</t>
    <phoneticPr fontId="140" type="noConversion"/>
  </si>
  <si>
    <t>1层</t>
    <phoneticPr fontId="140" type="noConversion"/>
  </si>
  <si>
    <t>部位及房号</t>
    <phoneticPr fontId="140" type="noConversion"/>
  </si>
  <si>
    <t>楼号</t>
    <phoneticPr fontId="140" type="noConversion"/>
  </si>
  <si>
    <t>2层（02）</t>
    <phoneticPr fontId="140" type="noConversion"/>
  </si>
  <si>
    <t>1层（01）</t>
    <phoneticPr fontId="140" type="noConversion"/>
  </si>
  <si>
    <t>3层（03）</t>
    <phoneticPr fontId="140" type="noConversion"/>
  </si>
  <si>
    <t>朝阳区黄渠东路5号院6号楼1至2层202等[5]套</t>
    <phoneticPr fontId="140" type="noConversion"/>
  </si>
  <si>
    <t>京（2021）朝不动产权第0106206号</t>
    <phoneticPr fontId="140" type="noConversion"/>
  </si>
  <si>
    <t>8（4）</t>
    <phoneticPr fontId="140" type="noConversion"/>
  </si>
  <si>
    <t>13（6）</t>
    <phoneticPr fontId="140" type="noConversion"/>
  </si>
  <si>
    <t>朝阳区黄渠东路5号院7号楼1至2层201等[4]套</t>
    <phoneticPr fontId="140" type="noConversion"/>
  </si>
  <si>
    <t>京（2021）朝不动产权第0110639号</t>
    <phoneticPr fontId="140" type="noConversion"/>
  </si>
  <si>
    <t>14（7）</t>
    <phoneticPr fontId="140" type="noConversion"/>
  </si>
  <si>
    <t>10（5）</t>
    <phoneticPr fontId="140" type="noConversion"/>
  </si>
  <si>
    <t>5号楼6套</t>
    <phoneticPr fontId="140" type="noConversion"/>
  </si>
  <si>
    <t>2层</t>
    <phoneticPr fontId="140" type="noConversion"/>
  </si>
  <si>
    <t>3层</t>
    <phoneticPr fontId="140" type="noConversion"/>
  </si>
  <si>
    <t>地上</t>
  </si>
  <si>
    <t>独栋</t>
  </si>
  <si>
    <t>是</t>
  </si>
  <si>
    <t>成新度</t>
  </si>
  <si>
    <t>利息：取LPR加浮动点数</t>
  </si>
  <si>
    <t>一般</t>
    <phoneticPr fontId="3" type="noConversion"/>
  </si>
  <si>
    <t>好</t>
    <phoneticPr fontId="3" type="noConversion"/>
  </si>
  <si>
    <t>较好</t>
    <phoneticPr fontId="3" type="noConversion"/>
  </si>
  <si>
    <t>七通</t>
    <phoneticPr fontId="3" type="noConversion"/>
  </si>
  <si>
    <t>主干道</t>
    <phoneticPr fontId="3" type="noConversion"/>
  </si>
  <si>
    <t>按租金收入计税</t>
  </si>
  <si>
    <t>钢混</t>
  </si>
  <si>
    <t>非生产用房</t>
  </si>
  <si>
    <t>未包含在土地购买价格中</t>
  </si>
  <si>
    <t>已包含在土地取得成本中</t>
  </si>
  <si>
    <t>批发零售用地</t>
  </si>
  <si>
    <t>不临58条商业街</t>
  </si>
  <si>
    <t>与级别开发程度一致</t>
  </si>
  <si>
    <t>一般</t>
  </si>
  <si>
    <t>好</t>
  </si>
  <si>
    <t>较好</t>
  </si>
  <si>
    <t>容积率修正</t>
  </si>
  <si>
    <t>序号</t>
    <phoneticPr fontId="140" type="noConversion"/>
  </si>
  <si>
    <t>房号</t>
    <phoneticPr fontId="140" type="noConversion"/>
  </si>
  <si>
    <t>3号楼</t>
    <phoneticPr fontId="140" type="noConversion"/>
  </si>
  <si>
    <t>4号楼</t>
    <phoneticPr fontId="140" type="noConversion"/>
  </si>
  <si>
    <t>5号楼6套小计</t>
    <phoneticPr fontId="140" type="noConversion"/>
  </si>
  <si>
    <t>5号楼</t>
    <phoneticPr fontId="140" type="noConversion"/>
  </si>
  <si>
    <t>6号楼</t>
    <phoneticPr fontId="140" type="noConversion"/>
  </si>
  <si>
    <t>7号楼</t>
    <phoneticPr fontId="140" type="noConversion"/>
  </si>
  <si>
    <t>4号楼6套小计</t>
    <phoneticPr fontId="140" type="noConversion"/>
  </si>
  <si>
    <t>6号楼5套小计</t>
    <phoneticPr fontId="140" type="noConversion"/>
  </si>
  <si>
    <t>7号楼4套小计</t>
    <phoneticPr fontId="140" type="noConversion"/>
  </si>
  <si>
    <t>用途</t>
    <phoneticPr fontId="140" type="noConversion"/>
  </si>
  <si>
    <t>商业</t>
    <phoneticPr fontId="140" type="noConversion"/>
  </si>
  <si>
    <t>3-7号楼合计</t>
    <phoneticPr fontId="140" type="noConversion"/>
  </si>
  <si>
    <t>3号楼1套小计</t>
    <phoneticPr fontId="140" type="noConversion"/>
  </si>
  <si>
    <t>1层</t>
    <phoneticPr fontId="140" type="noConversion"/>
  </si>
  <si>
    <t>合计</t>
    <phoneticPr fontId="140" type="noConversion"/>
  </si>
  <si>
    <t>收益法 (2)</t>
  </si>
  <si>
    <t>成本法 (2)</t>
  </si>
  <si>
    <t>成本法 (2)</t>
    <phoneticPr fontId="16" type="noConversion"/>
  </si>
  <si>
    <t>全部缴纳</t>
  </si>
  <si>
    <t>内</t>
    <phoneticPr fontId="140" type="noConversion"/>
  </si>
  <si>
    <t>外</t>
    <phoneticPr fontId="140" type="noConversion"/>
  </si>
  <si>
    <t>套内单价</t>
    <phoneticPr fontId="140" type="noConversion"/>
  </si>
  <si>
    <t>面积差</t>
    <phoneticPr fontId="140" type="noConversion"/>
  </si>
  <si>
    <t>测算租金</t>
    <phoneticPr fontId="140" type="noConversion"/>
  </si>
  <si>
    <t>规证单价</t>
    <phoneticPr fontId="140" type="noConversion"/>
  </si>
  <si>
    <t>3层商业楼-内</t>
  </si>
  <si>
    <t>3层商业楼-内</t>
    <phoneticPr fontId="7" type="noConversion"/>
  </si>
  <si>
    <r>
      <t>3</t>
    </r>
    <r>
      <rPr>
        <sz val="10"/>
        <color indexed="8"/>
        <rFont val="宋体"/>
        <family val="3"/>
        <charset val="134"/>
      </rPr>
      <t>层商业楼</t>
    </r>
    <r>
      <rPr>
        <sz val="10"/>
        <color indexed="8"/>
        <rFont val="Arial"/>
        <family val="2"/>
      </rPr>
      <t>-</t>
    </r>
    <r>
      <rPr>
        <sz val="10"/>
        <color indexed="8"/>
        <rFont val="宋体"/>
        <family val="3"/>
        <charset val="134"/>
      </rPr>
      <t>外</t>
    </r>
    <phoneticPr fontId="7" type="noConversion"/>
  </si>
  <si>
    <r>
      <t>1</t>
    </r>
    <r>
      <rPr>
        <sz val="10"/>
        <color indexed="8"/>
        <rFont val="宋体"/>
        <family val="3"/>
        <charset val="134"/>
      </rPr>
      <t>层商业楼</t>
    </r>
    <r>
      <rPr>
        <sz val="10"/>
        <color indexed="8"/>
        <rFont val="Arial"/>
        <family val="2"/>
      </rPr>
      <t>-</t>
    </r>
    <r>
      <rPr>
        <sz val="10"/>
        <color indexed="8"/>
        <rFont val="宋体"/>
        <family val="3"/>
        <charset val="134"/>
      </rPr>
      <t>内</t>
    </r>
    <phoneticPr fontId="7" type="noConversion"/>
  </si>
  <si>
    <t>成本法 (3)</t>
  </si>
  <si>
    <t>成本法 (3)</t>
    <phoneticPr fontId="16" type="noConversion"/>
  </si>
  <si>
    <t>收益法 (2)</t>
    <phoneticPr fontId="16" type="noConversion"/>
  </si>
  <si>
    <t>收益法 (3)</t>
  </si>
  <si>
    <t>收益法 (3)</t>
    <phoneticPr fontId="16" type="noConversion"/>
  </si>
  <si>
    <t>3层商业楼-外</t>
  </si>
  <si>
    <t>1层商业楼-内</t>
  </si>
  <si>
    <t>单价</t>
    <phoneticPr fontId="140" type="noConversion"/>
  </si>
  <si>
    <t>基准地价结果</t>
    <phoneticPr fontId="140" type="noConversion"/>
  </si>
  <si>
    <t>总价</t>
    <phoneticPr fontId="140" type="noConversion"/>
  </si>
  <si>
    <t>3层商业楼-内</t>
    <phoneticPr fontId="140" type="noConversion"/>
  </si>
  <si>
    <t>3层商业楼-外</t>
    <phoneticPr fontId="140" type="noConversion"/>
  </si>
  <si>
    <t>1层商业楼-内</t>
    <phoneticPr fontId="140" type="noConversion"/>
  </si>
  <si>
    <t>套内占比</t>
    <phoneticPr fontId="140" type="noConversion"/>
  </si>
  <si>
    <t>按公示增长率计算</t>
  </si>
  <si>
    <t>规划容积率</t>
    <phoneticPr fontId="140" type="noConversion"/>
  </si>
  <si>
    <t>自定义容积率</t>
  </si>
  <si>
    <t>层系数</t>
    <phoneticPr fontId="140" type="noConversion"/>
  </si>
  <si>
    <t>押二</t>
  </si>
  <si>
    <t>测算结果</t>
    <phoneticPr fontId="140" type="noConversion"/>
  </si>
  <si>
    <t>套内折算</t>
    <phoneticPr fontId="140" type="noConversion"/>
  </si>
  <si>
    <t>常规分摊</t>
    <phoneticPr fontId="140" type="noConversion"/>
  </si>
  <si>
    <t>建面折算</t>
    <phoneticPr fontId="140" type="noConversion"/>
  </si>
  <si>
    <t>租金验证</t>
    <phoneticPr fontId="140" type="noConversion"/>
  </si>
  <si>
    <t>售价验证</t>
    <phoneticPr fontId="140" type="noConversion"/>
  </si>
  <si>
    <t>3层内</t>
    <phoneticPr fontId="140" type="noConversion"/>
  </si>
  <si>
    <t>1层内</t>
    <phoneticPr fontId="140" type="noConversion"/>
  </si>
  <si>
    <t>3层外</t>
    <phoneticPr fontId="140" type="noConversion"/>
  </si>
  <si>
    <t>3套平均</t>
    <phoneticPr fontId="140" type="noConversion"/>
  </si>
  <si>
    <t>套内租金</t>
    <phoneticPr fontId="140" type="noConversion"/>
  </si>
  <si>
    <t>结果表-3</t>
  </si>
  <si>
    <t>抵押物名称</t>
  </si>
  <si>
    <t>(分摊)土地面积</t>
  </si>
  <si>
    <t>出让国有建设用地使用权价值</t>
  </si>
  <si>
    <t>房地产价值</t>
  </si>
  <si>
    <t>总 价</t>
  </si>
  <si>
    <t>楼面单价</t>
  </si>
  <si>
    <t>建筑物价值</t>
  </si>
  <si>
    <t>建筑面积</t>
  </si>
  <si>
    <t>合计</t>
    <phoneticPr fontId="140" type="noConversion"/>
  </si>
  <si>
    <t>1层内部（3号楼）</t>
    <phoneticPr fontId="140" type="noConversion"/>
  </si>
  <si>
    <t>3层内部（4-6号楼）</t>
    <phoneticPr fontId="140" type="noConversion"/>
  </si>
  <si>
    <t>序号</t>
  </si>
  <si>
    <t>项目名称</t>
  </si>
  <si>
    <t>北京市朝阳区黄渠东路5号院3号楼1层101商业用房房地产</t>
    <phoneticPr fontId="140" type="noConversion"/>
  </si>
  <si>
    <t>北京市朝阳区黄渠东路5号院4号楼1至3层302等[6]套商业用房</t>
    <phoneticPr fontId="140" type="noConversion"/>
  </si>
  <si>
    <t>北京市朝阳区黄渠东路5号院5号楼1至3层302等[6]套商业用房</t>
    <phoneticPr fontId="140" type="noConversion"/>
  </si>
  <si>
    <r>
      <t>北京市朝阳区黄渠东路</t>
    </r>
    <r>
      <rPr>
        <sz val="9"/>
        <color rgb="FF000000"/>
        <rFont val="Arial"/>
        <family val="2"/>
      </rPr>
      <t>5</t>
    </r>
    <r>
      <rPr>
        <sz val="9"/>
        <color rgb="FF000000"/>
        <rFont val="华文细黑"/>
        <family val="3"/>
        <charset val="134"/>
      </rPr>
      <t>号院6号楼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202</t>
    </r>
    <r>
      <rPr>
        <sz val="9"/>
        <color rgb="FF000000"/>
        <rFont val="华文细黑"/>
        <family val="3"/>
        <charset val="134"/>
      </rPr>
      <t>等</t>
    </r>
    <r>
      <rPr>
        <sz val="9"/>
        <color rgb="FF000000"/>
        <rFont val="Arial"/>
        <family val="2"/>
      </rPr>
      <t>[5]</t>
    </r>
    <r>
      <rPr>
        <sz val="9"/>
        <color rgb="FF000000"/>
        <rFont val="华文细黑"/>
        <family val="3"/>
        <charset val="134"/>
      </rPr>
      <t>套商业用房</t>
    </r>
    <phoneticPr fontId="140" type="noConversion"/>
  </si>
  <si>
    <r>
      <t>北京市朝阳区黄渠东路</t>
    </r>
    <r>
      <rPr>
        <sz val="9"/>
        <color rgb="FF000000"/>
        <rFont val="Arial"/>
        <family val="2"/>
      </rPr>
      <t>5</t>
    </r>
    <r>
      <rPr>
        <sz val="9"/>
        <color rgb="FF000000"/>
        <rFont val="华文细黑"/>
        <family val="3"/>
        <charset val="134"/>
      </rPr>
      <t>号院7号楼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201</t>
    </r>
    <r>
      <rPr>
        <sz val="9"/>
        <color rgb="FF000000"/>
        <rFont val="华文细黑"/>
        <family val="3"/>
        <charset val="134"/>
      </rPr>
      <t>等</t>
    </r>
    <r>
      <rPr>
        <sz val="9"/>
        <color rgb="FF000000"/>
        <rFont val="Arial"/>
        <family val="2"/>
      </rPr>
      <t>[4]</t>
    </r>
    <r>
      <rPr>
        <sz val="9"/>
        <color rgb="FF000000"/>
        <rFont val="华文细黑"/>
        <family val="3"/>
        <charset val="134"/>
      </rPr>
      <t>套商业用房</t>
    </r>
    <phoneticPr fontId="140" type="noConversion"/>
  </si>
  <si>
    <t>1-3层外部（7号楼）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</si>
</sst>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3"/>
      <charset val="134"/>
      <scheme val="minor"/>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49998474074526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0" fontId="255" fillId="0" borderId="56" xfId="0" applyFont="1" applyFill="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1" fillId="0" borderId="0" xfId="0" applyFont="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218" fillId="0" borderId="49" xfId="0" applyFont="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11" fillId="0" borderId="0" xfId="0" applyFont="1" applyAlignment="1">
      <alignment horizontal="center"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pplyAlignment="1">
      <alignment horizontal="left" vertical="center"/>
    </xf>
    <xf numFmtId="0" fontId="98" fillId="0" borderId="1" xfId="0" applyFont="1" applyFill="1" applyBorder="1" applyAlignment="1">
      <alignment horizontal="left" vertical="center"/>
    </xf>
    <xf numFmtId="179" fontId="111" fillId="0" borderId="0" xfId="0" applyNumberFormat="1" applyFont="1" applyAlignment="1">
      <alignment horizontal="center" vertical="center"/>
    </xf>
    <xf numFmtId="179" fontId="117" fillId="0" borderId="0" xfId="0" applyNumberFormat="1" applyFont="1" applyAlignment="1">
      <alignment horizontal="center" vertical="center"/>
    </xf>
    <xf numFmtId="0" fontId="111" fillId="0" borderId="16" xfId="0" applyFont="1" applyBorder="1" applyAlignment="1">
      <alignment horizontal="center" vertical="center"/>
    </xf>
    <xf numFmtId="0" fontId="111" fillId="0" borderId="19" xfId="0" applyFont="1" applyBorder="1" applyAlignment="1">
      <alignment horizontal="center" vertical="center"/>
    </xf>
    <xf numFmtId="0" fontId="111" fillId="0" borderId="31" xfId="0" applyFont="1" applyBorder="1" applyAlignment="1">
      <alignment horizontal="center" vertical="center"/>
    </xf>
    <xf numFmtId="0" fontId="111" fillId="0" borderId="18" xfId="0" applyFont="1" applyBorder="1" applyAlignment="1">
      <alignment horizontal="center" vertical="center"/>
    </xf>
    <xf numFmtId="0" fontId="111" fillId="0" borderId="0" xfId="0" applyFont="1" applyBorder="1" applyAlignment="1">
      <alignment horizontal="center" vertical="center"/>
    </xf>
    <xf numFmtId="0" fontId="111" fillId="0" borderId="56" xfId="0" applyFont="1" applyBorder="1" applyAlignment="1">
      <alignment horizontal="center" vertical="center"/>
    </xf>
    <xf numFmtId="0" fontId="111" fillId="0" borderId="47" xfId="0" applyFont="1" applyBorder="1" applyAlignment="1">
      <alignment horizontal="center" vertical="center"/>
    </xf>
    <xf numFmtId="179" fontId="117" fillId="0" borderId="43" xfId="0" applyNumberFormat="1" applyFont="1" applyBorder="1" applyAlignment="1">
      <alignment horizontal="center" vertical="center"/>
    </xf>
    <xf numFmtId="183" fontId="55" fillId="0" borderId="49" xfId="0" applyNumberFormat="1" applyFont="1" applyFill="1" applyBorder="1" applyAlignment="1" applyProtection="1">
      <alignment horizontal="center" vertical="center"/>
      <protection locked="0"/>
    </xf>
    <xf numFmtId="179" fontId="111" fillId="5" borderId="0" xfId="0" applyNumberFormat="1" applyFont="1" applyFill="1" applyAlignment="1">
      <alignment horizontal="center" vertical="center"/>
    </xf>
    <xf numFmtId="0" fontId="255" fillId="5" borderId="1" xfId="0" applyFont="1" applyFill="1" applyBorder="1" applyAlignment="1">
      <alignment horizontal="center" vertical="center"/>
    </xf>
    <xf numFmtId="0" fontId="111" fillId="0" borderId="0" xfId="0" applyFont="1" applyAlignment="1">
      <alignment horizontal="left" vertical="center"/>
    </xf>
    <xf numFmtId="181" fontId="111" fillId="0" borderId="0" xfId="0" applyNumberFormat="1" applyFont="1" applyAlignment="1">
      <alignment horizontal="center" vertical="center"/>
    </xf>
    <xf numFmtId="181" fontId="111" fillId="5" borderId="0" xfId="0" applyNumberFormat="1" applyFont="1" applyFill="1" applyAlignment="1">
      <alignment horizontal="center" vertical="center"/>
    </xf>
    <xf numFmtId="0" fontId="111" fillId="0" borderId="0" xfId="0" applyFont="1" applyAlignment="1">
      <alignment horizontal="right" vertical="center"/>
    </xf>
    <xf numFmtId="0" fontId="111" fillId="0" borderId="18" xfId="0" applyFont="1" applyBorder="1" applyAlignment="1">
      <alignment horizontal="left" vertical="center"/>
    </xf>
    <xf numFmtId="0" fontId="111" fillId="0" borderId="42" xfId="0" applyFont="1" applyBorder="1" applyAlignment="1">
      <alignment horizontal="left" vertical="center"/>
    </xf>
    <xf numFmtId="0" fontId="117" fillId="0" borderId="47" xfId="0" applyFont="1" applyBorder="1" applyAlignment="1">
      <alignment horizontal="center" vertical="center"/>
    </xf>
    <xf numFmtId="0" fontId="117" fillId="0" borderId="43" xfId="0" applyFont="1" applyBorder="1" applyAlignment="1">
      <alignment horizontal="center" vertical="center"/>
    </xf>
    <xf numFmtId="0" fontId="111" fillId="0" borderId="63" xfId="0" applyFont="1" applyBorder="1" applyAlignment="1">
      <alignment horizontal="left" vertical="center"/>
    </xf>
    <xf numFmtId="0" fontId="117" fillId="0" borderId="64" xfId="0" applyFont="1" applyBorder="1" applyAlignment="1">
      <alignment horizontal="center" vertical="center"/>
    </xf>
    <xf numFmtId="0" fontId="111" fillId="0" borderId="64" xfId="0" applyFont="1" applyBorder="1" applyAlignment="1">
      <alignment horizontal="center" vertical="center"/>
    </xf>
    <xf numFmtId="0" fontId="117" fillId="0" borderId="65" xfId="0" applyFont="1" applyBorder="1" applyAlignment="1">
      <alignment horizontal="center" vertical="center"/>
    </xf>
    <xf numFmtId="0" fontId="111" fillId="0" borderId="16" xfId="0" applyFont="1" applyBorder="1" applyAlignment="1">
      <alignment horizontal="left" vertical="center"/>
    </xf>
    <xf numFmtId="0" fontId="111" fillId="0" borderId="42" xfId="0" applyFont="1" applyBorder="1" applyAlignment="1">
      <alignment horizontal="center" vertical="center"/>
    </xf>
    <xf numFmtId="179" fontId="117" fillId="0" borderId="47" xfId="0" applyNumberFormat="1" applyFont="1" applyBorder="1" applyAlignment="1">
      <alignment horizontal="center" vertical="center"/>
    </xf>
    <xf numFmtId="181" fontId="82" fillId="5" borderId="61" xfId="0" applyNumberFormat="1" applyFont="1" applyFill="1" applyBorder="1" applyAlignment="1" applyProtection="1">
      <alignment horizontal="center" vertical="center"/>
      <protection locked="0"/>
    </xf>
    <xf numFmtId="9" fontId="111" fillId="0" borderId="0" xfId="0" applyNumberFormat="1" applyFont="1" applyAlignment="1">
      <alignment horizontal="center" vertical="center"/>
    </xf>
    <xf numFmtId="177" fontId="111" fillId="0" borderId="0" xfId="0" applyNumberFormat="1" applyFont="1" applyAlignment="1">
      <alignment horizontal="center" vertical="center"/>
    </xf>
    <xf numFmtId="177" fontId="111" fillId="5" borderId="0" xfId="0" applyNumberFormat="1" applyFont="1" applyFill="1" applyAlignment="1">
      <alignment horizontal="center" vertical="center"/>
    </xf>
    <xf numFmtId="0" fontId="111" fillId="5" borderId="0" xfId="0" applyFont="1" applyFill="1" applyAlignment="1">
      <alignment horizontal="center" vertical="center"/>
    </xf>
    <xf numFmtId="0" fontId="111" fillId="18" borderId="0" xfId="0" applyFont="1" applyFill="1" applyAlignment="1">
      <alignment horizontal="center" vertical="center"/>
    </xf>
    <xf numFmtId="181" fontId="111" fillId="18" borderId="0" xfId="0" applyNumberFormat="1" applyFont="1" applyFill="1" applyAlignment="1">
      <alignment horizontal="center" vertical="center"/>
    </xf>
    <xf numFmtId="0" fontId="46" fillId="0" borderId="1" xfId="0" applyFont="1" applyFill="1" applyBorder="1" applyAlignment="1" applyProtection="1">
      <alignment horizontal="center" vertical="center" wrapText="1"/>
    </xf>
    <xf numFmtId="0" fontId="0" fillId="0" borderId="0" xfId="0" applyFill="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82" xfId="0" applyFont="1" applyBorder="1" applyAlignment="1">
      <alignment horizontal="left" vertical="center"/>
    </xf>
    <xf numFmtId="0" fontId="256" fillId="0" borderId="65" xfId="0" applyFont="1" applyBorder="1" applyAlignment="1">
      <alignment horizontal="left" vertical="center"/>
    </xf>
    <xf numFmtId="0" fontId="257" fillId="0" borderId="81" xfId="0" applyFont="1" applyBorder="1" applyAlignment="1">
      <alignment horizontal="left" vertical="center"/>
    </xf>
    <xf numFmtId="0" fontId="256" fillId="0" borderId="43" xfId="0" applyFont="1" applyBorder="1" applyAlignment="1">
      <alignment horizontal="left" vertical="center" wrapText="1"/>
    </xf>
    <xf numFmtId="0" fontId="257" fillId="0" borderId="43" xfId="0" applyFont="1" applyBorder="1" applyAlignment="1">
      <alignment horizontal="left" vertical="center"/>
    </xf>
    <xf numFmtId="0" fontId="259" fillId="0" borderId="43" xfId="0" applyFont="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11" fillId="0" borderId="42" xfId="0" applyFont="1" applyBorder="1" applyAlignment="1">
      <alignment horizontal="center" vertical="center"/>
    </xf>
    <xf numFmtId="0" fontId="111" fillId="0" borderId="47" xfId="0" applyFont="1" applyBorder="1" applyAlignment="1">
      <alignment horizontal="center" vertical="center"/>
    </xf>
    <xf numFmtId="0" fontId="111" fillId="17" borderId="0" xfId="0" applyFont="1" applyFill="1" applyAlignment="1">
      <alignment horizontal="center" vertical="center"/>
    </xf>
    <xf numFmtId="0" fontId="111" fillId="21" borderId="0" xfId="0" applyFont="1" applyFill="1" applyAlignment="1">
      <alignment horizontal="center" vertical="center"/>
    </xf>
    <xf numFmtId="0" fontId="255" fillId="0" borderId="1" xfId="0" applyFont="1" applyBorder="1" applyAlignment="1">
      <alignment horizontal="center" vertical="center"/>
    </xf>
    <xf numFmtId="0" fontId="98" fillId="0" borderId="5" xfId="0" applyFont="1" applyBorder="1" applyAlignment="1">
      <alignment horizontal="left" vertical="center"/>
    </xf>
    <xf numFmtId="0" fontId="98" fillId="0" borderId="54" xfId="0" applyFont="1" applyBorder="1" applyAlignment="1">
      <alignment horizontal="left" vertical="center"/>
    </xf>
    <xf numFmtId="0" fontId="98" fillId="0" borderId="3" xfId="0" applyFont="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8" fillId="0" borderId="63" xfId="0" applyFont="1" applyBorder="1">
      <alignment vertical="center"/>
    </xf>
    <xf numFmtId="0" fontId="258" fillId="0" borderId="65" xfId="0" applyFont="1" applyBorder="1">
      <alignment vertical="center"/>
    </xf>
    <xf numFmtId="0" fontId="48" fillId="0"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182" fontId="111" fillId="0" borderId="0" xfId="0" applyNumberFormat="1" applyFont="1" applyFill="1" applyAlignment="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5" fillId="18" borderId="1" xfId="0"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7" customWidth="1"/>
    <col min="2" max="2" width="81" style="1344" customWidth="1"/>
    <col min="3" max="16384" width="9" style="1342"/>
  </cols>
  <sheetData>
    <row r="1" spans="1:2" s="1330" customFormat="1" ht="16.2" thickBot="1">
      <c r="A1" s="1329" t="s">
        <v>1127</v>
      </c>
      <c r="B1" s="1328" t="s">
        <v>1206</v>
      </c>
    </row>
    <row r="2" spans="1:2" s="1333" customFormat="1" ht="16.2"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6.2" thickBot="1">
      <c r="A5" s="1337" t="s">
        <v>1131</v>
      </c>
      <c r="B5" s="1338" t="str">
        <f>'预评函-封皮'!B49</f>
        <v>康正预评字号</v>
      </c>
    </row>
    <row r="6" spans="1:2" s="1333" customFormat="1" ht="16.2"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估价对象为北京市房地产，为所有。根据，估价对象（分摊）出让国有建设用地使用权面积为6303.9平方米，建筑面积为17650.91平方米。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估价对象为北京市房地产,属开发建设的商业项目，该项目尚在开发建设中。根据，估价对象（分摊）出让国有建设用地使用权面积为6303.9平方米，规划建筑面积为17650.91平方米。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2022年2月18日（评估专业人员实地查勘之日）</v>
      </c>
    </row>
    <row r="13" spans="1:2" s="1336" customFormat="1">
      <c r="A13" s="1334" t="s">
        <v>1135</v>
      </c>
      <c r="B13" s="1335"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6.2" thickBot="1">
      <c r="A18" s="1337" t="s">
        <v>1140</v>
      </c>
      <c r="B18" s="1338" t="str">
        <f>'预评函-1'!A24</f>
        <v>本次评估采用的主估价方法为成本法和收益法。</v>
      </c>
    </row>
    <row r="19" spans="1:2" s="1333" customFormat="1" ht="16.2"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34390</v>
      </c>
    </row>
    <row r="21" spans="1:2" s="1336" customFormat="1">
      <c r="A21" s="1334" t="s">
        <v>1143</v>
      </c>
      <c r="B21" s="1335">
        <f ca="1">'预评函-2'!D7</f>
        <v>23577</v>
      </c>
    </row>
    <row r="22" spans="1:2" s="1336" customFormat="1">
      <c r="A22" s="1334" t="s">
        <v>1144</v>
      </c>
      <c r="B22" s="1335" t="str">
        <f ca="1">'预评函-2'!D6</f>
        <v>叁亿肆仟叁佰玖拾万元整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34390</v>
      </c>
    </row>
    <row r="31" spans="1:2" s="1336" customFormat="1">
      <c r="A31" s="1334" t="s">
        <v>1182</v>
      </c>
      <c r="B31" s="1335">
        <f ca="1">'预评函-2'!D15</f>
        <v>19483</v>
      </c>
    </row>
    <row r="32" spans="1:2" s="1336" customFormat="1">
      <c r="A32" s="1334" t="s">
        <v>1149</v>
      </c>
      <c r="B32" s="1335" t="str">
        <f ca="1">'预评函-2'!D14</f>
        <v>叁亿肆仟叁佰玖拾万元整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ht="31.2">
      <c r="A42" s="1334" t="s">
        <v>1196</v>
      </c>
      <c r="B42" s="1335" t="str">
        <f>'预评函-3'!B2</f>
        <v>建筑面积</v>
      </c>
    </row>
    <row r="43" spans="1:2" s="1336" customFormat="1">
      <c r="A43" s="1334" t="s">
        <v>1197</v>
      </c>
      <c r="B43" s="1335">
        <f>'预评函-3'!B4</f>
        <v>17650.910000000003</v>
      </c>
    </row>
    <row r="44" spans="1:2" s="1336" customFormat="1" ht="31.2">
      <c r="A44" s="1334" t="s">
        <v>1181</v>
      </c>
      <c r="B44" s="1335" t="str">
        <f>'预评函-3'!C2</f>
        <v>(分摊)土地面积</v>
      </c>
    </row>
    <row r="45" spans="1:2" s="1336" customFormat="1">
      <c r="A45" s="1334" t="s">
        <v>1153</v>
      </c>
      <c r="B45" s="1335">
        <f>'预评函-3'!C4</f>
        <v>6303.9</v>
      </c>
    </row>
    <row r="46" spans="1:2" s="1336" customFormat="1">
      <c r="A46" s="1334" t="s">
        <v>1179</v>
      </c>
      <c r="B46" s="1335" t="str">
        <f>'预评函-3'!D2</f>
        <v>出让国有建设用地使用权价值</v>
      </c>
    </row>
    <row r="47" spans="1:2" s="1336" customFormat="1">
      <c r="A47" s="1334" t="s">
        <v>1154</v>
      </c>
      <c r="B47" s="1335">
        <f ca="1">'预评函-3'!D4</f>
        <v>30057</v>
      </c>
    </row>
    <row r="48" spans="1:2" s="1336" customFormat="1">
      <c r="A48" s="1334" t="s">
        <v>1155</v>
      </c>
      <c r="B48" s="1335">
        <f ca="1">'预评函-3'!E4</f>
        <v>20606</v>
      </c>
    </row>
    <row r="49" spans="1:2" s="1336" customFormat="1">
      <c r="A49" s="1334" t="s">
        <v>1156</v>
      </c>
      <c r="B49" s="1335" t="str">
        <f ca="1">'预评函-3'!D5</f>
        <v>叁亿零伍拾柒万元整</v>
      </c>
    </row>
    <row r="50" spans="1:2" s="1336" customFormat="1">
      <c r="A50" s="1334" t="s">
        <v>1180</v>
      </c>
      <c r="B50" s="1335" t="str">
        <f>'预评函-3'!F2</f>
        <v>在建建筑物价值</v>
      </c>
    </row>
    <row r="51" spans="1:2" s="1336" customFormat="1">
      <c r="A51" s="1334" t="s">
        <v>1157</v>
      </c>
      <c r="B51" s="1335">
        <f ca="1">'预评函-3'!F4</f>
        <v>4333</v>
      </c>
    </row>
    <row r="52" spans="1:2" s="1336" customFormat="1">
      <c r="A52" s="1334" t="s">
        <v>1158</v>
      </c>
      <c r="B52" s="1335">
        <f ca="1">'预评函-3'!G4</f>
        <v>2971</v>
      </c>
    </row>
    <row r="53" spans="1:2" s="1336" customFormat="1">
      <c r="A53" s="1334" t="s">
        <v>1186</v>
      </c>
      <c r="B53" s="1335" t="str">
        <f ca="1">'预评函-3'!F5</f>
        <v>肆仟叁佰叁拾叁万元整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6.2" thickBot="1">
      <c r="A57" s="1337" t="s">
        <v>1205</v>
      </c>
      <c r="B57" s="1338" t="str">
        <f>'预评函-3'!A6</f>
        <v>估价师知悉的法定优先受偿款</v>
      </c>
    </row>
    <row r="58" spans="1:2" s="1333" customFormat="1" ht="16.2"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6.2" thickBot="1">
      <c r="A69" s="1337" t="s">
        <v>1167</v>
      </c>
      <c r="B69" s="1339">
        <f>'预评函-4'!C31</f>
        <v>42551</v>
      </c>
    </row>
    <row r="70" spans="1:2" ht="16.2"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6.2" thickBot="1">
      <c r="A73" s="1337" t="s">
        <v>1171</v>
      </c>
      <c r="B73" s="1338">
        <f ca="1">'预评函-4'!B5</f>
        <v>1120070131</v>
      </c>
    </row>
    <row r="74" spans="1:2" ht="16.2"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4.4"/>
  <cols>
    <col min="1" max="1" width="13.44140625" style="1710" customWidth="1"/>
    <col min="2" max="2" width="23.21875" style="1661" customWidth="1"/>
    <col min="3" max="3" width="13" style="1705" customWidth="1"/>
    <col min="4" max="4" width="5.77734375" style="1702" customWidth="1"/>
    <col min="5" max="5" width="7.109375" style="1702" customWidth="1"/>
    <col min="6" max="6" width="10.6640625" style="1702" customWidth="1"/>
    <col min="7" max="7" width="7.44140625" style="1702" customWidth="1"/>
    <col min="8" max="8" width="9" style="1705" customWidth="1"/>
    <col min="9" max="9" width="11.6640625" style="1705" customWidth="1"/>
    <col min="10" max="10" width="9" style="1705" customWidth="1"/>
    <col min="11" max="19" width="9" style="1702" customWidth="1"/>
    <col min="20" max="23" width="9" style="1705" customWidth="1"/>
    <col min="24" max="24" width="21.109375" style="1661" customWidth="1"/>
    <col min="25" max="16384" width="9" style="1661"/>
  </cols>
  <sheetData>
    <row r="1" spans="1:23" s="1699" customFormat="1" ht="28.8">
      <c r="A1" s="1693" t="s">
        <v>71</v>
      </c>
      <c r="B1" s="1694" t="s">
        <v>1592</v>
      </c>
      <c r="C1" s="1695" t="s">
        <v>759</v>
      </c>
      <c r="D1" s="1696" t="s">
        <v>1593</v>
      </c>
      <c r="E1" s="1696" t="s">
        <v>1594</v>
      </c>
      <c r="F1" s="1696" t="s">
        <v>1595</v>
      </c>
      <c r="G1" s="1696" t="s">
        <v>1596</v>
      </c>
      <c r="H1" s="1696" t="s">
        <v>1597</v>
      </c>
      <c r="I1" s="1696" t="s">
        <v>1598</v>
      </c>
      <c r="J1" s="1696" t="s">
        <v>1599</v>
      </c>
      <c r="K1" s="1696" t="s">
        <v>1600</v>
      </c>
      <c r="L1" s="1696" t="s">
        <v>1601</v>
      </c>
      <c r="M1" s="1696" t="s">
        <v>1602</v>
      </c>
      <c r="N1" s="1696" t="s">
        <v>1603</v>
      </c>
      <c r="O1" s="1696" t="s">
        <v>1604</v>
      </c>
      <c r="P1" s="1697" t="s">
        <v>753</v>
      </c>
      <c r="Q1" s="1697" t="s">
        <v>1053</v>
      </c>
      <c r="R1" s="1696" t="s">
        <v>1047</v>
      </c>
      <c r="S1" s="1696" t="s">
        <v>1605</v>
      </c>
      <c r="T1" s="1698" t="s">
        <v>1606</v>
      </c>
      <c r="U1" s="1696" t="s">
        <v>1607</v>
      </c>
      <c r="V1" s="1696" t="s">
        <v>1608</v>
      </c>
      <c r="W1" s="1696" t="s">
        <v>755</v>
      </c>
    </row>
    <row r="2" spans="1:23">
      <c r="A2" s="1700" t="s">
        <v>22</v>
      </c>
      <c r="B2" s="1700" t="s">
        <v>1609</v>
      </c>
      <c r="C2" s="1701" t="s">
        <v>760</v>
      </c>
      <c r="D2" s="1702" t="s">
        <v>1610</v>
      </c>
      <c r="E2" s="1702" t="s">
        <v>1611</v>
      </c>
      <c r="F2" s="1702" t="s">
        <v>1612</v>
      </c>
      <c r="G2" s="1702">
        <v>40</v>
      </c>
      <c r="H2" s="1702" t="s">
        <v>1612</v>
      </c>
      <c r="I2" s="1702" t="s">
        <v>1613</v>
      </c>
      <c r="J2" s="1702" t="s">
        <v>1614</v>
      </c>
      <c r="K2" s="1702" t="s">
        <v>1615</v>
      </c>
      <c r="L2" s="1702" t="s">
        <v>1615</v>
      </c>
      <c r="M2" s="1702" t="s">
        <v>1615</v>
      </c>
      <c r="N2" s="1702" t="s">
        <v>1615</v>
      </c>
      <c r="O2" s="1702" t="s">
        <v>1615</v>
      </c>
      <c r="P2" s="1702" t="s">
        <v>1615</v>
      </c>
      <c r="Q2" s="1702" t="s">
        <v>1615</v>
      </c>
      <c r="R2" s="1702" t="s">
        <v>1049</v>
      </c>
      <c r="S2" s="1702" t="s">
        <v>1615</v>
      </c>
      <c r="T2" s="1702" t="s">
        <v>1616</v>
      </c>
      <c r="U2" s="1702" t="s">
        <v>1615</v>
      </c>
      <c r="V2" s="1702" t="s">
        <v>1617</v>
      </c>
      <c r="W2" s="1702" t="s">
        <v>1615</v>
      </c>
    </row>
    <row r="3" spans="1:23">
      <c r="A3" s="1700" t="s">
        <v>1618</v>
      </c>
      <c r="B3" s="1703" t="s">
        <v>1054</v>
      </c>
      <c r="C3" s="1704" t="s">
        <v>761</v>
      </c>
      <c r="D3" s="1702" t="s">
        <v>1619</v>
      </c>
      <c r="E3" s="1702" t="s">
        <v>16</v>
      </c>
      <c r="F3" s="1702" t="s">
        <v>1620</v>
      </c>
      <c r="G3" s="1702">
        <v>50</v>
      </c>
      <c r="H3" s="1702" t="s">
        <v>1620</v>
      </c>
      <c r="I3" s="1702" t="s">
        <v>1621</v>
      </c>
      <c r="J3" s="1702" t="s">
        <v>1622</v>
      </c>
      <c r="K3" s="1702" t="s">
        <v>1623</v>
      </c>
      <c r="L3" s="1702" t="s">
        <v>1623</v>
      </c>
      <c r="M3" s="1702" t="s">
        <v>1623</v>
      </c>
      <c r="N3" s="1702" t="s">
        <v>1623</v>
      </c>
      <c r="O3" s="1702" t="s">
        <v>1623</v>
      </c>
      <c r="P3" s="1702" t="s">
        <v>1623</v>
      </c>
      <c r="Q3" s="1702" t="s">
        <v>1623</v>
      </c>
      <c r="R3" s="1702" t="s">
        <v>1048</v>
      </c>
      <c r="S3" s="1702" t="s">
        <v>1623</v>
      </c>
      <c r="T3" s="1702" t="s">
        <v>1624</v>
      </c>
      <c r="U3" s="1702" t="s">
        <v>1623</v>
      </c>
      <c r="V3" s="1702" t="s">
        <v>1625</v>
      </c>
      <c r="W3" s="1702" t="s">
        <v>1623</v>
      </c>
    </row>
    <row r="4" spans="1:23">
      <c r="A4" s="1700" t="s">
        <v>1626</v>
      </c>
      <c r="B4" s="1700" t="s">
        <v>1627</v>
      </c>
      <c r="C4" s="1701" t="s">
        <v>762</v>
      </c>
      <c r="D4" s="1702" t="s">
        <v>836</v>
      </c>
      <c r="E4" s="1702" t="s">
        <v>1628</v>
      </c>
      <c r="F4" s="1702" t="s">
        <v>1629</v>
      </c>
      <c r="G4" s="1702">
        <v>70</v>
      </c>
      <c r="H4" s="1702" t="s">
        <v>1629</v>
      </c>
      <c r="I4" s="1702" t="s">
        <v>1630</v>
      </c>
      <c r="K4" s="1702" t="s">
        <v>1631</v>
      </c>
      <c r="L4" s="1702" t="s">
        <v>1631</v>
      </c>
      <c r="M4" s="1702" t="s">
        <v>1631</v>
      </c>
      <c r="N4" s="1702" t="s">
        <v>1631</v>
      </c>
      <c r="O4" s="1702" t="s">
        <v>1631</v>
      </c>
      <c r="P4" s="1702" t="s">
        <v>1631</v>
      </c>
      <c r="Q4" s="1702" t="s">
        <v>1631</v>
      </c>
      <c r="R4" s="1702" t="s">
        <v>1050</v>
      </c>
      <c r="S4" s="1702" t="s">
        <v>1631</v>
      </c>
      <c r="T4" s="1702" t="s">
        <v>1632</v>
      </c>
      <c r="U4" s="1702" t="s">
        <v>1631</v>
      </c>
      <c r="W4" s="1702" t="s">
        <v>1631</v>
      </c>
    </row>
    <row r="5" spans="1:23">
      <c r="A5" s="1700" t="s">
        <v>1633</v>
      </c>
      <c r="B5" s="1700" t="s">
        <v>1634</v>
      </c>
      <c r="C5" s="1701" t="s">
        <v>763</v>
      </c>
      <c r="F5" s="1702" t="s">
        <v>1635</v>
      </c>
      <c r="H5" s="1702" t="s">
        <v>1636</v>
      </c>
      <c r="I5" s="1702" t="s">
        <v>1637</v>
      </c>
      <c r="K5" s="1702" t="s">
        <v>1638</v>
      </c>
      <c r="L5" s="1702" t="s">
        <v>1638</v>
      </c>
      <c r="M5" s="1702" t="s">
        <v>1638</v>
      </c>
      <c r="N5" s="1702" t="s">
        <v>1638</v>
      </c>
      <c r="O5" s="1702" t="s">
        <v>1638</v>
      </c>
      <c r="P5" s="1702" t="s">
        <v>1638</v>
      </c>
      <c r="Q5" s="1702" t="s">
        <v>1638</v>
      </c>
      <c r="R5" s="1702" t="s">
        <v>1051</v>
      </c>
      <c r="S5" s="1702" t="s">
        <v>1638</v>
      </c>
      <c r="T5" s="1702" t="s">
        <v>1639</v>
      </c>
      <c r="U5" s="1702" t="s">
        <v>1638</v>
      </c>
      <c r="W5" s="1702" t="s">
        <v>1638</v>
      </c>
    </row>
    <row r="6" spans="1:23">
      <c r="A6" s="1700" t="s">
        <v>1640</v>
      </c>
      <c r="B6" s="1703" t="s">
        <v>1055</v>
      </c>
      <c r="C6" s="1706" t="s">
        <v>30</v>
      </c>
      <c r="F6" s="1702" t="s">
        <v>1636</v>
      </c>
      <c r="H6" s="1702" t="s">
        <v>1641</v>
      </c>
      <c r="I6" s="1702" t="s">
        <v>1642</v>
      </c>
      <c r="K6" s="1702" t="s">
        <v>1643</v>
      </c>
      <c r="L6" s="1702" t="s">
        <v>1643</v>
      </c>
      <c r="M6" s="1702" t="s">
        <v>1643</v>
      </c>
      <c r="N6" s="1702" t="s">
        <v>1643</v>
      </c>
      <c r="O6" s="1702" t="s">
        <v>1643</v>
      </c>
      <c r="P6" s="1702" t="s">
        <v>1643</v>
      </c>
      <c r="Q6" s="1702" t="s">
        <v>1643</v>
      </c>
      <c r="R6" s="1702" t="s">
        <v>1052</v>
      </c>
      <c r="S6" s="1702" t="s">
        <v>1643</v>
      </c>
      <c r="T6" s="1702"/>
      <c r="U6" s="1702" t="s">
        <v>1643</v>
      </c>
      <c r="W6" s="1702" t="s">
        <v>1643</v>
      </c>
    </row>
    <row r="7" spans="1:23">
      <c r="A7" s="1700" t="s">
        <v>1644</v>
      </c>
      <c r="B7" s="1703" t="s">
        <v>1056</v>
      </c>
      <c r="C7" s="1701" t="s">
        <v>31</v>
      </c>
      <c r="F7" s="1702" t="s">
        <v>1645</v>
      </c>
      <c r="H7" s="1702" t="s">
        <v>1646</v>
      </c>
      <c r="I7" s="1702" t="s">
        <v>1647</v>
      </c>
    </row>
    <row r="8" spans="1:23">
      <c r="A8" s="1700" t="s">
        <v>1648</v>
      </c>
      <c r="B8" s="1700" t="s">
        <v>1649</v>
      </c>
      <c r="C8" s="1701" t="s">
        <v>764</v>
      </c>
      <c r="F8" s="1702" t="s">
        <v>1650</v>
      </c>
      <c r="H8" s="1702"/>
      <c r="I8" s="1702" t="s">
        <v>1651</v>
      </c>
    </row>
    <row r="9" spans="1:23">
      <c r="A9" s="1700" t="s">
        <v>1652</v>
      </c>
      <c r="B9" s="1700" t="s">
        <v>1653</v>
      </c>
      <c r="C9" s="1701" t="s">
        <v>765</v>
      </c>
      <c r="F9" s="1702" t="s">
        <v>1654</v>
      </c>
      <c r="H9" s="1702"/>
    </row>
    <row r="10" spans="1:23">
      <c r="A10" s="1700" t="s">
        <v>1655</v>
      </c>
      <c r="B10" s="1700" t="s">
        <v>1656</v>
      </c>
      <c r="C10" s="1701" t="s">
        <v>766</v>
      </c>
      <c r="F10" s="1702" t="s">
        <v>16</v>
      </c>
    </row>
    <row r="11" spans="1:23">
      <c r="A11" s="1700" t="s">
        <v>1657</v>
      </c>
      <c r="B11" s="1700" t="s">
        <v>1658</v>
      </c>
      <c r="C11" s="1701" t="s">
        <v>767</v>
      </c>
    </row>
    <row r="12" spans="1:23">
      <c r="A12" s="1700" t="s">
        <v>1659</v>
      </c>
      <c r="B12" s="1700" t="s">
        <v>1660</v>
      </c>
      <c r="C12" s="1701" t="s">
        <v>768</v>
      </c>
    </row>
    <row r="13" spans="1:23">
      <c r="A13" s="1700" t="s">
        <v>1661</v>
      </c>
      <c r="B13" s="1700" t="s">
        <v>1662</v>
      </c>
      <c r="C13" s="1701" t="s">
        <v>769</v>
      </c>
    </row>
    <row r="14" spans="1:23">
      <c r="A14" s="1700" t="s">
        <v>1663</v>
      </c>
      <c r="B14" s="1700" t="s">
        <v>1664</v>
      </c>
      <c r="C14" s="1702" t="s">
        <v>16</v>
      </c>
    </row>
    <row r="15" spans="1:23">
      <c r="A15" s="1700" t="s">
        <v>1665</v>
      </c>
      <c r="B15" s="1700" t="s">
        <v>1666</v>
      </c>
      <c r="C15" s="1701"/>
    </row>
    <row r="16" spans="1:23">
      <c r="A16" s="1700" t="s">
        <v>1667</v>
      </c>
      <c r="B16" s="1700" t="s">
        <v>756</v>
      </c>
      <c r="C16" s="1701"/>
    </row>
    <row r="17" spans="1:3">
      <c r="A17" s="1700" t="s">
        <v>1668</v>
      </c>
      <c r="B17" s="1700" t="s">
        <v>2969</v>
      </c>
      <c r="C17" s="1701"/>
    </row>
    <row r="18" spans="1:3">
      <c r="A18" s="1700" t="s">
        <v>1669</v>
      </c>
      <c r="B18" s="1700" t="s">
        <v>3113</v>
      </c>
      <c r="C18" s="1701"/>
    </row>
    <row r="19" spans="1:3">
      <c r="A19" s="1700" t="s">
        <v>1670</v>
      </c>
      <c r="B19" s="1700" t="s">
        <v>3233</v>
      </c>
      <c r="C19" s="1701"/>
    </row>
    <row r="20" spans="1:3">
      <c r="A20" s="1700" t="s">
        <v>1671</v>
      </c>
      <c r="B20" s="1700" t="s">
        <v>3219</v>
      </c>
      <c r="C20" s="1701"/>
    </row>
    <row r="21" spans="1:3">
      <c r="A21" s="1700" t="s">
        <v>1672</v>
      </c>
      <c r="B21" s="1700" t="s">
        <v>3235</v>
      </c>
      <c r="C21" s="1701"/>
    </row>
    <row r="22" spans="1:3">
      <c r="A22" s="1700" t="s">
        <v>1673</v>
      </c>
      <c r="B22" s="1700" t="s">
        <v>3232</v>
      </c>
      <c r="C22" s="1701"/>
    </row>
    <row r="23" spans="1:3">
      <c r="A23" s="1700" t="s">
        <v>1674</v>
      </c>
      <c r="B23" s="1700" t="s">
        <v>757</v>
      </c>
      <c r="C23" s="1701"/>
    </row>
    <row r="24" spans="1:3">
      <c r="A24" s="1700" t="s">
        <v>1675</v>
      </c>
      <c r="B24" s="1700" t="s">
        <v>757</v>
      </c>
      <c r="C24" s="1701"/>
    </row>
    <row r="25" spans="1:3">
      <c r="A25" s="1700" t="s">
        <v>1676</v>
      </c>
      <c r="B25" s="1700" t="s">
        <v>757</v>
      </c>
      <c r="C25" s="1701"/>
    </row>
    <row r="26" spans="1:3">
      <c r="A26" s="1700" t="s">
        <v>1677</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3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708" t="s">
        <v>832</v>
      </c>
      <c r="C54" s="1705" t="s">
        <v>1189</v>
      </c>
    </row>
    <row r="55" spans="1:4">
      <c r="A55" s="3330"/>
      <c r="B55" s="1708" t="s">
        <v>833</v>
      </c>
      <c r="C55" s="1705" t="s">
        <v>1190</v>
      </c>
    </row>
    <row r="56" spans="1:4">
      <c r="A56" s="3330"/>
      <c r="B56" s="1708" t="s">
        <v>834</v>
      </c>
      <c r="C56" s="1705" t="s">
        <v>1194</v>
      </c>
    </row>
    <row r="57" spans="1:4">
      <c r="A57" s="333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9" t="s">
        <v>2850</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333"/>
      <c r="J1" s="2665"/>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2851</v>
      </c>
      <c r="B2" s="2564"/>
      <c r="C2" s="2565"/>
      <c r="D2" s="2866"/>
      <c r="E2" s="2856"/>
      <c r="F2" s="2856"/>
      <c r="G2" s="2857"/>
      <c r="H2" s="2857"/>
      <c r="I2" s="2857"/>
      <c r="J2" s="2665"/>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2852</v>
      </c>
      <c r="B3" s="2566">
        <v>44610</v>
      </c>
      <c r="C3" s="2567" t="s">
        <v>2853</v>
      </c>
      <c r="D3" s="2566">
        <f>B3</f>
        <v>44610</v>
      </c>
      <c r="E3" s="2857"/>
      <c r="F3" s="2857"/>
      <c r="G3" s="2857"/>
      <c r="H3" s="2857"/>
      <c r="I3" s="2857"/>
      <c r="J3" s="2665"/>
      <c r="K3" s="2561"/>
      <c r="L3" s="2562"/>
      <c r="M3" s="2562"/>
      <c r="N3" s="2563"/>
      <c r="O3" s="1730"/>
      <c r="P3" s="2563"/>
      <c r="Q3" s="2563"/>
      <c r="R3" s="2563"/>
      <c r="S3" s="1837"/>
      <c r="T3" s="1900"/>
      <c r="U3" s="1900"/>
      <c r="V3" s="1900"/>
      <c r="W3" s="1900"/>
      <c r="X3" s="1900"/>
      <c r="Y3" s="1900"/>
      <c r="Z3" s="1900"/>
      <c r="AA3" s="1900"/>
      <c r="AB3" s="1900"/>
    </row>
    <row r="4" spans="1:28" ht="13.8" thickBot="1">
      <c r="A4" s="1221" t="s">
        <v>2854</v>
      </c>
      <c r="B4" s="2568" t="s">
        <v>3118</v>
      </c>
      <c r="C4" s="2569">
        <f ca="1">SUMIF(注册房地产估价师,B4,估价师及机构信息!B3:B24)</f>
        <v>1419970001</v>
      </c>
      <c r="D4" s="2568" t="s">
        <v>3119</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8" thickTop="1">
      <c r="A5" s="2572" t="s">
        <v>2855</v>
      </c>
      <c r="B5" s="2573"/>
      <c r="C5" s="2574"/>
      <c r="D5" s="2575"/>
      <c r="E5" s="2858"/>
      <c r="F5" s="2858"/>
      <c r="G5" s="2858"/>
      <c r="H5" s="2858"/>
      <c r="I5" s="2858"/>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2856</v>
      </c>
      <c r="B6" s="2577"/>
      <c r="C6" s="2578"/>
      <c r="D6" s="2579"/>
      <c r="E6" s="2856"/>
      <c r="F6" s="2858"/>
      <c r="G6" s="2858"/>
      <c r="H6" s="2858"/>
      <c r="I6" s="2858"/>
      <c r="J6" s="2634"/>
      <c r="K6" s="2808" t="str">
        <f>IF(COUNTIF(B6,"*上海银行*"),"上海银行","")</f>
        <v/>
      </c>
      <c r="L6" s="2806"/>
      <c r="M6" s="2806"/>
      <c r="N6" s="2634"/>
      <c r="O6" s="2645"/>
      <c r="P6" s="2634"/>
      <c r="Q6" s="2634"/>
      <c r="R6" s="2634"/>
    </row>
    <row r="7" spans="1:28">
      <c r="A7" s="2576" t="s">
        <v>2857</v>
      </c>
      <c r="B7" s="2580"/>
      <c r="C7" s="2578"/>
      <c r="D7" s="2579"/>
      <c r="E7" s="2856"/>
      <c r="F7" s="2858"/>
      <c r="G7" s="2858"/>
      <c r="H7" s="2858"/>
      <c r="I7" s="2858"/>
      <c r="J7" s="2634"/>
      <c r="K7" s="2809"/>
      <c r="L7" s="2806"/>
      <c r="M7" s="2806"/>
      <c r="N7" s="2634"/>
      <c r="O7" s="2645"/>
      <c r="P7" s="2634"/>
      <c r="Q7" s="2634"/>
      <c r="R7" s="2634"/>
    </row>
    <row r="8" spans="1:28">
      <c r="A8" s="2581" t="s">
        <v>2858</v>
      </c>
      <c r="B8" s="2582" t="s">
        <v>3120</v>
      </c>
      <c r="C8" s="2583"/>
      <c r="D8" s="3334" t="s">
        <v>2859</v>
      </c>
      <c r="E8" s="2584" t="s">
        <v>3121</v>
      </c>
      <c r="F8" s="2585"/>
      <c r="G8" s="2857"/>
      <c r="H8" s="2857"/>
      <c r="I8" s="2857"/>
      <c r="J8" s="2634"/>
      <c r="K8" s="2807"/>
      <c r="L8" s="2806"/>
      <c r="M8" s="2806"/>
      <c r="N8" s="2634"/>
      <c r="O8" s="2645"/>
      <c r="P8" s="2634"/>
      <c r="Q8" s="2634"/>
      <c r="R8" s="2634"/>
    </row>
    <row r="9" spans="1:28" ht="13.8" thickBot="1">
      <c r="A9" s="2586" t="s">
        <v>2860</v>
      </c>
      <c r="B9" s="2587" t="s">
        <v>3121</v>
      </c>
      <c r="C9" s="2588"/>
      <c r="D9" s="3335"/>
      <c r="E9" s="2587" t="s">
        <v>70</v>
      </c>
      <c r="F9" s="2589"/>
      <c r="G9" s="2859"/>
      <c r="H9" s="2859"/>
      <c r="I9" s="2859"/>
      <c r="J9" s="2634"/>
      <c r="K9" s="2809"/>
      <c r="L9" s="2806"/>
      <c r="M9" s="2806"/>
      <c r="N9" s="2634"/>
      <c r="O9" s="2645"/>
      <c r="P9" s="2634"/>
      <c r="Q9" s="2634"/>
      <c r="R9" s="2634"/>
    </row>
    <row r="10" spans="1:28" ht="13.8" thickTop="1">
      <c r="A10" s="2590" t="s">
        <v>2861</v>
      </c>
      <c r="B10" s="2591" t="s">
        <v>3122</v>
      </c>
      <c r="C10" s="2592"/>
      <c r="D10" s="2575"/>
      <c r="E10" s="2593" t="s">
        <v>2862</v>
      </c>
      <c r="F10" s="2860"/>
      <c r="G10" s="2861"/>
      <c r="H10" s="2862"/>
      <c r="I10" s="2863"/>
      <c r="J10" s="2634"/>
      <c r="K10" s="2809"/>
      <c r="L10" s="2806"/>
      <c r="M10" s="2806"/>
      <c r="N10" s="2634"/>
      <c r="O10" s="2645"/>
      <c r="P10" s="2634"/>
      <c r="Q10" s="2634"/>
      <c r="R10" s="2634"/>
    </row>
    <row r="11" spans="1:28">
      <c r="A11" s="2594" t="s">
        <v>2863</v>
      </c>
      <c r="B11" s="2595" t="s">
        <v>3123</v>
      </c>
      <c r="C11" s="2596"/>
      <c r="D11" s="2597"/>
      <c r="E11" s="2563"/>
      <c r="F11" s="2563"/>
      <c r="G11" s="2563"/>
      <c r="H11" s="2563"/>
      <c r="I11" s="2563"/>
      <c r="J11" s="2634"/>
      <c r="K11" s="2809"/>
      <c r="L11" s="2806"/>
      <c r="M11" s="2806"/>
      <c r="N11" s="2634"/>
      <c r="O11" s="2645"/>
      <c r="P11" s="2634"/>
      <c r="Q11" s="2634"/>
      <c r="R11" s="2634"/>
    </row>
    <row r="12" spans="1:28">
      <c r="A12" s="2598" t="s">
        <v>2864</v>
      </c>
      <c r="B12" s="2595" t="s">
        <v>3124</v>
      </c>
      <c r="C12" s="328" t="s">
        <v>2865</v>
      </c>
      <c r="D12" s="2599" t="s">
        <v>2866</v>
      </c>
      <c r="E12" s="2599" t="s">
        <v>2867</v>
      </c>
      <c r="F12" s="2599" t="s">
        <v>2868</v>
      </c>
      <c r="G12" s="2599" t="s">
        <v>2869</v>
      </c>
      <c r="H12" s="2599" t="s">
        <v>2870</v>
      </c>
      <c r="I12" s="2599" t="s">
        <v>2871</v>
      </c>
      <c r="J12" s="2634"/>
      <c r="K12" s="2809"/>
      <c r="L12" s="2806"/>
      <c r="M12" s="2806"/>
      <c r="N12" s="2634"/>
      <c r="O12" s="2645"/>
      <c r="P12" s="2634"/>
      <c r="Q12" s="2634"/>
      <c r="R12" s="2634"/>
    </row>
    <row r="13" spans="1:28">
      <c r="A13" s="1212"/>
      <c r="B13" s="2600"/>
      <c r="C13" s="2601" t="s">
        <v>2872</v>
      </c>
      <c r="D13" s="964"/>
      <c r="E13" s="964">
        <v>56963</v>
      </c>
      <c r="F13" s="964"/>
      <c r="G13" s="964"/>
      <c r="H13" s="964"/>
      <c r="I13" s="964"/>
      <c r="J13" s="2634"/>
      <c r="K13" s="2809"/>
      <c r="L13" s="2806"/>
      <c r="M13" s="2806"/>
      <c r="N13" s="2634"/>
      <c r="O13" s="2645"/>
      <c r="P13" s="2634"/>
      <c r="Q13" s="2634"/>
      <c r="R13" s="2634"/>
    </row>
    <row r="14" spans="1:28">
      <c r="A14" s="1212"/>
      <c r="B14" s="2600"/>
      <c r="C14" s="2601" t="s">
        <v>2873</v>
      </c>
      <c r="D14" s="2602"/>
      <c r="E14" s="2602">
        <v>40</v>
      </c>
      <c r="F14" s="2602"/>
      <c r="G14" s="2602"/>
      <c r="H14" s="2602"/>
      <c r="I14" s="2602"/>
      <c r="J14" s="2634"/>
      <c r="K14" s="2810"/>
      <c r="L14" s="2806"/>
      <c r="M14" s="2806"/>
      <c r="N14" s="2634"/>
      <c r="O14" s="2645"/>
      <c r="P14" s="2634"/>
      <c r="Q14" s="2634"/>
      <c r="R14" s="2634"/>
    </row>
    <row r="15" spans="1:28">
      <c r="A15" s="325"/>
      <c r="B15" s="2603"/>
      <c r="C15" s="2604" t="s">
        <v>2874</v>
      </c>
      <c r="D15" s="2605" t="str">
        <f>IF(B12="出让",IF(D13="","",ROUNDDOWN(MIN((D13-$D$3)/365,D14),2)),D14)</f>
        <v/>
      </c>
      <c r="E15" s="2605">
        <f>IF(B12="出让",IF(E13="","",ROUNDDOWN(MIN((E13-$D$3)/365,E14),2)),E14)</f>
        <v>33.840000000000003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1"/>
      <c r="L15" s="2646"/>
      <c r="M15" s="2646"/>
      <c r="N15" s="2702"/>
      <c r="O15" s="2646"/>
      <c r="P15" s="2702"/>
      <c r="Q15" s="2634"/>
      <c r="R15" s="2634"/>
    </row>
    <row r="16" spans="1:28">
      <c r="A16" s="2593" t="s">
        <v>2875</v>
      </c>
      <c r="B16" s="3341"/>
      <c r="C16" s="3342"/>
      <c r="D16" s="3343"/>
      <c r="E16" s="2608" t="s">
        <v>2876</v>
      </c>
      <c r="F16" s="3344"/>
      <c r="G16" s="3345"/>
      <c r="H16" s="3345"/>
      <c r="I16" s="3346"/>
      <c r="J16" s="2634"/>
      <c r="K16" s="2811"/>
      <c r="L16" s="2646"/>
      <c r="M16" s="2646"/>
      <c r="N16" s="2702"/>
      <c r="O16" s="2646"/>
      <c r="P16" s="2702"/>
      <c r="Q16" s="2634"/>
      <c r="R16" s="2634"/>
    </row>
    <row r="17" spans="1:28">
      <c r="A17" s="318" t="s">
        <v>2877</v>
      </c>
      <c r="B17" s="307" t="s">
        <v>2878</v>
      </c>
      <c r="C17" s="11">
        <f>'数据-汇总表'!E3</f>
        <v>17650.910000000003</v>
      </c>
      <c r="D17" s="2514" t="s">
        <v>2879</v>
      </c>
      <c r="E17" s="3347"/>
      <c r="F17" s="3348"/>
      <c r="G17" s="3348"/>
      <c r="H17" s="3348"/>
      <c r="I17" s="3349"/>
      <c r="J17" s="2634"/>
      <c r="K17" s="2812"/>
      <c r="L17" s="2646"/>
      <c r="M17" s="2646"/>
      <c r="N17" s="2702"/>
      <c r="O17" s="2646"/>
      <c r="P17" s="2702"/>
      <c r="Q17" s="2634"/>
      <c r="R17" s="2634"/>
      <c r="S17" s="2634"/>
      <c r="T17" s="2634"/>
      <c r="U17" s="2634"/>
      <c r="V17" s="2634"/>
    </row>
    <row r="18" spans="1:28" ht="24.6" thickBot="1">
      <c r="A18" s="2609" t="s">
        <v>2880</v>
      </c>
      <c r="B18" s="1221" t="s">
        <v>2881</v>
      </c>
      <c r="C18" s="2610">
        <f>'数据-汇总表'!D3</f>
        <v>6303.9</v>
      </c>
      <c r="D18" s="1223" t="s">
        <v>2882</v>
      </c>
      <c r="E18" s="3350"/>
      <c r="F18" s="3351"/>
      <c r="G18" s="3351"/>
      <c r="H18" s="3351"/>
      <c r="I18" s="3352"/>
      <c r="J18" s="2634"/>
      <c r="K18" s="2812"/>
      <c r="L18" s="2646"/>
      <c r="M18" s="2646"/>
      <c r="N18" s="2702"/>
      <c r="O18" s="2646"/>
      <c r="P18" s="2702"/>
      <c r="Q18" s="2634"/>
      <c r="R18" s="2634"/>
      <c r="S18" s="2634"/>
      <c r="T18" s="2634"/>
      <c r="U18" s="2634"/>
      <c r="V18" s="2634"/>
    </row>
    <row r="19" spans="1:28" ht="37.200000000000003" thickTop="1" thickBot="1">
      <c r="A19" s="332" t="s">
        <v>1678</v>
      </c>
      <c r="B19" s="312" t="s">
        <v>2883</v>
      </c>
      <c r="C19" s="1717" t="s">
        <v>3125</v>
      </c>
      <c r="D19" s="1718" t="s">
        <v>2884</v>
      </c>
      <c r="E19" s="1719" t="s">
        <v>3125</v>
      </c>
      <c r="F19" s="1720" t="str">
        <f>IF(AND(C19="是",E19="否"),"是否提供他项权证或相关说明","")</f>
        <v/>
      </c>
      <c r="G19" s="1721" t="s">
        <v>3125</v>
      </c>
      <c r="H19" s="2858"/>
      <c r="I19" s="2858"/>
      <c r="J19" s="2634"/>
      <c r="K19" s="2809"/>
      <c r="L19" s="2806"/>
      <c r="M19" s="2806"/>
      <c r="N19" s="2702"/>
      <c r="O19" s="2646"/>
      <c r="P19" s="2702"/>
      <c r="Q19" s="2634"/>
      <c r="R19" s="2634"/>
      <c r="S19" s="2634"/>
      <c r="T19" s="2634"/>
      <c r="U19" s="2634"/>
      <c r="V19" s="2634"/>
    </row>
    <row r="20" spans="1:28">
      <c r="A20" s="2826" t="s">
        <v>2885</v>
      </c>
      <c r="B20" s="3337" t="s">
        <v>2886</v>
      </c>
      <c r="C20" s="3338"/>
      <c r="D20" s="3339" t="s">
        <v>2887</v>
      </c>
      <c r="E20" s="3340"/>
      <c r="F20" s="2841" t="s">
        <v>1679</v>
      </c>
      <c r="G20" s="2858"/>
      <c r="H20" s="2858"/>
      <c r="I20" s="2858"/>
      <c r="J20" s="2634"/>
      <c r="K20" s="3336" t="s">
        <v>2888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6" thickBot="1">
      <c r="A21" s="2826"/>
      <c r="B21" s="2827" t="s">
        <v>2889</v>
      </c>
      <c r="C21" s="2828" t="s">
        <v>1680</v>
      </c>
      <c r="D21" s="1722"/>
      <c r="E21" s="2829" t="s">
        <v>1680</v>
      </c>
      <c r="F21" s="2842"/>
      <c r="G21" s="2858"/>
      <c r="H21" s="2858"/>
      <c r="I21" s="2858"/>
      <c r="J21" s="2634"/>
      <c r="K21" s="333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2"/>
      <c r="N21" s="2607"/>
      <c r="O21" s="2606"/>
      <c r="P21" s="2607"/>
      <c r="Q21" s="2563"/>
      <c r="R21" s="2563"/>
      <c r="S21" s="2563"/>
      <c r="T21" s="2563"/>
      <c r="U21" s="2563"/>
      <c r="V21" s="2563"/>
      <c r="W21" s="1900"/>
      <c r="X21" s="1900"/>
      <c r="Y21" s="1900"/>
      <c r="Z21" s="1900"/>
      <c r="AA21" s="1900"/>
      <c r="AB21" s="1900"/>
    </row>
    <row r="22" spans="1:28" ht="36.6" thickBot="1">
      <c r="A22" s="2826"/>
      <c r="B22" s="2830" t="s">
        <v>2890</v>
      </c>
      <c r="C22" s="2828" t="s">
        <v>1681</v>
      </c>
      <c r="D22" s="2857"/>
      <c r="E22" s="2857"/>
      <c r="F22" s="2857"/>
      <c r="G22" s="2858"/>
      <c r="H22" s="2858"/>
      <c r="I22" s="2858"/>
      <c r="J22" s="2634"/>
      <c r="K22" s="333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1" t="s">
        <v>2891</v>
      </c>
      <c r="B23" s="2695" t="s">
        <v>2892</v>
      </c>
      <c r="C23" s="2832"/>
      <c r="D23" s="2833" t="s">
        <v>2892</v>
      </c>
      <c r="E23" s="2834"/>
      <c r="F23" s="2857"/>
      <c r="G23" s="2858"/>
      <c r="H23" s="2858"/>
      <c r="I23" s="2858"/>
      <c r="J23" s="2634"/>
      <c r="K23" s="2813"/>
      <c r="L23" s="2669"/>
      <c r="M23" s="2806"/>
      <c r="N23" s="2702"/>
      <c r="O23" s="2646"/>
      <c r="P23" s="2702"/>
      <c r="Q23" s="2634"/>
      <c r="R23" s="2634"/>
      <c r="S23" s="2634"/>
      <c r="T23" s="2634"/>
      <c r="U23" s="2634"/>
      <c r="V23" s="2634"/>
    </row>
    <row r="24" spans="1:28">
      <c r="A24" s="2831"/>
      <c r="B24" s="2695" t="s">
        <v>1682</v>
      </c>
      <c r="C24" s="2835"/>
      <c r="D24" s="2831" t="s">
        <v>1682</v>
      </c>
      <c r="E24" s="2836"/>
      <c r="F24" s="2857"/>
      <c r="G24" s="2858"/>
      <c r="H24" s="2858"/>
      <c r="I24" s="2858"/>
      <c r="J24" s="2634"/>
      <c r="K24" s="2813"/>
      <c r="L24" s="2669"/>
      <c r="M24" s="2806"/>
      <c r="N24" s="2702"/>
      <c r="O24" s="2646"/>
      <c r="P24" s="2702"/>
      <c r="Q24" s="2634"/>
      <c r="R24" s="2634"/>
      <c r="S24" s="2634"/>
      <c r="T24" s="2634"/>
      <c r="U24" s="2634"/>
      <c r="V24" s="2634"/>
    </row>
    <row r="25" spans="1:28">
      <c r="A25" s="2831"/>
      <c r="B25" s="2695" t="s">
        <v>1683</v>
      </c>
      <c r="C25" s="2835"/>
      <c r="D25" s="2831" t="s">
        <v>1683</v>
      </c>
      <c r="E25" s="2836"/>
      <c r="F25" s="2857"/>
      <c r="G25" s="2858"/>
      <c r="H25" s="2858"/>
      <c r="I25" s="2858"/>
      <c r="J25" s="2634"/>
      <c r="K25" s="2809"/>
      <c r="L25" s="2806"/>
      <c r="M25" s="2806"/>
      <c r="N25" s="2702"/>
      <c r="O25" s="2646"/>
      <c r="P25" s="2702"/>
      <c r="Q25" s="2634"/>
      <c r="R25" s="2634"/>
      <c r="S25" s="2634"/>
      <c r="T25" s="2634"/>
      <c r="U25" s="2634"/>
      <c r="V25" s="2634"/>
    </row>
    <row r="26" spans="1:28" ht="13.8" thickBot="1">
      <c r="A26" s="2837"/>
      <c r="B26" s="2838" t="s">
        <v>1684</v>
      </c>
      <c r="C26" s="2839"/>
      <c r="D26" s="2837" t="s">
        <v>1684</v>
      </c>
      <c r="E26" s="2840"/>
      <c r="F26" s="2859"/>
      <c r="G26" s="2859"/>
      <c r="H26" s="2859"/>
      <c r="I26" s="2859"/>
      <c r="J26" s="2634"/>
      <c r="K26" s="2809"/>
      <c r="L26" s="2806"/>
      <c r="M26" s="2806"/>
      <c r="N26" s="2702"/>
      <c r="O26" s="2646"/>
      <c r="P26" s="2702"/>
      <c r="Q26" s="2634"/>
      <c r="R26" s="2634"/>
      <c r="S26" s="2634"/>
      <c r="T26" s="2634"/>
      <c r="U26" s="2634"/>
      <c r="V26" s="2634"/>
    </row>
    <row r="27" spans="1:28" ht="13.8" thickTop="1">
      <c r="A27" s="3354" t="s">
        <v>2893</v>
      </c>
      <c r="B27" s="325" t="s">
        <v>2894</v>
      </c>
      <c r="C27" s="2611" t="s">
        <v>3126</v>
      </c>
      <c r="D27" s="2612"/>
      <c r="E27" s="2858"/>
      <c r="F27" s="2858"/>
      <c r="G27" s="2858"/>
      <c r="H27" s="2858"/>
      <c r="I27" s="2858"/>
      <c r="J27" s="2634"/>
      <c r="K27" s="2811"/>
      <c r="L27" s="2646"/>
      <c r="M27" s="2646"/>
      <c r="N27" s="2702"/>
      <c r="O27" s="2646"/>
      <c r="P27" s="2702"/>
      <c r="Q27" s="2634"/>
      <c r="R27" s="2634"/>
      <c r="S27" s="2634"/>
      <c r="T27" s="2634"/>
      <c r="U27" s="2634"/>
      <c r="V27" s="2634"/>
    </row>
    <row r="28" spans="1:28">
      <c r="A28" s="3354"/>
      <c r="B28" s="307" t="s">
        <v>2895</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354"/>
      <c r="B29" s="307" t="s">
        <v>2896</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355"/>
      <c r="B30" s="307" t="s">
        <v>2897</v>
      </c>
      <c r="C30" s="3356"/>
      <c r="D30" s="3357"/>
      <c r="E30" s="2858"/>
      <c r="F30" s="2858"/>
      <c r="G30" s="2858"/>
      <c r="H30" s="2858"/>
      <c r="I30" s="2858"/>
      <c r="J30" s="2634"/>
      <c r="K30" s="2809"/>
      <c r="L30" s="2806"/>
      <c r="M30" s="2806"/>
      <c r="N30" s="2634"/>
      <c r="O30" s="2645"/>
      <c r="P30" s="2634"/>
      <c r="Q30" s="2634"/>
      <c r="R30" s="2634"/>
      <c r="S30" s="2634"/>
      <c r="T30" s="2634"/>
      <c r="U30" s="2634"/>
      <c r="V30" s="2634"/>
    </row>
    <row r="31" spans="1:28">
      <c r="A31" s="3358" t="s">
        <v>2898</v>
      </c>
      <c r="B31" s="2617" t="s">
        <v>3127</v>
      </c>
      <c r="C31" s="2515" t="str">
        <f>IF(B31="现房","成新及维护状况正常否",IF(B31="在建","工程状态是否正常",IF(B31="土地","是否闲置","-")))</f>
        <v>成新及维护状况正常否</v>
      </c>
      <c r="D31" s="1526"/>
      <c r="E31" s="2618"/>
      <c r="F31" s="2858"/>
      <c r="G31" s="2858"/>
      <c r="H31" s="2858"/>
      <c r="I31" s="2858"/>
      <c r="J31" s="2634"/>
      <c r="K31" s="2808"/>
      <c r="L31" s="2806"/>
      <c r="M31" s="2806"/>
      <c r="N31" s="2634"/>
      <c r="O31" s="2645"/>
      <c r="P31" s="2634"/>
      <c r="Q31" s="2634"/>
      <c r="R31" s="2634"/>
      <c r="S31" s="2634"/>
      <c r="T31" s="2634"/>
      <c r="U31" s="2634"/>
      <c r="V31" s="2634"/>
    </row>
    <row r="32" spans="1:28">
      <c r="A32" s="3359"/>
      <c r="B32" s="2617"/>
      <c r="C32" s="2515" t="str">
        <f>IF(B32="现房","成新及维护状况是否正常",IF(B32="在建","工程状态是否正常",IF(B32="土地","是否闲置","-")))</f>
        <v>-</v>
      </c>
      <c r="D32" s="1526"/>
      <c r="E32" s="2618"/>
      <c r="F32" s="2858"/>
      <c r="G32" s="2858"/>
      <c r="H32" s="2858"/>
      <c r="I32" s="2858"/>
      <c r="J32" s="2634"/>
      <c r="K32" s="2809"/>
      <c r="L32" s="2806"/>
      <c r="M32" s="2806"/>
      <c r="N32" s="2634"/>
      <c r="O32" s="2645"/>
      <c r="P32" s="2634"/>
      <c r="Q32" s="2634"/>
      <c r="R32" s="2634"/>
      <c r="S32" s="2634"/>
      <c r="T32" s="2634"/>
      <c r="U32" s="2634"/>
      <c r="V32" s="2634"/>
    </row>
    <row r="33" spans="1:30">
      <c r="A33" s="3359"/>
      <c r="B33" s="2620"/>
      <c r="C33" s="1744" t="str">
        <f>IF(B33="现房","成新及维护状况是否正常",IF(B33="在建","工程状态是否正常",IF(B33="土地","是否闲置","-")))</f>
        <v>-</v>
      </c>
      <c r="D33" s="1518"/>
      <c r="E33" s="2621"/>
      <c r="F33" s="2858"/>
      <c r="G33" s="2858"/>
      <c r="H33" s="2858"/>
      <c r="I33" s="2858"/>
      <c r="J33" s="2634"/>
      <c r="K33" s="2809"/>
      <c r="L33" s="2806"/>
      <c r="M33" s="2806"/>
      <c r="N33" s="2634"/>
      <c r="O33" s="2645"/>
      <c r="P33" s="2634"/>
      <c r="Q33" s="2634"/>
      <c r="R33" s="2634"/>
      <c r="S33" s="2634"/>
      <c r="T33" s="2634"/>
      <c r="U33" s="2634"/>
      <c r="V33" s="2634"/>
    </row>
    <row r="34" spans="1:30">
      <c r="A34" s="307" t="s">
        <v>2899</v>
      </c>
      <c r="B34" s="2183" t="s">
        <v>3128</v>
      </c>
      <c r="C34" s="2183" t="s">
        <v>3129</v>
      </c>
      <c r="D34" s="2183" t="s">
        <v>3130</v>
      </c>
      <c r="E34" s="2183" t="s">
        <v>3131</v>
      </c>
      <c r="F34" s="2183" t="s">
        <v>3132</v>
      </c>
      <c r="G34" s="2183" t="s">
        <v>3134</v>
      </c>
      <c r="H34" s="2183" t="s">
        <v>3133</v>
      </c>
      <c r="I34" s="2858"/>
      <c r="J34" s="2634"/>
      <c r="K34" s="2622">
        <f>COUNTIF(B34:H34,"——")</f>
        <v>0</v>
      </c>
      <c r="L34" s="328" t="s">
        <v>2900</v>
      </c>
      <c r="M34" s="328" t="s">
        <v>2901</v>
      </c>
      <c r="N34" s="328" t="s">
        <v>2902</v>
      </c>
      <c r="O34" s="328" t="s">
        <v>2903</v>
      </c>
      <c r="P34" s="328" t="s">
        <v>2904</v>
      </c>
      <c r="Q34" s="328" t="s">
        <v>2905</v>
      </c>
      <c r="R34" s="328" t="s">
        <v>2906</v>
      </c>
      <c r="S34" s="3353" t="s">
        <v>2907</v>
      </c>
      <c r="T34" s="2623" t="str">
        <f>NUMBERSTRING(7-K34,1)&amp;"通"</f>
        <v>七通</v>
      </c>
      <c r="U34" s="2634"/>
      <c r="V34" s="2634"/>
    </row>
    <row r="35" spans="1:30">
      <c r="A35" s="2624"/>
      <c r="B35" s="3360" t="s">
        <v>2908</v>
      </c>
      <c r="C35" s="3360"/>
      <c r="D35" s="3360"/>
      <c r="E35" s="3360"/>
      <c r="F35" s="672">
        <f>C10</f>
        <v>0</v>
      </c>
      <c r="G35" s="2858"/>
      <c r="H35" s="2858"/>
      <c r="I35" s="2858"/>
      <c r="J35" s="263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353"/>
      <c r="T35" s="334" t="str">
        <f>IF(T34="一通",L35,IF(T34="二通",M35,IF(T34="三通",N35,IF(T34="四通",O35,IF(T34="五通",P35,IF(T34="六通",Q35,R35))))))</f>
        <v>通路、通电、通讯、通上水、通下水、通热、燃气</v>
      </c>
      <c r="U35" s="2634"/>
      <c r="V35" s="2634"/>
    </row>
    <row r="36" spans="1:30">
      <c r="A36" s="2625"/>
      <c r="B36" s="672" t="s">
        <v>2867</v>
      </c>
      <c r="C36" s="672" t="s">
        <v>2868</v>
      </c>
      <c r="D36" s="672" t="s">
        <v>2866</v>
      </c>
      <c r="E36" s="672" t="s">
        <v>2871</v>
      </c>
      <c r="F36" s="2864"/>
      <c r="G36" s="2858"/>
      <c r="H36" s="2858"/>
      <c r="I36" s="2858"/>
      <c r="J36" s="2634"/>
      <c r="K36" s="2809"/>
      <c r="L36" s="2806"/>
      <c r="M36" s="2806"/>
      <c r="N36" s="2634"/>
      <c r="O36" s="2645"/>
      <c r="P36" s="2634"/>
      <c r="Q36" s="2634"/>
      <c r="R36" s="2634"/>
      <c r="S36" s="2634"/>
      <c r="T36" s="2634"/>
      <c r="U36" s="2634"/>
      <c r="V36" s="2634"/>
    </row>
    <row r="37" spans="1:30">
      <c r="A37" s="2824" t="s">
        <v>2909</v>
      </c>
      <c r="B37" s="2626" t="s">
        <v>56</v>
      </c>
      <c r="C37" s="2626"/>
      <c r="D37" s="2626"/>
      <c r="E37" s="2626"/>
      <c r="F37" s="2864"/>
      <c r="G37" s="2858"/>
      <c r="H37" s="2858"/>
      <c r="I37" s="2858"/>
      <c r="J37" s="2634"/>
      <c r="K37" s="2809"/>
      <c r="L37" s="2806"/>
      <c r="M37" s="2806"/>
      <c r="N37" s="2634"/>
      <c r="O37" s="2645"/>
      <c r="P37" s="2634"/>
      <c r="Q37" s="2634"/>
      <c r="R37" s="2634"/>
      <c r="S37" s="2634"/>
      <c r="T37" s="2634"/>
      <c r="U37" s="2634"/>
      <c r="V37" s="2634"/>
    </row>
    <row r="38" spans="1:30" ht="13.8" thickBot="1">
      <c r="A38" s="2825" t="s">
        <v>2910</v>
      </c>
      <c r="B38" s="2627" t="s">
        <v>386</v>
      </c>
      <c r="C38" s="2627"/>
      <c r="D38" s="2627"/>
      <c r="E38" s="2627"/>
      <c r="F38" s="2865"/>
      <c r="G38" s="2859"/>
      <c r="H38" s="2859"/>
      <c r="I38" s="2859"/>
      <c r="J38" s="2634"/>
      <c r="K38" s="2809"/>
      <c r="L38" s="2806"/>
      <c r="M38" s="2806"/>
      <c r="N38" s="2634"/>
      <c r="O38" s="2645"/>
      <c r="P38" s="2634"/>
      <c r="Q38" s="2634"/>
      <c r="R38" s="2634"/>
      <c r="S38" s="2634"/>
      <c r="T38" s="2634"/>
      <c r="U38" s="2634"/>
      <c r="V38" s="2634"/>
    </row>
    <row r="39" spans="1:30" s="2630" customFormat="1" ht="14.4" thickTop="1" thickBot="1">
      <c r="A39" s="2628" t="s">
        <v>2911</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6"/>
      <c r="M40" s="2646"/>
      <c r="N40" s="2702"/>
      <c r="O40" s="2646"/>
      <c r="P40" s="2634"/>
      <c r="Q40" s="2634"/>
      <c r="R40" s="2634"/>
      <c r="S40" s="2634"/>
      <c r="T40" s="2634"/>
      <c r="U40" s="2634"/>
      <c r="V40" s="2634"/>
    </row>
    <row r="41" spans="1:30">
      <c r="A41" s="2631" t="s">
        <v>2912</v>
      </c>
      <c r="B41" s="1912"/>
      <c r="C41" s="1526"/>
      <c r="D41" s="2563"/>
      <c r="E41" s="2563"/>
      <c r="F41" s="2563"/>
      <c r="G41" s="2563"/>
      <c r="H41" s="2563"/>
      <c r="I41" s="1730"/>
      <c r="J41" s="2634"/>
      <c r="K41" s="2809"/>
      <c r="L41" s="2806"/>
      <c r="M41" s="2806"/>
      <c r="N41" s="2634"/>
      <c r="O41" s="2645"/>
      <c r="P41" s="2634"/>
      <c r="Q41" s="2634"/>
      <c r="R41" s="2634"/>
      <c r="S41" s="2634"/>
      <c r="T41" s="2634"/>
      <c r="U41" s="2634"/>
      <c r="V41" s="2634"/>
    </row>
    <row r="42" spans="1:30" ht="25.2">
      <c r="A42" s="328" t="s">
        <v>2913</v>
      </c>
      <c r="B42" s="11" t="s">
        <v>2914</v>
      </c>
      <c r="C42" s="11" t="s">
        <v>2915</v>
      </c>
      <c r="D42" s="11" t="s">
        <v>2916</v>
      </c>
      <c r="E42" s="11" t="s">
        <v>2917</v>
      </c>
      <c r="F42" s="11" t="s">
        <v>2918</v>
      </c>
      <c r="G42" s="11" t="s">
        <v>2919</v>
      </c>
      <c r="H42" s="11" t="s">
        <v>2920</v>
      </c>
      <c r="I42" s="11" t="s">
        <v>2921</v>
      </c>
      <c r="J42" s="2820" t="s">
        <v>2922</v>
      </c>
      <c r="K42" s="2821" t="s">
        <v>2923</v>
      </c>
      <c r="L42" s="2821" t="s">
        <v>2924</v>
      </c>
      <c r="M42" s="2821" t="s">
        <v>2925</v>
      </c>
      <c r="N42" s="2814" t="s">
        <v>2926</v>
      </c>
      <c r="O42" s="2814" t="s">
        <v>2927</v>
      </c>
      <c r="P42" s="2814" t="s">
        <v>2928</v>
      </c>
      <c r="Q42" s="2815" t="s">
        <v>2929</v>
      </c>
      <c r="R42" s="2815" t="s">
        <v>2930</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7" customWidth="1"/>
    <col min="2" max="2" width="11" style="1727" customWidth="1"/>
    <col min="3" max="3" width="10.33203125" style="1727" customWidth="1"/>
    <col min="4" max="4" width="9.109375" style="1727" customWidth="1"/>
    <col min="5" max="6" width="10" style="1788" customWidth="1"/>
    <col min="7" max="8" width="10" style="1727" customWidth="1"/>
    <col min="9" max="9" width="10.6640625" style="1727" customWidth="1"/>
    <col min="10" max="10" width="9.44140625" style="1727" customWidth="1"/>
    <col min="11" max="11" width="11" style="1727" customWidth="1"/>
    <col min="12" max="14" width="9.44140625" style="1727" customWidth="1"/>
    <col min="15" max="15" width="9.88671875" style="1727" customWidth="1"/>
    <col min="16" max="16" width="9.77734375" style="1727" customWidth="1"/>
    <col min="17" max="17" width="9.33203125" style="1727" customWidth="1"/>
    <col min="18" max="18" width="9.21875" style="1727" customWidth="1"/>
    <col min="19" max="19" width="10.88671875" style="1727" customWidth="1"/>
    <col min="20" max="21" width="10.77734375" style="1727" customWidth="1"/>
    <col min="22" max="22" width="10.88671875" style="1727" customWidth="1"/>
    <col min="23" max="27" width="10.77734375" style="1727" customWidth="1"/>
    <col min="28" max="28" width="10.88671875" style="1727" customWidth="1"/>
    <col min="29" max="29" width="11" style="1727" bestFit="1" customWidth="1"/>
    <col min="30" max="30" width="10" style="1727" bestFit="1" customWidth="1"/>
    <col min="31" max="31" width="9.77734375" style="1727" customWidth="1"/>
    <col min="32" max="46" width="9.44140625" style="1727" customWidth="1"/>
    <col min="47" max="47" width="18.109375" style="1727" customWidth="1"/>
    <col min="48" max="50" width="9.77734375" style="1727" customWidth="1"/>
    <col min="51" max="55" width="10.44140625" style="1727" bestFit="1" customWidth="1"/>
    <col min="56" max="56" width="9.44140625" style="1727" bestFit="1" customWidth="1"/>
    <col min="57" max="63" width="9.109375" style="1727" bestFit="1" customWidth="1"/>
    <col min="64" max="64" width="9.44140625" style="1727" bestFit="1" customWidth="1"/>
    <col min="65" max="65" width="9.109375" style="1727" bestFit="1" customWidth="1"/>
    <col min="66" max="66" width="9.44140625" style="1727" bestFit="1" customWidth="1"/>
    <col min="67" max="69" width="9.109375" style="1727" bestFit="1" customWidth="1"/>
    <col min="70" max="70" width="9.44140625" style="1727" bestFit="1" customWidth="1"/>
    <col min="71" max="71" width="9" style="1727" customWidth="1"/>
    <col min="72" max="72" width="9.109375" style="1727" bestFit="1" customWidth="1"/>
    <col min="73" max="16384" width="8.88671875" style="1727"/>
  </cols>
  <sheetData>
    <row r="1" spans="1:72" ht="21">
      <c r="A1" s="1728" t="s">
        <v>1685</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1686</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1687</v>
      </c>
      <c r="B2" s="11" t="s">
        <v>1688</v>
      </c>
      <c r="C2" s="11" t="s">
        <v>1689</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1690</v>
      </c>
      <c r="AZ2" s="1179" t="s">
        <v>1691</v>
      </c>
      <c r="BA2" s="11" t="s">
        <v>1692</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2">
      <c r="A3" s="3210">
        <f>ROUND(I13/2.8,2)</f>
        <v>6303.9</v>
      </c>
      <c r="B3" s="13">
        <f>IF(C3="否",G5-AT5,G5)</f>
        <v>17650.910000000003</v>
      </c>
      <c r="C3" s="1734" t="s">
        <v>1693</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2">
      <c r="A5" s="14" t="s">
        <v>1694</v>
      </c>
      <c r="B5" s="1500"/>
      <c r="C5" s="1500"/>
      <c r="D5" s="1502"/>
      <c r="E5" s="15" t="s">
        <v>1</v>
      </c>
      <c r="F5" s="15">
        <f>SUM(F13:F587)</f>
        <v>0</v>
      </c>
      <c r="G5" s="15">
        <f>SUM(G13:G587)</f>
        <v>17650.910000000003</v>
      </c>
      <c r="H5" s="15">
        <f t="shared" ref="H5:AT5" si="0">SUM(H13:H656)</f>
        <v>17650.910000000003</v>
      </c>
      <c r="I5" s="15">
        <f t="shared" si="0"/>
        <v>17650.910000000003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1694</v>
      </c>
      <c r="AW5" s="1500"/>
      <c r="AX5" s="1500"/>
      <c r="AY5" s="16" t="s">
        <v>3</v>
      </c>
      <c r="AZ5" s="17">
        <f t="shared" ref="AZ5:BT5" si="1">SUM(AZ13:AZ656)</f>
        <v>17650.910000000003</v>
      </c>
      <c r="BA5" s="17">
        <f t="shared" si="1"/>
        <v>17650.910000000003</v>
      </c>
      <c r="BB5" s="17">
        <f t="shared" si="1"/>
        <v>17650.910000000003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3.2">
      <c r="A6" s="14" t="s">
        <v>1695</v>
      </c>
      <c r="B6" s="1740"/>
      <c r="C6" s="1740"/>
      <c r="D6" s="1741"/>
      <c r="E6" s="15">
        <f>H6+AC6+AT6</f>
        <v>6303.9</v>
      </c>
      <c r="F6" s="15" t="s">
        <v>1</v>
      </c>
      <c r="G6" s="15" t="s">
        <v>2</v>
      </c>
      <c r="H6" s="19">
        <f>SUMIF(I$12:AB$12,"总值",I6:AB6)</f>
        <v>6303.9</v>
      </c>
      <c r="I6" s="15">
        <f t="shared" ref="I6:AB6" si="2">ROUND($A$3*I5/$B$3,2)</f>
        <v>6303.9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1695</v>
      </c>
      <c r="AW6" s="1740"/>
      <c r="AX6" s="1740"/>
      <c r="AY6" s="20">
        <f>IF(AY3&gt;0,AY3,ROUND($A$3*AZ5/$B$3,2))</f>
        <v>6303.9</v>
      </c>
      <c r="AZ6" s="15" t="s">
        <v>3</v>
      </c>
      <c r="BA6" s="15">
        <f>ROUND($AY$6*BA5/$AZ$5,2)</f>
        <v>6303.9</v>
      </c>
      <c r="BB6" s="15">
        <f>ROUND($AY$6*BB5/$AZ$5,2)</f>
        <v>6303.9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5.2">
      <c r="A7" s="1723" t="s">
        <v>1696</v>
      </c>
      <c r="B7" s="1723" t="s">
        <v>1697</v>
      </c>
      <c r="C7" s="1723" t="s">
        <v>1698</v>
      </c>
      <c r="D7" s="1723" t="s">
        <v>1699</v>
      </c>
      <c r="E7" s="1723" t="s">
        <v>1700</v>
      </c>
      <c r="F7" s="1723" t="s">
        <v>1701</v>
      </c>
      <c r="G7" s="1744" t="s">
        <v>1702</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1703</v>
      </c>
      <c r="AV7" s="22" t="s">
        <v>1704</v>
      </c>
      <c r="AW7" s="1732" t="s">
        <v>1705</v>
      </c>
      <c r="AX7" s="22" t="s">
        <v>1698</v>
      </c>
      <c r="AY7" s="1500" t="s">
        <v>1706</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1707</v>
      </c>
      <c r="H8" s="1750" t="s">
        <v>1708</v>
      </c>
      <c r="I8" s="1751"/>
      <c r="J8" s="1513"/>
      <c r="K8" s="1513"/>
      <c r="L8" s="1513"/>
      <c r="M8" s="1513"/>
      <c r="N8" s="1513"/>
      <c r="O8" s="1513"/>
      <c r="P8" s="1513"/>
      <c r="Q8" s="1513"/>
      <c r="R8" s="1513"/>
      <c r="S8" s="1513"/>
      <c r="T8" s="1513"/>
      <c r="U8" s="1513"/>
      <c r="V8" s="1752"/>
      <c r="W8" s="1513"/>
      <c r="X8" s="1513"/>
      <c r="Y8" s="1513"/>
      <c r="Z8" s="1513"/>
      <c r="AA8" s="1752"/>
      <c r="AB8" s="1753"/>
      <c r="AC8" s="917" t="s">
        <v>1709</v>
      </c>
      <c r="AD8" s="1754"/>
      <c r="AE8" s="1746"/>
      <c r="AF8" s="1513"/>
      <c r="AG8" s="1513"/>
      <c r="AH8" s="1513"/>
      <c r="AI8" s="1513"/>
      <c r="AJ8" s="1513"/>
      <c r="AK8" s="1513"/>
      <c r="AL8" s="1513"/>
      <c r="AM8" s="1513"/>
      <c r="AN8" s="1513"/>
      <c r="AO8" s="1513"/>
      <c r="AP8" s="1513"/>
      <c r="AQ8" s="1513"/>
      <c r="AR8" s="1513"/>
      <c r="AS8" s="1513"/>
      <c r="AT8" s="1201" t="s">
        <v>1710</v>
      </c>
      <c r="AU8" s="1748" t="s">
        <v>1711</v>
      </c>
      <c r="AV8" s="1201"/>
      <c r="AW8" s="1731"/>
      <c r="AX8" s="1201"/>
      <c r="AY8" s="1732" t="s">
        <v>1712</v>
      </c>
      <c r="AZ8" s="1512" t="s">
        <v>1713</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3.2">
      <c r="A9" s="1748"/>
      <c r="B9" s="1748"/>
      <c r="C9" s="1748"/>
      <c r="D9" s="1748"/>
      <c r="E9" s="1748"/>
      <c r="F9" s="1748"/>
      <c r="G9" s="1201"/>
      <c r="H9" s="1756" t="s">
        <v>1714</v>
      </c>
      <c r="I9" s="1757" t="s">
        <v>3178</v>
      </c>
      <c r="J9" s="917"/>
      <c r="K9" s="1757"/>
      <c r="L9" s="917"/>
      <c r="M9" s="1757"/>
      <c r="N9" s="917"/>
      <c r="O9" s="1757"/>
      <c r="P9" s="917"/>
      <c r="Q9" s="1757"/>
      <c r="R9" s="917"/>
      <c r="S9" s="1757"/>
      <c r="T9" s="917"/>
      <c r="U9" s="1757"/>
      <c r="V9" s="917"/>
      <c r="W9" s="1757"/>
      <c r="X9" s="1758"/>
      <c r="Y9" s="1757"/>
      <c r="Z9" s="917"/>
      <c r="AA9" s="1757"/>
      <c r="AB9" s="917"/>
      <c r="AC9" s="1749" t="s">
        <v>1714</v>
      </c>
      <c r="AD9" s="14" t="s">
        <v>1715</v>
      </c>
      <c r="AE9" s="1207"/>
      <c r="AF9" s="14" t="s">
        <v>1716</v>
      </c>
      <c r="AG9" s="1207"/>
      <c r="AH9" s="14" t="s">
        <v>1715</v>
      </c>
      <c r="AI9" s="1207"/>
      <c r="AJ9" s="14" t="s">
        <v>1716</v>
      </c>
      <c r="AK9" s="1207"/>
      <c r="AL9" s="14" t="s">
        <v>1715</v>
      </c>
      <c r="AM9" s="1207"/>
      <c r="AN9" s="14" t="s">
        <v>1716</v>
      </c>
      <c r="AO9" s="1207"/>
      <c r="AP9" s="14" t="s">
        <v>1715</v>
      </c>
      <c r="AQ9" s="1207"/>
      <c r="AR9" s="14" t="s">
        <v>1716</v>
      </c>
      <c r="AS9" s="1759"/>
      <c r="AT9" s="1748"/>
      <c r="AU9" s="1748" t="s">
        <v>1717</v>
      </c>
      <c r="AV9" s="1201"/>
      <c r="AW9" s="1731"/>
      <c r="AX9" s="1201"/>
      <c r="AY9" s="27"/>
      <c r="AZ9" s="27" t="s">
        <v>1707</v>
      </c>
      <c r="BA9" s="1760" t="s">
        <v>1718</v>
      </c>
      <c r="BB9" s="1761"/>
      <c r="BC9" s="1219"/>
      <c r="BD9" s="1219"/>
      <c r="BE9" s="1219"/>
      <c r="BF9" s="1219"/>
      <c r="BG9" s="1219"/>
      <c r="BH9" s="1219"/>
      <c r="BI9" s="1219"/>
      <c r="BJ9" s="1219"/>
      <c r="BK9" s="1762"/>
      <c r="BL9" s="14" t="s">
        <v>1719</v>
      </c>
      <c r="BM9" s="1513"/>
      <c r="BN9" s="1751"/>
      <c r="BO9" s="1513"/>
      <c r="BP9" s="1513"/>
      <c r="BQ9" s="1513"/>
      <c r="BR9" s="1513"/>
      <c r="BS9" s="1513"/>
      <c r="BT9" s="25"/>
    </row>
    <row r="10" spans="1:72" s="1755" customFormat="1" ht="13.2">
      <c r="A10" s="1748"/>
      <c r="B10" s="1748"/>
      <c r="C10" s="1748"/>
      <c r="D10" s="1748"/>
      <c r="E10" s="1748"/>
      <c r="F10" s="1748"/>
      <c r="G10" s="1201"/>
      <c r="H10" s="27"/>
      <c r="I10" s="1757" t="s">
        <v>1280</v>
      </c>
      <c r="J10" s="917"/>
      <c r="K10" s="1763"/>
      <c r="L10" s="917"/>
      <c r="M10" s="1763"/>
      <c r="N10" s="917"/>
      <c r="O10" s="1763"/>
      <c r="P10" s="917"/>
      <c r="Q10" s="1763"/>
      <c r="R10" s="917"/>
      <c r="S10" s="1763"/>
      <c r="T10" s="917"/>
      <c r="U10" s="1763"/>
      <c r="V10" s="917"/>
      <c r="W10" s="1763"/>
      <c r="X10" s="917"/>
      <c r="Y10" s="1763"/>
      <c r="Z10" s="917"/>
      <c r="AA10" s="1763"/>
      <c r="AB10" s="917"/>
      <c r="AC10" s="1201"/>
      <c r="AD10" s="14" t="s">
        <v>1720</v>
      </c>
      <c r="AE10" s="1764"/>
      <c r="AF10" s="14" t="s">
        <v>1720</v>
      </c>
      <c r="AG10" s="1764"/>
      <c r="AH10" s="14" t="s">
        <v>1721</v>
      </c>
      <c r="AI10" s="1764"/>
      <c r="AJ10" s="14" t="s">
        <v>1721</v>
      </c>
      <c r="AK10" s="1764"/>
      <c r="AL10" s="14" t="s">
        <v>1722</v>
      </c>
      <c r="AM10" s="1207"/>
      <c r="AN10" s="14" t="s">
        <v>1722</v>
      </c>
      <c r="AO10" s="1207"/>
      <c r="AP10" s="14" t="s">
        <v>1723</v>
      </c>
      <c r="AQ10" s="1207"/>
      <c r="AR10" s="14" t="s">
        <v>1723</v>
      </c>
      <c r="AS10" s="1207"/>
      <c r="AT10" s="1748"/>
      <c r="AU10" s="1748"/>
      <c r="AV10" s="1201"/>
      <c r="AW10" s="1731"/>
      <c r="AX10" s="1201"/>
      <c r="AY10" s="27"/>
      <c r="AZ10" s="27"/>
      <c r="BA10" s="1765" t="s">
        <v>1714</v>
      </c>
      <c r="BB10" s="1766" t="str">
        <f>I9</f>
        <v>地上</v>
      </c>
      <c r="BC10" s="28">
        <f>K9</f>
        <v>0</v>
      </c>
      <c r="BD10" s="28">
        <f>M9</f>
        <v>0</v>
      </c>
      <c r="BE10" s="28">
        <f>O9</f>
        <v>0</v>
      </c>
      <c r="BF10" s="28">
        <f>Q9</f>
        <v>0</v>
      </c>
      <c r="BG10" s="28">
        <f>S9</f>
        <v>0</v>
      </c>
      <c r="BH10" s="28">
        <f>U9</f>
        <v>0</v>
      </c>
      <c r="BI10" s="28">
        <f>W9</f>
        <v>0</v>
      </c>
      <c r="BJ10" s="28">
        <f>Y9</f>
        <v>0</v>
      </c>
      <c r="BK10" s="28">
        <f>AA9</f>
        <v>0</v>
      </c>
      <c r="BL10" s="24" t="s">
        <v>1714</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3.2">
      <c r="A11" s="1748"/>
      <c r="B11" s="1748"/>
      <c r="C11" s="1748"/>
      <c r="D11" s="1748"/>
      <c r="E11" s="1748"/>
      <c r="F11" s="1748"/>
      <c r="G11" s="1201"/>
      <c r="H11" s="1765"/>
      <c r="I11" s="1768" t="s">
        <v>3179</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1724</v>
      </c>
      <c r="AE11" s="1514"/>
      <c r="AF11" s="1770" t="s">
        <v>1724</v>
      </c>
      <c r="AG11" s="1514"/>
      <c r="AH11" s="1770" t="s">
        <v>1725</v>
      </c>
      <c r="AI11" s="1771"/>
      <c r="AJ11" s="1770" t="s">
        <v>1725</v>
      </c>
      <c r="AK11" s="1514"/>
      <c r="AL11" s="1512"/>
      <c r="AM11" s="1514"/>
      <c r="AN11" s="1512"/>
      <c r="AO11" s="1514"/>
      <c r="AP11" s="1512"/>
      <c r="AQ11" s="1514"/>
      <c r="AR11" s="1512"/>
      <c r="AS11" s="1514"/>
      <c r="AT11" s="1731"/>
      <c r="AU11" s="1748"/>
      <c r="AV11" s="1201"/>
      <c r="AW11" s="1731"/>
      <c r="AX11" s="1201"/>
      <c r="AY11" s="27"/>
      <c r="AZ11" s="27"/>
      <c r="BA11" s="27"/>
      <c r="BB11" s="1753" t="str">
        <f>I10</f>
        <v>商业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3.2">
      <c r="A12" s="1773"/>
      <c r="B12" s="1773"/>
      <c r="C12" s="1773"/>
      <c r="D12" s="1773"/>
      <c r="E12" s="1773"/>
      <c r="F12" s="1773"/>
      <c r="G12" s="29"/>
      <c r="H12" s="1774"/>
      <c r="I12" s="1502"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499" t="s">
        <v>1727</v>
      </c>
      <c r="W12" s="11" t="s">
        <v>1726</v>
      </c>
      <c r="X12" s="11" t="s">
        <v>1727</v>
      </c>
      <c r="Y12" s="11" t="s">
        <v>1726</v>
      </c>
      <c r="Z12" s="11" t="s">
        <v>1727</v>
      </c>
      <c r="AA12" s="11" t="s">
        <v>1726</v>
      </c>
      <c r="AB12" s="11" t="s">
        <v>1727</v>
      </c>
      <c r="AC12" s="1775"/>
      <c r="AD12" s="1502"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29" t="s">
        <v>1726</v>
      </c>
      <c r="AS12" s="1773" t="s">
        <v>1727</v>
      </c>
      <c r="AT12" s="1776"/>
      <c r="AU12" s="1773"/>
      <c r="AV12" s="30"/>
      <c r="AW12" s="1732"/>
      <c r="AX12" s="30"/>
      <c r="AY12" s="1777"/>
      <c r="AZ12" s="27"/>
      <c r="BA12" s="1765"/>
      <c r="BB12" s="23" t="str">
        <f>I11</f>
        <v>独栋</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3.2">
      <c r="A13" s="1181"/>
      <c r="B13" s="1181"/>
      <c r="C13" s="1181"/>
      <c r="D13" s="1779" t="s">
        <v>3180</v>
      </c>
      <c r="E13" s="15">
        <f>IF($C$3="是",ROUND($A$3*G13/$B$3,2),ROUND($A$3*(G13-AT13)/$B$3,2))</f>
        <v>6303.9</v>
      </c>
      <c r="F13" s="31"/>
      <c r="G13" s="32">
        <f>H13+AC13+AT13</f>
        <v>17650.910000000003</v>
      </c>
      <c r="H13" s="19">
        <f>SUMIF(I$12:AB$12,"总值",I13:AB13)</f>
        <v>17650.910000000003</v>
      </c>
      <c r="I13" s="1780">
        <f>信息!G8</f>
        <v>17650.910000000003</v>
      </c>
      <c r="J13" s="1780"/>
      <c r="K13" s="1780"/>
      <c r="L13" s="1780"/>
      <c r="M13" s="1780"/>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6303.9</v>
      </c>
      <c r="AZ13" s="15">
        <f>BA13+BL13</f>
        <v>17650.910000000003</v>
      </c>
      <c r="BA13" s="15">
        <f>SUM(BB13:BK13)</f>
        <v>17650.910000000003</v>
      </c>
      <c r="BB13" s="15">
        <f>IF($D13="是",I13-J13,0)</f>
        <v>17650.910000000003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3.2">
      <c r="A14" s="1181"/>
      <c r="B14" s="1181"/>
      <c r="C14" s="1724"/>
      <c r="D14" s="1779"/>
      <c r="E14" s="15">
        <f>IF($C$3="是",ROUND($A$3*G14/$B$3,2),ROUND($A$3*(G14-AT14)/$B$3,2))</f>
        <v>0</v>
      </c>
      <c r="F14" s="31"/>
      <c r="G14" s="32">
        <f>H14+AC14+AT14</f>
        <v>0</v>
      </c>
      <c r="H14" s="19">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3.2">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3.2">
      <c r="A16" s="1181"/>
      <c r="B16" s="1181"/>
      <c r="C16" s="1724"/>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3.2">
      <c r="A17" s="1181"/>
      <c r="B17" s="1181"/>
      <c r="C17" s="1724"/>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55"/>
  <sheetViews>
    <sheetView workbookViewId="0">
      <selection activeCell="E28" sqref="E28"/>
    </sheetView>
  </sheetViews>
  <sheetFormatPr defaultColWidth="9" defaultRowHeight="12"/>
  <cols>
    <col min="1" max="1" width="7.77734375" style="3204" customWidth="1"/>
    <col min="2" max="2" width="8.77734375" style="3204" customWidth="1"/>
    <col min="3" max="3" width="8" style="3204" bestFit="1" customWidth="1"/>
    <col min="4" max="4" width="14.6640625" style="3204" customWidth="1"/>
    <col min="5" max="5" width="29.33203125" style="3204" customWidth="1"/>
    <col min="6" max="6" width="33.6640625" style="3204" bestFit="1" customWidth="1"/>
    <col min="7" max="7" width="9" style="3204"/>
    <col min="8" max="8" width="11.6640625" style="3204" bestFit="1" customWidth="1"/>
    <col min="9" max="12" width="9" style="3204"/>
    <col min="13" max="13" width="3.44140625" style="3204" customWidth="1"/>
    <col min="14" max="15" width="9" style="3204"/>
    <col min="16" max="16" width="9.44140625" style="3204" bestFit="1" customWidth="1"/>
    <col min="17" max="17" width="9" style="3204"/>
    <col min="18" max="18" width="1.88671875" style="3204" customWidth="1"/>
    <col min="19" max="22" width="9" style="3204"/>
    <col min="23" max="23" width="3.6640625" style="3204" customWidth="1"/>
    <col min="24" max="16384" width="9" style="3204"/>
  </cols>
  <sheetData>
    <row r="1" spans="1:24">
      <c r="O1" s="3363" t="s">
        <v>3254</v>
      </c>
      <c r="P1" s="3363"/>
      <c r="Q1" s="3363"/>
      <c r="S1" s="3364" t="s">
        <v>3255</v>
      </c>
      <c r="T1" s="3364"/>
      <c r="U1" s="3364"/>
      <c r="V1" s="3364"/>
    </row>
    <row r="2" spans="1:24" ht="24">
      <c r="A2" s="3207" t="s">
        <v>3135</v>
      </c>
      <c r="B2" s="3207" t="s">
        <v>3136</v>
      </c>
      <c r="C2" s="3208" t="s">
        <v>3137</v>
      </c>
      <c r="D2" s="3207" t="s">
        <v>3138</v>
      </c>
      <c r="E2" s="3206" t="s">
        <v>3143</v>
      </c>
      <c r="F2" s="3206" t="s">
        <v>3145</v>
      </c>
      <c r="G2" s="3206" t="s">
        <v>3144</v>
      </c>
      <c r="H2" s="3206" t="s">
        <v>3146</v>
      </c>
      <c r="I2" s="3206" t="s">
        <v>3147</v>
      </c>
      <c r="J2" s="3206" t="s">
        <v>3148</v>
      </c>
      <c r="K2" s="3206" t="s">
        <v>3149</v>
      </c>
      <c r="L2" s="3204" t="s">
        <v>3244</v>
      </c>
      <c r="N2" s="3204" t="s">
        <v>3224</v>
      </c>
      <c r="O2" s="3204" t="s">
        <v>3225</v>
      </c>
      <c r="P2" s="3204" t="s">
        <v>3226</v>
      </c>
      <c r="Q2" s="3204" t="s">
        <v>3223</v>
      </c>
      <c r="S2" s="3204" t="s">
        <v>3250</v>
      </c>
      <c r="T2" s="3204" t="s">
        <v>3251</v>
      </c>
      <c r="U2" s="3204" t="s">
        <v>3252</v>
      </c>
      <c r="V2" s="3204" t="s">
        <v>3253</v>
      </c>
    </row>
    <row r="3" spans="1:24">
      <c r="A3" s="3255" t="s">
        <v>3152</v>
      </c>
      <c r="B3" s="3207" t="s">
        <v>1280</v>
      </c>
      <c r="C3" s="3208" t="s">
        <v>3153</v>
      </c>
      <c r="D3" s="3207">
        <v>3547.83</v>
      </c>
      <c r="E3" s="3256" t="s">
        <v>3159</v>
      </c>
      <c r="F3" s="3256" t="s">
        <v>3160</v>
      </c>
      <c r="G3" s="3204">
        <v>5251.64</v>
      </c>
      <c r="H3" s="3205">
        <v>56963</v>
      </c>
      <c r="I3" s="3204">
        <v>3135.3</v>
      </c>
      <c r="J3" s="3204">
        <v>2116.34</v>
      </c>
      <c r="K3" s="3204">
        <f>I3+J3</f>
        <v>5251.64</v>
      </c>
      <c r="L3" s="3258">
        <f t="shared" ref="L3:L8" si="0">I3/K3</f>
        <v>0.59701350435292599</v>
      </c>
      <c r="N3" s="3204">
        <f>G3-D3</f>
        <v>1703.8100000000004</v>
      </c>
      <c r="O3" s="3254">
        <f>H16</f>
        <v>2.84</v>
      </c>
      <c r="P3" s="3254">
        <f>O3*G3/D3</f>
        <v>4.203881696699109</v>
      </c>
      <c r="Q3" s="3243">
        <f>O3*G3/I3</f>
        <v>4.7570113226804454</v>
      </c>
      <c r="S3" s="3204">
        <f ca="1">系统读取表!E14</f>
        <v>23577</v>
      </c>
      <c r="T3" s="3204">
        <f ca="1">S3*G3/I3</f>
        <v>39491.568998181989</v>
      </c>
      <c r="U3" s="3272">
        <v>0.85</v>
      </c>
      <c r="V3" s="3274">
        <f ca="1">T3*U3</f>
        <v>33567.833648454689</v>
      </c>
      <c r="X3" s="3275" t="s">
        <v>3256</v>
      </c>
    </row>
    <row r="4" spans="1:24">
      <c r="A4" s="3255" t="s">
        <v>3154</v>
      </c>
      <c r="B4" s="3207" t="s">
        <v>1280</v>
      </c>
      <c r="C4" s="3208" t="s">
        <v>3153</v>
      </c>
      <c r="D4" s="3207">
        <v>3549.39</v>
      </c>
      <c r="E4" s="3256" t="s">
        <v>3175</v>
      </c>
      <c r="F4" s="3256"/>
      <c r="G4" s="3204">
        <v>5000.67</v>
      </c>
      <c r="H4" s="3205">
        <v>56963</v>
      </c>
      <c r="I4" s="3204">
        <v>3126.74</v>
      </c>
      <c r="J4" s="3204">
        <v>1873.93</v>
      </c>
      <c r="K4" s="3204">
        <f>I4+J4</f>
        <v>5000.67</v>
      </c>
      <c r="L4" s="3258">
        <f t="shared" si="0"/>
        <v>0.62526421459524417</v>
      </c>
      <c r="N4" s="3204">
        <f t="shared" ref="N4:N6" si="1">G4-D4</f>
        <v>1451.2800000000002</v>
      </c>
      <c r="O4" s="3254">
        <f>O3</f>
        <v>2.84</v>
      </c>
      <c r="P4" s="3254">
        <f>O4*G4/D4</f>
        <v>4.0012235341847475</v>
      </c>
      <c r="Q4" s="3243">
        <f t="shared" ref="Q4:Q7" si="2">O4*G4/I4</f>
        <v>4.5420798659306501</v>
      </c>
      <c r="S4" s="3204">
        <f ca="1">S3</f>
        <v>23577</v>
      </c>
      <c r="T4" s="3218">
        <f t="shared" ref="T4:T7" ca="1" si="3">S4*G4/I4</f>
        <v>37707.259506706672</v>
      </c>
      <c r="U4" s="3272">
        <v>0.85</v>
      </c>
      <c r="V4" s="3274">
        <f t="shared" ref="V4:V6" ca="1" si="4">T4*U4</f>
        <v>32051.170580700669</v>
      </c>
      <c r="X4" s="3275" t="s">
        <v>3256</v>
      </c>
    </row>
    <row r="5" spans="1:24">
      <c r="A5" s="3207" t="s">
        <v>3155</v>
      </c>
      <c r="B5" s="3207" t="s">
        <v>1280</v>
      </c>
      <c r="C5" s="3208" t="s">
        <v>3156</v>
      </c>
      <c r="D5" s="3207">
        <v>522.01</v>
      </c>
      <c r="E5" s="3256" t="s">
        <v>3150</v>
      </c>
      <c r="F5" s="3256" t="s">
        <v>3151</v>
      </c>
      <c r="G5" s="3204">
        <v>522.01</v>
      </c>
      <c r="H5" s="3205">
        <v>56963</v>
      </c>
      <c r="I5" s="3204">
        <v>511.35</v>
      </c>
      <c r="J5" s="3204">
        <v>10.66</v>
      </c>
      <c r="K5" s="3204">
        <f>I5+J5</f>
        <v>522.01</v>
      </c>
      <c r="L5" s="3277">
        <f t="shared" si="0"/>
        <v>0.97957893526943929</v>
      </c>
      <c r="N5" s="3204">
        <f>G5-D5</f>
        <v>0</v>
      </c>
      <c r="O5" s="3243">
        <f>H18</f>
        <v>5</v>
      </c>
      <c r="P5" s="3243">
        <f>O5*G5/D5</f>
        <v>5</v>
      </c>
      <c r="Q5" s="3243">
        <f t="shared" si="2"/>
        <v>5.1042338906815292</v>
      </c>
      <c r="S5" s="3276">
        <f ca="1">系统读取表!E16</f>
        <v>35325</v>
      </c>
      <c r="T5" s="3218">
        <f t="shared" ca="1" si="3"/>
        <v>36061.412437665</v>
      </c>
      <c r="U5" s="3272"/>
      <c r="V5" s="3273"/>
      <c r="X5" s="3204" t="s">
        <v>3257</v>
      </c>
    </row>
    <row r="6" spans="1:24">
      <c r="A6" s="3255" t="s">
        <v>3157</v>
      </c>
      <c r="B6" s="3207" t="s">
        <v>1280</v>
      </c>
      <c r="C6" s="3208" t="s">
        <v>3153</v>
      </c>
      <c r="D6" s="3207">
        <v>3052.69</v>
      </c>
      <c r="E6" s="3256" t="s">
        <v>3167</v>
      </c>
      <c r="F6" s="3256" t="s">
        <v>3168</v>
      </c>
      <c r="G6" s="3204">
        <v>4333.7700000000004</v>
      </c>
      <c r="H6" s="3205">
        <v>56963</v>
      </c>
      <c r="I6" s="3204">
        <v>2681.39</v>
      </c>
      <c r="J6" s="3204">
        <v>1652.38</v>
      </c>
      <c r="K6" s="3204">
        <f>I6+J6</f>
        <v>4333.7700000000004</v>
      </c>
      <c r="L6" s="3258">
        <f t="shared" si="0"/>
        <v>0.61871995975790117</v>
      </c>
      <c r="N6" s="3204">
        <f t="shared" si="1"/>
        <v>1281.0800000000004</v>
      </c>
      <c r="O6" s="3254">
        <f>O3</f>
        <v>2.84</v>
      </c>
      <c r="P6" s="3254">
        <f>O6*G6/D6</f>
        <v>4.0318233426912</v>
      </c>
      <c r="Q6" s="3243">
        <f t="shared" si="2"/>
        <v>4.5901218397920482</v>
      </c>
      <c r="S6" s="3204">
        <f ca="1">S3</f>
        <v>23577</v>
      </c>
      <c r="T6" s="3218">
        <f t="shared" ca="1" si="3"/>
        <v>38106.092470696174</v>
      </c>
      <c r="U6" s="3272">
        <v>0.85</v>
      </c>
      <c r="V6" s="3274">
        <f t="shared" ca="1" si="4"/>
        <v>32390.178600091745</v>
      </c>
      <c r="X6" s="3275" t="s">
        <v>3256</v>
      </c>
    </row>
    <row r="7" spans="1:24">
      <c r="A7" s="3207" t="s">
        <v>3158</v>
      </c>
      <c r="B7" s="3207" t="s">
        <v>1280</v>
      </c>
      <c r="C7" s="3208" t="s">
        <v>3153</v>
      </c>
      <c r="D7" s="3207">
        <v>2546.33</v>
      </c>
      <c r="E7" s="3256" t="s">
        <v>3171</v>
      </c>
      <c r="F7" s="3256" t="s">
        <v>3172</v>
      </c>
      <c r="G7" s="3204">
        <v>2542.8200000000002</v>
      </c>
      <c r="H7" s="3205">
        <v>56963</v>
      </c>
      <c r="I7" s="3204">
        <v>2178.19</v>
      </c>
      <c r="J7" s="3204">
        <v>364.63</v>
      </c>
      <c r="K7" s="3204">
        <f>I7+J7</f>
        <v>2542.8200000000002</v>
      </c>
      <c r="L7" s="3277">
        <f t="shared" si="0"/>
        <v>0.85660408522821119</v>
      </c>
      <c r="N7" s="3204">
        <f>G7-D7</f>
        <v>-3.5099999999997635</v>
      </c>
      <c r="O7" s="3243">
        <f>H23</f>
        <v>5.99</v>
      </c>
      <c r="P7" s="3243">
        <f>O7*G7/D7</f>
        <v>5.9817430576555282</v>
      </c>
      <c r="Q7" s="3243">
        <f t="shared" si="2"/>
        <v>6.9927287334897326</v>
      </c>
      <c r="S7" s="3276">
        <f ca="1">系统读取表!E15</f>
        <v>35590</v>
      </c>
      <c r="T7" s="3218">
        <f t="shared" ca="1" si="3"/>
        <v>41547.782241218629</v>
      </c>
      <c r="U7" s="3272"/>
      <c r="V7" s="3273"/>
      <c r="X7" s="3204" t="s">
        <v>3258</v>
      </c>
    </row>
    <row r="8" spans="1:24">
      <c r="A8" s="3365" t="s">
        <v>37</v>
      </c>
      <c r="B8" s="3365"/>
      <c r="C8" s="3365"/>
      <c r="D8" s="3207">
        <v>13218.25</v>
      </c>
      <c r="E8" s="3256">
        <f>13+9</f>
        <v>22</v>
      </c>
      <c r="F8" s="3256"/>
      <c r="G8" s="3204">
        <f>SUM(G3:G7)</f>
        <v>17650.910000000003</v>
      </c>
      <c r="I8" s="3204">
        <f>SUM(I3:I7)</f>
        <v>11632.970000000001</v>
      </c>
      <c r="J8" s="3204">
        <f>SUM(J3:J7)</f>
        <v>6017.9400000000005</v>
      </c>
      <c r="K8" s="3204">
        <f>SUM(K3:K7)</f>
        <v>17650.910000000003</v>
      </c>
      <c r="L8" s="3257">
        <f t="shared" si="0"/>
        <v>0.6590578049516993</v>
      </c>
      <c r="N8" s="3204">
        <f>SUM(N3:N7)</f>
        <v>4432.6600000000017</v>
      </c>
    </row>
    <row r="9" spans="1:24">
      <c r="B9" s="3204" t="s">
        <v>3246</v>
      </c>
      <c r="D9" s="3204">
        <f>D8/'数据-汇总表'!D3</f>
        <v>2.0968368787575948</v>
      </c>
    </row>
    <row r="10" spans="1:24">
      <c r="K10" s="3204" t="s">
        <v>3259</v>
      </c>
      <c r="L10" s="3258">
        <f>(I3+I4+I6)/(G3+G4+G6)</f>
        <v>0.6131482893279071</v>
      </c>
    </row>
    <row r="11" spans="1:24" ht="12.6" thickBot="1">
      <c r="I11" s="3204" t="s">
        <v>3248</v>
      </c>
      <c r="K11" s="3256" t="s">
        <v>3239</v>
      </c>
      <c r="Q11" s="3204" t="s">
        <v>3260</v>
      </c>
    </row>
    <row r="12" spans="1:24">
      <c r="A12" s="3245" t="s">
        <v>3163</v>
      </c>
      <c r="B12" s="3246" t="s">
        <v>3162</v>
      </c>
      <c r="C12" s="3246" t="s">
        <v>3144</v>
      </c>
      <c r="D12" s="3247"/>
      <c r="F12" s="3245"/>
      <c r="G12" s="3246" t="s">
        <v>3144</v>
      </c>
      <c r="H12" s="3246" t="s">
        <v>1257</v>
      </c>
      <c r="I12" s="3246"/>
      <c r="J12" s="3246"/>
      <c r="K12" s="3246" t="s">
        <v>3238</v>
      </c>
      <c r="L12" s="3247" t="s">
        <v>3240</v>
      </c>
    </row>
    <row r="13" spans="1:24">
      <c r="A13" s="3248" t="s">
        <v>3169</v>
      </c>
      <c r="B13" s="3249" t="s">
        <v>3165</v>
      </c>
      <c r="C13" s="3249"/>
      <c r="D13" s="3250"/>
      <c r="E13" s="3259" t="s">
        <v>3221</v>
      </c>
      <c r="F13" s="3260" t="s">
        <v>3161</v>
      </c>
      <c r="G13" s="3249">
        <f>C14+C15+C26+C27+C47+C48</f>
        <v>6600.48</v>
      </c>
      <c r="H13" s="3249">
        <v>3</v>
      </c>
      <c r="I13" s="3249">
        <v>1</v>
      </c>
      <c r="J13" s="3249">
        <f>H13</f>
        <v>3</v>
      </c>
      <c r="K13" s="3249">
        <f>基准地价修正!T2</f>
        <v>25946</v>
      </c>
      <c r="L13" s="3250">
        <f>ROUND(K13*G13/10000,0)</f>
        <v>17126</v>
      </c>
      <c r="P13" s="3243">
        <f>G13*$L$10</f>
        <v>4047.0730207430638</v>
      </c>
      <c r="Q13" s="3243">
        <f>H13/$L$10</f>
        <v>4.8927805103858368</v>
      </c>
    </row>
    <row r="14" spans="1:24">
      <c r="A14" s="3248"/>
      <c r="B14" s="3249">
        <v>101</v>
      </c>
      <c r="C14" s="3249">
        <v>1112.04</v>
      </c>
      <c r="D14" s="3250">
        <v>5.5</v>
      </c>
      <c r="E14" s="3259"/>
      <c r="F14" s="3260" t="s">
        <v>3176</v>
      </c>
      <c r="G14" s="3249">
        <f>C17+C18+C29+C30+C50+C51</f>
        <v>4545.4500000000007</v>
      </c>
      <c r="H14" s="3249">
        <v>2.7</v>
      </c>
      <c r="I14" s="3249">
        <v>0.9</v>
      </c>
      <c r="J14" s="3249">
        <f>J13*I14</f>
        <v>2.7</v>
      </c>
      <c r="K14" s="3249">
        <f>基准地价修正!T3</f>
        <v>18624</v>
      </c>
      <c r="L14" s="3250">
        <f t="shared" ref="L14:L15" si="5">ROUND(K14*G14/10000,0)</f>
        <v>8465</v>
      </c>
      <c r="P14" s="3243">
        <f t="shared" ref="P14:P15" si="6">G14*$L$10</f>
        <v>2787.034891725536</v>
      </c>
      <c r="Q14" s="3243">
        <f t="shared" ref="Q14:Q15" si="7">H14/$L$10</f>
        <v>4.4035024593472532</v>
      </c>
    </row>
    <row r="15" spans="1:24">
      <c r="A15" s="3248"/>
      <c r="B15" s="3249">
        <v>102</v>
      </c>
      <c r="C15" s="3249">
        <v>1073.96</v>
      </c>
      <c r="D15" s="3250">
        <f>D14</f>
        <v>5.5</v>
      </c>
      <c r="E15" s="3259"/>
      <c r="F15" s="3260" t="s">
        <v>3177</v>
      </c>
      <c r="G15" s="3249">
        <f>C20+C21+C32+C53+C54</f>
        <v>3440.1499999999996</v>
      </c>
      <c r="H15" s="3249">
        <v>2.7</v>
      </c>
      <c r="I15" s="3249">
        <v>0.9</v>
      </c>
      <c r="J15" s="3249">
        <f>J13*I15</f>
        <v>2.7</v>
      </c>
      <c r="K15" s="3249">
        <f>基准地价修正!T4</f>
        <v>15025</v>
      </c>
      <c r="L15" s="3250">
        <f t="shared" si="5"/>
        <v>5169</v>
      </c>
      <c r="P15" s="3243">
        <f t="shared" si="6"/>
        <v>2109.3220875313996</v>
      </c>
      <c r="Q15" s="3243">
        <f t="shared" si="7"/>
        <v>4.4035024593472532</v>
      </c>
    </row>
    <row r="16" spans="1:24" ht="12.6" thickBot="1">
      <c r="A16" s="3248"/>
      <c r="B16" s="3249" t="s">
        <v>3164</v>
      </c>
      <c r="C16" s="3249"/>
      <c r="D16" s="3250"/>
      <c r="E16" s="3259"/>
      <c r="F16" s="3261"/>
      <c r="G16" s="3262">
        <f>SUM(G13:G15)</f>
        <v>14586.08</v>
      </c>
      <c r="H16" s="3262">
        <f>ROUND((H13*G13+H14*G14+H15*G15)/G16,2)</f>
        <v>2.84</v>
      </c>
      <c r="I16" s="3251"/>
      <c r="J16" s="3251"/>
      <c r="K16" s="3251"/>
      <c r="L16" s="3263">
        <f>SUM(L13:L15)</f>
        <v>30760</v>
      </c>
      <c r="P16" s="3243">
        <f>G16*L10</f>
        <v>8943.4299999999985</v>
      </c>
      <c r="Q16" s="3244">
        <f>H16/L10</f>
        <v>4.6318322164985917</v>
      </c>
      <c r="S16" s="3204">
        <f>H16*G16/P16</f>
        <v>4.6318322164985926</v>
      </c>
    </row>
    <row r="17" spans="1:19" ht="12.6" thickBot="1">
      <c r="A17" s="3248"/>
      <c r="B17" s="3249">
        <v>201</v>
      </c>
      <c r="C17" s="3249">
        <v>844.37</v>
      </c>
      <c r="D17" s="3250">
        <v>4.5</v>
      </c>
      <c r="E17" s="3259"/>
      <c r="F17" s="3256"/>
      <c r="P17" s="3243"/>
      <c r="Q17" s="3243"/>
    </row>
    <row r="18" spans="1:19" ht="12.6" thickBot="1">
      <c r="A18" s="3248"/>
      <c r="B18" s="3249">
        <v>202</v>
      </c>
      <c r="C18" s="3249">
        <v>853.91</v>
      </c>
      <c r="D18" s="3250">
        <f>D17</f>
        <v>4.5</v>
      </c>
      <c r="E18" s="3259" t="s">
        <v>3221</v>
      </c>
      <c r="F18" s="3264" t="s">
        <v>3215</v>
      </c>
      <c r="G18" s="3265">
        <f>G5</f>
        <v>522.01</v>
      </c>
      <c r="H18" s="3265">
        <v>5</v>
      </c>
      <c r="I18" s="3266"/>
      <c r="J18" s="3266"/>
      <c r="K18" s="3266">
        <f>K13</f>
        <v>25946</v>
      </c>
      <c r="L18" s="3267">
        <f t="shared" ref="L18" si="8">ROUND(K18*G18/10000,0)</f>
        <v>1354</v>
      </c>
      <c r="P18" s="3243">
        <f>I5</f>
        <v>511.35</v>
      </c>
      <c r="Q18" s="3244">
        <f>H18/L5</f>
        <v>5.1042338906815292</v>
      </c>
    </row>
    <row r="19" spans="1:19" ht="12.6" thickBot="1">
      <c r="A19" s="3248"/>
      <c r="B19" s="3249" t="s">
        <v>3166</v>
      </c>
      <c r="C19" s="3249"/>
      <c r="D19" s="3250"/>
      <c r="E19" s="3259"/>
      <c r="F19" s="3256"/>
      <c r="P19" s="3243"/>
      <c r="Q19" s="3243"/>
    </row>
    <row r="20" spans="1:19">
      <c r="A20" s="3248"/>
      <c r="B20" s="3249">
        <v>301</v>
      </c>
      <c r="C20" s="3249">
        <v>683.68</v>
      </c>
      <c r="D20" s="3250">
        <v>4</v>
      </c>
      <c r="E20" s="3259" t="s">
        <v>3222</v>
      </c>
      <c r="F20" s="3268" t="s">
        <v>3161</v>
      </c>
      <c r="G20" s="3246">
        <f>C37+C38</f>
        <v>1042.76</v>
      </c>
      <c r="H20" s="3246">
        <v>7</v>
      </c>
      <c r="I20" s="3246">
        <v>1</v>
      </c>
      <c r="J20" s="3246">
        <f>H20</f>
        <v>7</v>
      </c>
      <c r="K20" s="3246">
        <f>K13</f>
        <v>25946</v>
      </c>
      <c r="L20" s="3247">
        <f t="shared" ref="L20:L22" si="9">ROUND(K20*G20/10000,0)</f>
        <v>2706</v>
      </c>
      <c r="N20" s="3204">
        <v>45000</v>
      </c>
      <c r="P20" s="3243">
        <f>G20*$L$7</f>
        <v>893.2324759125695</v>
      </c>
      <c r="Q20" s="3243">
        <f>H20/$L$7</f>
        <v>8.1718031943953466</v>
      </c>
    </row>
    <row r="21" spans="1:19">
      <c r="A21" s="3248"/>
      <c r="B21" s="3249">
        <v>302</v>
      </c>
      <c r="C21" s="3249">
        <v>683.68</v>
      </c>
      <c r="D21" s="3250">
        <f>D20</f>
        <v>4</v>
      </c>
      <c r="E21" s="3259"/>
      <c r="F21" s="3260" t="s">
        <v>3176</v>
      </c>
      <c r="G21" s="3249">
        <f>C40</f>
        <v>857.4</v>
      </c>
      <c r="H21" s="3249">
        <v>5.5</v>
      </c>
      <c r="I21" s="3249">
        <v>0.8</v>
      </c>
      <c r="J21" s="3249">
        <f>J20*I21</f>
        <v>5.6000000000000005</v>
      </c>
      <c r="K21" s="3249">
        <f>K14</f>
        <v>18624</v>
      </c>
      <c r="L21" s="3250">
        <f t="shared" si="9"/>
        <v>1597</v>
      </c>
      <c r="N21" s="3204">
        <v>38000</v>
      </c>
      <c r="P21" s="3243">
        <f t="shared" ref="P21:P22" si="10">G21*$L$7</f>
        <v>734.45234267466822</v>
      </c>
      <c r="Q21" s="3243">
        <f t="shared" ref="Q21:Q22" si="11">H21/$L$7</f>
        <v>6.4207025098820578</v>
      </c>
    </row>
    <row r="22" spans="1:19" ht="12.6" thickBot="1">
      <c r="A22" s="3361" t="s">
        <v>3149</v>
      </c>
      <c r="B22" s="3362"/>
      <c r="C22" s="3251">
        <f>SUM(C14:C21)</f>
        <v>5251.64</v>
      </c>
      <c r="D22" s="3252">
        <f>(D14*C14+D15*C15+D17*C17+D18*C18+D20*C20+D21*C21)/C22</f>
        <v>4.7860668286478134</v>
      </c>
      <c r="E22" s="3259"/>
      <c r="F22" s="3260" t="s">
        <v>3177</v>
      </c>
      <c r="G22" s="3249">
        <f>C42</f>
        <v>642.66</v>
      </c>
      <c r="H22" s="3249">
        <v>5</v>
      </c>
      <c r="I22" s="3249">
        <v>0.7</v>
      </c>
      <c r="J22" s="3249">
        <f>J20*I22</f>
        <v>4.8999999999999995</v>
      </c>
      <c r="K22" s="3249">
        <f>K15</f>
        <v>15025</v>
      </c>
      <c r="L22" s="3250">
        <f t="shared" si="9"/>
        <v>966</v>
      </c>
      <c r="N22" s="3204">
        <v>35000</v>
      </c>
      <c r="P22" s="3243">
        <f t="shared" si="10"/>
        <v>550.50518141276223</v>
      </c>
      <c r="Q22" s="3243">
        <f t="shared" si="11"/>
        <v>5.8370022817109621</v>
      </c>
    </row>
    <row r="23" spans="1:19" ht="12.6" thickBot="1">
      <c r="E23" s="3218"/>
      <c r="F23" s="3269"/>
      <c r="G23" s="3262">
        <f>SUM(G20:G22)</f>
        <v>2542.8199999999997</v>
      </c>
      <c r="H23" s="3270">
        <f>ROUND((H20*G20+H21*G21+H22*G22)/G23,2)</f>
        <v>5.99</v>
      </c>
      <c r="I23" s="3251"/>
      <c r="J23" s="3251"/>
      <c r="K23" s="3251"/>
      <c r="L23" s="3263">
        <f t="shared" ref="L23" si="12">SUM(L20:L22)</f>
        <v>5269</v>
      </c>
      <c r="N23" s="3204">
        <f>(N20*G20+N21*G21+N22*G22)/G23</f>
        <v>40112.355573733104</v>
      </c>
      <c r="P23" s="3243">
        <f>G23*L7</f>
        <v>2178.1899999999996</v>
      </c>
      <c r="Q23" s="3244">
        <f>H23/L7</f>
        <v>6.9927287334897326</v>
      </c>
      <c r="S23" s="3204">
        <f>H23*G23/P23</f>
        <v>6.9927287334897326</v>
      </c>
    </row>
    <row r="24" spans="1:19">
      <c r="A24" s="3245" t="s">
        <v>3163</v>
      </c>
      <c r="B24" s="3246" t="s">
        <v>3162</v>
      </c>
      <c r="C24" s="3246" t="s">
        <v>3144</v>
      </c>
      <c r="D24" s="3247"/>
      <c r="E24" s="3218"/>
      <c r="F24" s="3218"/>
      <c r="G24" s="3218"/>
      <c r="H24" s="3218"/>
      <c r="I24" s="3218"/>
      <c r="J24" s="3218"/>
      <c r="P24" s="3243"/>
    </row>
    <row r="25" spans="1:19">
      <c r="A25" s="3248" t="s">
        <v>3170</v>
      </c>
      <c r="B25" s="3249" t="s">
        <v>3165</v>
      </c>
      <c r="C25" s="3249"/>
      <c r="D25" s="3250"/>
      <c r="F25" s="3204" t="s">
        <v>3216</v>
      </c>
      <c r="G25" s="3204">
        <f>G16+G18+G23</f>
        <v>17650.91</v>
      </c>
      <c r="H25" s="3244"/>
    </row>
    <row r="26" spans="1:19">
      <c r="A26" s="3248"/>
      <c r="B26" s="3249">
        <v>101</v>
      </c>
      <c r="C26" s="3249">
        <v>1175.56</v>
      </c>
      <c r="D26" s="3250">
        <f>D14</f>
        <v>5.5</v>
      </c>
    </row>
    <row r="27" spans="1:19">
      <c r="A27" s="3248"/>
      <c r="B27" s="3249">
        <v>102</v>
      </c>
      <c r="C27" s="3249">
        <v>1125.3399999999999</v>
      </c>
      <c r="D27" s="3250">
        <f>D14</f>
        <v>5.5</v>
      </c>
    </row>
    <row r="28" spans="1:19">
      <c r="A28" s="3248"/>
      <c r="B28" s="3249" t="s">
        <v>3164</v>
      </c>
      <c r="C28" s="3249"/>
      <c r="D28" s="3250"/>
    </row>
    <row r="29" spans="1:19">
      <c r="A29" s="3248"/>
      <c r="B29" s="3249">
        <v>201</v>
      </c>
      <c r="C29" s="3249">
        <v>651.37</v>
      </c>
      <c r="D29" s="3250">
        <f>D17</f>
        <v>4.5</v>
      </c>
    </row>
    <row r="30" spans="1:19">
      <c r="A30" s="3248"/>
      <c r="B30" s="3249">
        <v>202</v>
      </c>
      <c r="C30" s="3249">
        <v>654.78</v>
      </c>
      <c r="D30" s="3250">
        <f>D17</f>
        <v>4.5</v>
      </c>
    </row>
    <row r="31" spans="1:19">
      <c r="A31" s="3248"/>
      <c r="B31" s="3249" t="s">
        <v>3166</v>
      </c>
      <c r="C31" s="3249"/>
      <c r="D31" s="3250"/>
    </row>
    <row r="32" spans="1:19">
      <c r="A32" s="3248"/>
      <c r="B32" s="3249">
        <v>301</v>
      </c>
      <c r="C32" s="3249">
        <v>726.72</v>
      </c>
      <c r="D32" s="3250">
        <f>D20</f>
        <v>4</v>
      </c>
    </row>
    <row r="33" spans="1:4" ht="12.6" thickBot="1">
      <c r="A33" s="3361" t="s">
        <v>3149</v>
      </c>
      <c r="B33" s="3362"/>
      <c r="C33" s="3251">
        <f>SUM(C26:C32)</f>
        <v>4333.7699999999995</v>
      </c>
      <c r="D33" s="3252">
        <f>(D26*C26+D27*C27+D29*C29+D30*C30+D32*C32)/C33</f>
        <v>4.9470795635209077</v>
      </c>
    </row>
    <row r="34" spans="1:4" ht="12.6" thickBot="1"/>
    <row r="35" spans="1:4">
      <c r="A35" s="3245" t="s">
        <v>3163</v>
      </c>
      <c r="B35" s="3246" t="s">
        <v>3162</v>
      </c>
      <c r="C35" s="3246" t="s">
        <v>3144</v>
      </c>
      <c r="D35" s="3247"/>
    </row>
    <row r="36" spans="1:4">
      <c r="A36" s="3248" t="s">
        <v>3173</v>
      </c>
      <c r="B36" s="3249" t="s">
        <v>3165</v>
      </c>
      <c r="C36" s="3249"/>
      <c r="D36" s="3250"/>
    </row>
    <row r="37" spans="1:4">
      <c r="A37" s="3248"/>
      <c r="B37" s="3249">
        <v>101</v>
      </c>
      <c r="C37" s="3249">
        <v>518.87</v>
      </c>
      <c r="D37" s="3250">
        <f>D14</f>
        <v>5.5</v>
      </c>
    </row>
    <row r="38" spans="1:4">
      <c r="A38" s="3248"/>
      <c r="B38" s="3249">
        <v>102</v>
      </c>
      <c r="C38" s="3249">
        <v>523.89</v>
      </c>
      <c r="D38" s="3250">
        <f>D14</f>
        <v>5.5</v>
      </c>
    </row>
    <row r="39" spans="1:4">
      <c r="A39" s="3248"/>
      <c r="B39" s="3249" t="s">
        <v>3164</v>
      </c>
      <c r="C39" s="3249"/>
      <c r="D39" s="3250"/>
    </row>
    <row r="40" spans="1:4">
      <c r="A40" s="3248"/>
      <c r="B40" s="3249">
        <v>201</v>
      </c>
      <c r="C40" s="3249">
        <v>857.4</v>
      </c>
      <c r="D40" s="3250">
        <f>D17</f>
        <v>4.5</v>
      </c>
    </row>
    <row r="41" spans="1:4">
      <c r="A41" s="3248"/>
      <c r="B41" s="3249" t="s">
        <v>3166</v>
      </c>
      <c r="C41" s="3249"/>
      <c r="D41" s="3250"/>
    </row>
    <row r="42" spans="1:4">
      <c r="A42" s="3248"/>
      <c r="B42" s="3249">
        <v>301</v>
      </c>
      <c r="C42" s="3249">
        <v>642.66</v>
      </c>
      <c r="D42" s="3250">
        <f>D20</f>
        <v>4</v>
      </c>
    </row>
    <row r="43" spans="1:4" ht="12.6" thickBot="1">
      <c r="A43" s="3361" t="s">
        <v>3149</v>
      </c>
      <c r="B43" s="3362"/>
      <c r="C43" s="3251">
        <f>SUM(C37:C42)</f>
        <v>2542.8199999999997</v>
      </c>
      <c r="D43" s="3252">
        <f>(D37*C37+D38*C38+D40*C40+D42*C42)/C43</f>
        <v>4.783712571082499</v>
      </c>
    </row>
    <row r="44" spans="1:4" ht="12.6" thickBot="1"/>
    <row r="45" spans="1:4">
      <c r="A45" s="3245" t="s">
        <v>3163</v>
      </c>
      <c r="B45" s="3246" t="s">
        <v>3162</v>
      </c>
      <c r="C45" s="3246" t="s">
        <v>3144</v>
      </c>
      <c r="D45" s="3247"/>
    </row>
    <row r="46" spans="1:4">
      <c r="A46" s="3248" t="s">
        <v>3174</v>
      </c>
      <c r="B46" s="3249" t="s">
        <v>3165</v>
      </c>
      <c r="C46" s="3249"/>
      <c r="D46" s="3250"/>
    </row>
    <row r="47" spans="1:4">
      <c r="A47" s="3248"/>
      <c r="B47" s="3249">
        <v>101</v>
      </c>
      <c r="C47" s="3249">
        <v>1112.33</v>
      </c>
      <c r="D47" s="3250">
        <f>D14</f>
        <v>5.5</v>
      </c>
    </row>
    <row r="48" spans="1:4">
      <c r="A48" s="3248"/>
      <c r="B48" s="3249">
        <v>102</v>
      </c>
      <c r="C48" s="3249">
        <v>1001.25</v>
      </c>
      <c r="D48" s="3250">
        <f>D14</f>
        <v>5.5</v>
      </c>
    </row>
    <row r="49" spans="1:4">
      <c r="A49" s="3248"/>
      <c r="B49" s="3249" t="s">
        <v>3164</v>
      </c>
      <c r="C49" s="3249"/>
      <c r="D49" s="3250"/>
    </row>
    <row r="50" spans="1:4">
      <c r="A50" s="3248"/>
      <c r="B50" s="3249">
        <v>201</v>
      </c>
      <c r="C50" s="3249">
        <v>784.21</v>
      </c>
      <c r="D50" s="3250">
        <f>D17</f>
        <v>4.5</v>
      </c>
    </row>
    <row r="51" spans="1:4">
      <c r="A51" s="3248"/>
      <c r="B51" s="3249">
        <v>202</v>
      </c>
      <c r="C51" s="3249">
        <v>756.81</v>
      </c>
      <c r="D51" s="3250">
        <f>D17</f>
        <v>4.5</v>
      </c>
    </row>
    <row r="52" spans="1:4">
      <c r="A52" s="3248"/>
      <c r="B52" s="3249" t="s">
        <v>3166</v>
      </c>
      <c r="C52" s="3249"/>
      <c r="D52" s="3250"/>
    </row>
    <row r="53" spans="1:4">
      <c r="A53" s="3248"/>
      <c r="B53" s="3249">
        <v>301</v>
      </c>
      <c r="C53" s="3249">
        <v>673.03</v>
      </c>
      <c r="D53" s="3250">
        <f>D20</f>
        <v>4</v>
      </c>
    </row>
    <row r="54" spans="1:4">
      <c r="A54" s="3248"/>
      <c r="B54" s="3249">
        <v>302</v>
      </c>
      <c r="C54" s="3249">
        <v>673.04</v>
      </c>
      <c r="D54" s="3250">
        <f>D20</f>
        <v>4</v>
      </c>
    </row>
    <row r="55" spans="1:4" ht="12.6" thickBot="1">
      <c r="A55" s="3361" t="s">
        <v>3149</v>
      </c>
      <c r="B55" s="3362"/>
      <c r="C55" s="3251">
        <f>SUM(C47:C54)</f>
        <v>5000.67</v>
      </c>
      <c r="D55" s="3252">
        <f>(D47*C47+D48*C48+D50*C50+D51*C51+D53*C53+D54*C54)/C55</f>
        <v>4.7880703985665916</v>
      </c>
    </row>
  </sheetData>
  <mergeCells count="7">
    <mergeCell ref="A43:B43"/>
    <mergeCell ref="A55:B55"/>
    <mergeCell ref="O1:Q1"/>
    <mergeCell ref="S1:V1"/>
    <mergeCell ref="A8:C8"/>
    <mergeCell ref="A33:B33"/>
    <mergeCell ref="A22:B22"/>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0"/>
  <sheetViews>
    <sheetView workbookViewId="0">
      <selection activeCell="I11" sqref="I11"/>
    </sheetView>
  </sheetViews>
  <sheetFormatPr defaultRowHeight="14.4"/>
  <sheetData>
    <row r="2" spans="1:8">
      <c r="A2" s="3241" t="s">
        <v>3200</v>
      </c>
      <c r="B2" s="3241" t="s">
        <v>3163</v>
      </c>
      <c r="C2" s="3241" t="s">
        <v>3201</v>
      </c>
      <c r="D2" s="3242" t="s">
        <v>3211</v>
      </c>
      <c r="E2" s="3241" t="s">
        <v>3144</v>
      </c>
    </row>
    <row r="3" spans="1:8">
      <c r="A3" s="3241">
        <v>1</v>
      </c>
      <c r="B3" s="3241" t="s">
        <v>3202</v>
      </c>
      <c r="C3" s="3241">
        <v>101</v>
      </c>
      <c r="D3" s="3241" t="s">
        <v>3212</v>
      </c>
      <c r="E3" s="3241">
        <v>522.01</v>
      </c>
    </row>
    <row r="4" spans="1:8">
      <c r="A4" s="3366" t="s">
        <v>3214</v>
      </c>
      <c r="B4" s="3367"/>
      <c r="C4" s="3367"/>
      <c r="D4" s="3368"/>
      <c r="E4" s="3241">
        <v>522.01</v>
      </c>
    </row>
    <row r="5" spans="1:8">
      <c r="A5" s="3241">
        <v>2</v>
      </c>
      <c r="B5" s="3241" t="s">
        <v>3203</v>
      </c>
      <c r="C5" s="3241">
        <v>101</v>
      </c>
      <c r="D5" s="3241" t="s">
        <v>3212</v>
      </c>
      <c r="E5" s="3241">
        <v>1112.04</v>
      </c>
      <c r="G5" s="3209" t="s">
        <v>3165</v>
      </c>
      <c r="H5" s="3209"/>
    </row>
    <row r="6" spans="1:8">
      <c r="A6" s="3241">
        <v>3</v>
      </c>
      <c r="B6" s="3241" t="s">
        <v>3203</v>
      </c>
      <c r="C6" s="3241">
        <v>102</v>
      </c>
      <c r="D6" s="3241" t="s">
        <v>3212</v>
      </c>
      <c r="E6" s="3241">
        <v>1073.96</v>
      </c>
      <c r="G6" s="3209">
        <v>101</v>
      </c>
      <c r="H6" s="3209">
        <v>1112.04</v>
      </c>
    </row>
    <row r="7" spans="1:8">
      <c r="A7" s="3241">
        <v>4</v>
      </c>
      <c r="B7" s="3241" t="s">
        <v>3203</v>
      </c>
      <c r="C7" s="3241">
        <v>201</v>
      </c>
      <c r="D7" s="3241" t="s">
        <v>3212</v>
      </c>
      <c r="E7" s="3241">
        <v>844.37</v>
      </c>
      <c r="G7" s="3209">
        <v>102</v>
      </c>
      <c r="H7" s="3209">
        <v>1073.96</v>
      </c>
    </row>
    <row r="8" spans="1:8">
      <c r="A8" s="3241">
        <v>5</v>
      </c>
      <c r="B8" s="3241" t="s">
        <v>3203</v>
      </c>
      <c r="C8" s="3241">
        <v>202</v>
      </c>
      <c r="D8" s="3241" t="s">
        <v>3212</v>
      </c>
      <c r="E8" s="3241">
        <v>853.91</v>
      </c>
      <c r="G8" s="3209" t="s">
        <v>3164</v>
      </c>
      <c r="H8" s="3209"/>
    </row>
    <row r="9" spans="1:8">
      <c r="A9" s="3241">
        <v>6</v>
      </c>
      <c r="B9" s="3241" t="s">
        <v>3203</v>
      </c>
      <c r="C9" s="3241">
        <v>301</v>
      </c>
      <c r="D9" s="3241" t="s">
        <v>3212</v>
      </c>
      <c r="E9" s="3241">
        <v>683.68</v>
      </c>
      <c r="G9" s="3209">
        <v>201</v>
      </c>
      <c r="H9" s="3209">
        <v>844.37</v>
      </c>
    </row>
    <row r="10" spans="1:8">
      <c r="A10" s="3241">
        <v>7</v>
      </c>
      <c r="B10" s="3241" t="s">
        <v>3203</v>
      </c>
      <c r="C10" s="3241">
        <v>302</v>
      </c>
      <c r="D10" s="3241" t="s">
        <v>3212</v>
      </c>
      <c r="E10" s="3241">
        <v>683.68</v>
      </c>
      <c r="G10" s="3209">
        <v>202</v>
      </c>
      <c r="H10" s="3209">
        <v>853.91</v>
      </c>
    </row>
    <row r="11" spans="1:8">
      <c r="A11" s="3366" t="s">
        <v>3208</v>
      </c>
      <c r="B11" s="3367"/>
      <c r="C11" s="3367"/>
      <c r="D11" s="3368"/>
      <c r="E11" s="3241">
        <f>SUM(E5:E10)</f>
        <v>5251.64</v>
      </c>
      <c r="G11" s="3209" t="s">
        <v>3166</v>
      </c>
      <c r="H11" s="3209"/>
    </row>
    <row r="12" spans="1:8">
      <c r="A12" s="3241">
        <v>8</v>
      </c>
      <c r="B12" s="3242" t="s">
        <v>3205</v>
      </c>
      <c r="C12" s="3241">
        <v>101</v>
      </c>
      <c r="D12" s="3241" t="s">
        <v>3212</v>
      </c>
      <c r="E12" s="3241">
        <v>1112.33</v>
      </c>
      <c r="G12" s="3209">
        <v>301</v>
      </c>
      <c r="H12" s="3209">
        <v>683.68</v>
      </c>
    </row>
    <row r="13" spans="1:8">
      <c r="A13" s="3241">
        <v>9</v>
      </c>
      <c r="B13" s="3242" t="s">
        <v>3205</v>
      </c>
      <c r="C13" s="3241">
        <v>102</v>
      </c>
      <c r="D13" s="3241" t="s">
        <v>3212</v>
      </c>
      <c r="E13" s="3241">
        <v>1001.25</v>
      </c>
      <c r="G13" s="3209">
        <v>302</v>
      </c>
      <c r="H13" s="3209">
        <v>683.68</v>
      </c>
    </row>
    <row r="14" spans="1:8">
      <c r="A14" s="3241">
        <v>10</v>
      </c>
      <c r="B14" s="3242" t="s">
        <v>3205</v>
      </c>
      <c r="C14" s="3241">
        <v>201</v>
      </c>
      <c r="D14" s="3241" t="s">
        <v>3212</v>
      </c>
      <c r="E14" s="3241">
        <v>784.21</v>
      </c>
    </row>
    <row r="15" spans="1:8">
      <c r="A15" s="3241">
        <v>11</v>
      </c>
      <c r="B15" s="3242" t="s">
        <v>3205</v>
      </c>
      <c r="C15" s="3241">
        <v>202</v>
      </c>
      <c r="D15" s="3241" t="s">
        <v>3212</v>
      </c>
      <c r="E15" s="3241">
        <v>756.81</v>
      </c>
    </row>
    <row r="16" spans="1:8">
      <c r="A16" s="3241">
        <v>12</v>
      </c>
      <c r="B16" s="3242" t="s">
        <v>3205</v>
      </c>
      <c r="C16" s="3241">
        <v>301</v>
      </c>
      <c r="D16" s="3241" t="s">
        <v>3212</v>
      </c>
      <c r="E16" s="3241">
        <v>673.03</v>
      </c>
    </row>
    <row r="17" spans="1:6">
      <c r="A17" s="3241">
        <v>13</v>
      </c>
      <c r="B17" s="3242" t="s">
        <v>3205</v>
      </c>
      <c r="C17" s="3241">
        <v>302</v>
      </c>
      <c r="D17" s="3241" t="s">
        <v>3212</v>
      </c>
      <c r="E17" s="3241">
        <v>673.04</v>
      </c>
    </row>
    <row r="18" spans="1:6">
      <c r="A18" s="3366" t="s">
        <v>3204</v>
      </c>
      <c r="B18" s="3367"/>
      <c r="C18" s="3367"/>
      <c r="D18" s="3368"/>
      <c r="E18" s="3241">
        <f>SUM(E12:E17)</f>
        <v>5000.67</v>
      </c>
    </row>
    <row r="19" spans="1:6">
      <c r="A19" s="3241">
        <v>14</v>
      </c>
      <c r="B19" s="3241" t="s">
        <v>3206</v>
      </c>
      <c r="C19" s="3241">
        <v>101</v>
      </c>
      <c r="D19" s="3241" t="s">
        <v>3212</v>
      </c>
      <c r="E19" s="3241">
        <v>1175.56</v>
      </c>
    </row>
    <row r="20" spans="1:6">
      <c r="A20" s="3241">
        <v>15</v>
      </c>
      <c r="B20" s="3241" t="s">
        <v>3206</v>
      </c>
      <c r="C20" s="3241">
        <v>102</v>
      </c>
      <c r="D20" s="3241" t="s">
        <v>3212</v>
      </c>
      <c r="E20" s="3241">
        <v>1125.3399999999999</v>
      </c>
    </row>
    <row r="21" spans="1:6">
      <c r="A21" s="3241">
        <v>16</v>
      </c>
      <c r="B21" s="3241" t="s">
        <v>3206</v>
      </c>
      <c r="C21" s="3241">
        <v>201</v>
      </c>
      <c r="D21" s="3241" t="s">
        <v>3212</v>
      </c>
      <c r="E21" s="3241">
        <v>651.37</v>
      </c>
    </row>
    <row r="22" spans="1:6">
      <c r="A22" s="3241">
        <v>17</v>
      </c>
      <c r="B22" s="3241" t="s">
        <v>3206</v>
      </c>
      <c r="C22" s="3241">
        <v>202</v>
      </c>
      <c r="D22" s="3241" t="s">
        <v>3212</v>
      </c>
      <c r="E22" s="3241">
        <v>654.78</v>
      </c>
    </row>
    <row r="23" spans="1:6">
      <c r="A23" s="3241">
        <v>18</v>
      </c>
      <c r="B23" s="3241" t="s">
        <v>3206</v>
      </c>
      <c r="C23" s="3241">
        <v>301</v>
      </c>
      <c r="D23" s="3241" t="s">
        <v>3212</v>
      </c>
      <c r="E23" s="3241">
        <v>726.72</v>
      </c>
    </row>
    <row r="24" spans="1:6">
      <c r="A24" s="3366" t="s">
        <v>3209</v>
      </c>
      <c r="B24" s="3367"/>
      <c r="C24" s="3367"/>
      <c r="D24" s="3368"/>
      <c r="E24" s="3241">
        <f>SUM(E19:E23)</f>
        <v>4333.7699999999995</v>
      </c>
    </row>
    <row r="25" spans="1:6">
      <c r="A25" s="3241"/>
      <c r="B25" s="3242" t="s">
        <v>3207</v>
      </c>
      <c r="C25" s="3242">
        <v>101</v>
      </c>
      <c r="D25" s="3241" t="s">
        <v>3212</v>
      </c>
      <c r="E25" s="3241">
        <v>518.87</v>
      </c>
    </row>
    <row r="26" spans="1:6">
      <c r="A26" s="3241"/>
      <c r="B26" s="3242" t="s">
        <v>3207</v>
      </c>
      <c r="C26" s="3242">
        <v>102</v>
      </c>
      <c r="D26" s="3241" t="s">
        <v>3212</v>
      </c>
      <c r="E26" s="3241">
        <v>523.89</v>
      </c>
    </row>
    <row r="27" spans="1:6">
      <c r="A27" s="3241"/>
      <c r="B27" s="3242" t="s">
        <v>3207</v>
      </c>
      <c r="C27" s="3242">
        <v>201</v>
      </c>
      <c r="D27" s="3241" t="s">
        <v>3212</v>
      </c>
      <c r="E27" s="3241">
        <v>857.4</v>
      </c>
    </row>
    <row r="28" spans="1:6">
      <c r="A28" s="3241"/>
      <c r="B28" s="3242" t="s">
        <v>3207</v>
      </c>
      <c r="C28" s="3242">
        <v>301</v>
      </c>
      <c r="D28" s="3241" t="s">
        <v>3212</v>
      </c>
      <c r="E28" s="3241">
        <v>642.66</v>
      </c>
    </row>
    <row r="29" spans="1:6">
      <c r="A29" s="3366" t="s">
        <v>3210</v>
      </c>
      <c r="B29" s="3367"/>
      <c r="C29" s="3367"/>
      <c r="D29" s="3368"/>
      <c r="E29" s="3241">
        <f>SUM(E25:E28)</f>
        <v>2542.8199999999997</v>
      </c>
      <c r="F29" s="3240"/>
    </row>
    <row r="30" spans="1:6">
      <c r="A30" s="3366" t="s">
        <v>3213</v>
      </c>
      <c r="B30" s="3367"/>
      <c r="C30" s="3367"/>
      <c r="D30" s="3368"/>
      <c r="E30" s="3241">
        <f>E3+E11+E18+E24+E29</f>
        <v>17650.91</v>
      </c>
    </row>
  </sheetData>
  <mergeCells count="6">
    <mergeCell ref="A30:D30"/>
    <mergeCell ref="A4:D4"/>
    <mergeCell ref="A11:D11"/>
    <mergeCell ref="A18:D18"/>
    <mergeCell ref="A24:D24"/>
    <mergeCell ref="A29:D2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69" t="s">
        <v>0</v>
      </c>
      <c r="B1" s="3369" t="s">
        <v>4</v>
      </c>
      <c r="C1" s="3369" t="s">
        <v>5</v>
      </c>
      <c r="D1" s="3370" t="s">
        <v>53</v>
      </c>
      <c r="E1" s="3370" t="s">
        <v>54</v>
      </c>
      <c r="F1" s="3370"/>
      <c r="G1" s="3370"/>
      <c r="H1" s="3370"/>
      <c r="I1" s="3370"/>
      <c r="J1" s="3370"/>
      <c r="K1" s="3370"/>
      <c r="L1" s="3370"/>
      <c r="M1" s="3370"/>
    </row>
    <row r="2" spans="1:13" ht="27" customHeight="1">
      <c r="A2" s="3369"/>
      <c r="B2" s="3369"/>
      <c r="C2" s="3369"/>
      <c r="D2" s="3370"/>
      <c r="E2" s="3370" t="s">
        <v>37</v>
      </c>
      <c r="F2" s="3370" t="s">
        <v>38</v>
      </c>
      <c r="G2" s="3370"/>
      <c r="H2" s="3370"/>
      <c r="I2" s="3370"/>
      <c r="J2" s="3370" t="s">
        <v>39</v>
      </c>
      <c r="K2" s="3370"/>
      <c r="L2" s="3370"/>
      <c r="M2" s="3370"/>
    </row>
    <row r="3" spans="1:13" ht="46.8">
      <c r="A3" s="3369"/>
      <c r="B3" s="3369"/>
      <c r="C3" s="3369"/>
      <c r="D3" s="3370"/>
      <c r="E3" s="33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0" t="s">
        <v>55</v>
      </c>
      <c r="B9" s="3370"/>
      <c r="C9" s="3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
    </sheetView>
  </sheetViews>
  <sheetFormatPr defaultColWidth="9.21875" defaultRowHeight="13.8"/>
  <cols>
    <col min="1" max="1" width="12.109375" style="1792" customWidth="1"/>
    <col min="2" max="2" width="10.21875" style="1792" customWidth="1"/>
    <col min="3" max="3" width="18.44140625" style="1792" customWidth="1"/>
    <col min="4" max="4" width="11.6640625" style="1792" customWidth="1"/>
    <col min="5" max="5" width="13.33203125" style="1792" customWidth="1"/>
    <col min="6" max="8" width="11.44140625" style="1792" customWidth="1"/>
    <col min="9" max="9" width="11.109375" style="1792" customWidth="1"/>
    <col min="10" max="10" width="3.109375" style="2843" customWidth="1"/>
    <col min="11" max="16" width="10" style="1792" customWidth="1"/>
    <col min="17" max="17" width="2.6640625" style="1792" customWidth="1"/>
    <col min="18" max="18" width="9.33203125" style="1792" bestFit="1" customWidth="1"/>
    <col min="19" max="19" width="10.44140625" style="1792" bestFit="1" customWidth="1"/>
    <col min="20" max="16384" width="9.21875" style="1792"/>
  </cols>
  <sheetData>
    <row r="1" spans="1:16" ht="18" thickBot="1">
      <c r="A1" s="1791" t="s">
        <v>1753</v>
      </c>
      <c r="B1" s="1272"/>
      <c r="C1" s="1272"/>
      <c r="D1" s="1272"/>
      <c r="E1" s="1272"/>
      <c r="F1" s="1272"/>
      <c r="G1" s="1272"/>
      <c r="H1" s="1272"/>
      <c r="I1" s="1272"/>
      <c r="J1" s="1272"/>
      <c r="K1" s="1272"/>
      <c r="L1" s="1272"/>
      <c r="M1" s="1272"/>
      <c r="N1" s="1272"/>
      <c r="O1" s="1272"/>
      <c r="P1" s="1272"/>
    </row>
    <row r="2" spans="1:16" ht="14.4">
      <c r="A2" s="3380" t="s">
        <v>1754</v>
      </c>
      <c r="B2" s="3380"/>
      <c r="C2" s="3380"/>
      <c r="D2" s="903" t="s">
        <v>1730</v>
      </c>
      <c r="E2" s="1793" t="s">
        <v>1731</v>
      </c>
      <c r="F2" s="2853"/>
      <c r="G2" s="2844"/>
      <c r="H2" s="2845"/>
      <c r="I2" s="2517" t="s">
        <v>1755</v>
      </c>
      <c r="J2" s="2853"/>
      <c r="K2" s="2853"/>
      <c r="L2" s="2853"/>
      <c r="M2" s="2853"/>
      <c r="N2" s="2855"/>
      <c r="O2" s="2853"/>
      <c r="P2" s="2853"/>
    </row>
    <row r="3" spans="1:16" ht="15" thickBot="1">
      <c r="A3" s="3381" t="s">
        <v>1728</v>
      </c>
      <c r="B3" s="3381"/>
      <c r="C3" s="3381"/>
      <c r="D3" s="45">
        <f>'数据-基础表'!AY6</f>
        <v>6303.9</v>
      </c>
      <c r="E3" s="45">
        <f>'数据-基础表'!AZ5</f>
        <v>17650.910000000003</v>
      </c>
      <c r="F3" s="2853"/>
      <c r="G3" s="1278"/>
      <c r="H3" s="1156" t="s">
        <v>1729</v>
      </c>
      <c r="I3" s="963">
        <f>ROUND('数据-基础表'!B3/'数据-基础表'!A3,2)</f>
        <v>2.8</v>
      </c>
      <c r="J3" s="2853"/>
      <c r="K3" s="2853"/>
      <c r="L3" s="2853"/>
      <c r="M3" s="2853"/>
      <c r="N3" s="2855"/>
      <c r="O3" s="2853"/>
      <c r="P3" s="2853"/>
    </row>
    <row r="4" spans="1:16" ht="14.4">
      <c r="A4" s="3382"/>
      <c r="B4" s="3383"/>
      <c r="C4" s="3384"/>
      <c r="D4" s="1795" t="s">
        <v>1730</v>
      </c>
      <c r="E4" s="1796" t="s">
        <v>1731</v>
      </c>
      <c r="F4" s="2853"/>
      <c r="G4" s="2846" t="s">
        <v>1756</v>
      </c>
      <c r="H4" s="1156" t="s">
        <v>1736</v>
      </c>
      <c r="I4" s="963">
        <f>ROUND(SUMIF('数据-基础表'!I9:AS9,"地上",'数据-基础表'!I5:AS5)/'数据-基础表'!A3,2)</f>
        <v>2.8</v>
      </c>
      <c r="J4" s="2853"/>
      <c r="K4" s="2853"/>
      <c r="L4" s="2853"/>
      <c r="M4" s="2853"/>
      <c r="N4" s="2855"/>
      <c r="O4" s="2853"/>
      <c r="P4" s="2853"/>
    </row>
    <row r="5" spans="1:16" ht="14.4">
      <c r="A5" s="46" t="s">
        <v>1732</v>
      </c>
      <c r="B5" s="3385" t="s">
        <v>1733</v>
      </c>
      <c r="C5" s="3385"/>
      <c r="D5" s="47">
        <f>ROUND($D$3*E5/$E$3,2)</f>
        <v>0</v>
      </c>
      <c r="E5" s="48">
        <f>SUMIF('数据-基础表'!$11:$11,"住宅",'数据-基础表'!$5:$5)</f>
        <v>0</v>
      </c>
      <c r="F5" s="2853"/>
      <c r="G5" s="1278"/>
      <c r="H5" s="1156" t="s">
        <v>1729</v>
      </c>
      <c r="I5" s="963">
        <f>ROUND(E31/D31,2)</f>
        <v>2.8</v>
      </c>
      <c r="J5" s="2853"/>
      <c r="K5" s="2853"/>
      <c r="L5" s="2853"/>
      <c r="M5" s="2853"/>
      <c r="N5" s="2853"/>
      <c r="O5" s="2853"/>
      <c r="P5" s="2853"/>
    </row>
    <row r="6" spans="1:16" ht="15" thickBot="1">
      <c r="A6" s="1798"/>
      <c r="B6" s="3385" t="s">
        <v>1734</v>
      </c>
      <c r="C6" s="3385"/>
      <c r="D6" s="47">
        <f>ROUND($D$3*E6/$E$3,2)</f>
        <v>6303.9</v>
      </c>
      <c r="E6" s="48">
        <f>E3-E5</f>
        <v>17650.910000000003</v>
      </c>
      <c r="F6" s="2853"/>
      <c r="G6" s="2847" t="s">
        <v>1735</v>
      </c>
      <c r="H6" s="1279" t="s">
        <v>1736</v>
      </c>
      <c r="I6" s="2848">
        <f>ROUND(F31/D31,2)</f>
        <v>2.8</v>
      </c>
      <c r="J6" s="2853"/>
      <c r="K6" s="2853"/>
      <c r="L6" s="2853"/>
      <c r="M6" s="2853"/>
      <c r="N6" s="2853"/>
      <c r="O6" s="2853"/>
      <c r="P6" s="2853"/>
    </row>
    <row r="7" spans="1:16" ht="15" thickBot="1">
      <c r="A7" s="3377"/>
      <c r="B7" s="3378"/>
      <c r="C7" s="3379"/>
      <c r="D7" s="1795" t="s">
        <v>1730</v>
      </c>
      <c r="E7" s="1799" t="s">
        <v>1737</v>
      </c>
      <c r="F7" s="2853"/>
      <c r="G7" s="2849" t="s">
        <v>1738</v>
      </c>
      <c r="H7" s="2850"/>
      <c r="I7" s="2851">
        <f>ROUND(信息!D8/D3,2)</f>
        <v>2.1</v>
      </c>
      <c r="J7" s="2853"/>
      <c r="K7" s="2853"/>
      <c r="L7" s="2853"/>
      <c r="M7" s="2853"/>
      <c r="N7" s="2853"/>
      <c r="O7" s="2853"/>
      <c r="P7" s="2853"/>
    </row>
    <row r="8" spans="1:16" ht="14.4">
      <c r="A8" s="46" t="s">
        <v>1739</v>
      </c>
      <c r="B8" s="49" t="s">
        <v>1740</v>
      </c>
      <c r="C8" s="47" t="s">
        <v>1741</v>
      </c>
      <c r="D8" s="47">
        <f t="shared" ref="D8:D15" si="0">ROUND($D$3*E8/$E$3,2)</f>
        <v>6303.9</v>
      </c>
      <c r="E8" s="50">
        <f>SUMIF('数据-基础表'!BB10:BK10,"地上",'数据-基础表'!BB5:BK5)</f>
        <v>17650.910000000003</v>
      </c>
      <c r="F8" s="2853"/>
      <c r="G8" s="2854"/>
      <c r="H8" s="2854"/>
      <c r="I8" s="2853"/>
      <c r="J8" s="2853"/>
      <c r="K8" s="2853"/>
      <c r="L8" s="2853"/>
      <c r="M8" s="2853"/>
      <c r="N8" s="2853"/>
      <c r="O8" s="2853"/>
      <c r="P8" s="2853"/>
    </row>
    <row r="9" spans="1:16" ht="14.4">
      <c r="A9" s="1800"/>
      <c r="B9" s="1801"/>
      <c r="C9" s="47" t="s">
        <v>1742</v>
      </c>
      <c r="D9" s="47">
        <f t="shared" si="0"/>
        <v>0</v>
      </c>
      <c r="E9" s="51">
        <v>0</v>
      </c>
      <c r="F9" s="2853"/>
      <c r="G9" s="2854"/>
      <c r="H9" s="2854"/>
      <c r="I9" s="2853"/>
      <c r="J9" s="2853"/>
      <c r="K9" s="2853"/>
      <c r="L9" s="2853"/>
      <c r="M9" s="2853"/>
      <c r="N9" s="2853"/>
      <c r="O9" s="2853"/>
      <c r="P9" s="2853"/>
    </row>
    <row r="10" spans="1:16" ht="14.4">
      <c r="A10" s="1800"/>
      <c r="B10" s="1801"/>
      <c r="C10" s="47" t="s">
        <v>1751</v>
      </c>
      <c r="D10" s="47">
        <f t="shared" si="0"/>
        <v>0</v>
      </c>
      <c r="E10" s="50">
        <f>SUMPRODUCT(('数据-基础表'!BB10:BK10="地下")*('数据-基础表'!BB11:BK11="商业")*('数据-基础表'!BB5:BK5))</f>
        <v>0</v>
      </c>
      <c r="F10" s="2853"/>
      <c r="G10" s="2854"/>
      <c r="H10" s="2854"/>
      <c r="I10" s="2853"/>
      <c r="J10" s="2853"/>
      <c r="K10" s="2853"/>
      <c r="L10" s="2853"/>
      <c r="M10" s="2853"/>
      <c r="N10" s="2853"/>
      <c r="O10" s="2853"/>
      <c r="P10" s="2853"/>
    </row>
    <row r="11" spans="1:16" ht="14.4">
      <c r="A11" s="1800"/>
      <c r="B11" s="1801"/>
      <c r="C11" s="47" t="s">
        <v>1743</v>
      </c>
      <c r="D11" s="47">
        <f t="shared" si="0"/>
        <v>0</v>
      </c>
      <c r="E11" s="50">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ht="14.4">
      <c r="A12" s="1800"/>
      <c r="B12" s="1801"/>
      <c r="C12" s="47" t="s">
        <v>1744</v>
      </c>
      <c r="D12" s="47">
        <f t="shared" si="0"/>
        <v>0</v>
      </c>
      <c r="E12" s="50">
        <f>SUMPRODUCT(('数据-基础表'!BB10:BK10="地下")*('数据-基础表'!BB11:BK11="仓储")*('数据-基础表'!BB5:BK5))</f>
        <v>0</v>
      </c>
      <c r="F12" s="2853"/>
      <c r="G12" s="2854"/>
      <c r="H12" s="2854"/>
      <c r="I12" s="2853"/>
      <c r="J12" s="2853"/>
      <c r="K12" s="2853"/>
      <c r="L12" s="2853"/>
      <c r="M12" s="2853"/>
      <c r="N12" s="2853"/>
      <c r="O12" s="2853"/>
      <c r="P12" s="2853"/>
    </row>
    <row r="13" spans="1:16" ht="14.4">
      <c r="A13" s="1800"/>
      <c r="B13" s="1801"/>
      <c r="C13" s="47" t="s">
        <v>1745</v>
      </c>
      <c r="D13" s="47">
        <f t="shared" si="0"/>
        <v>0</v>
      </c>
      <c r="E13" s="50">
        <f>SUMPRODUCT(('数据-基础表'!BB10:BK10="地下")*('数据-基础表'!BB11:BK11="车库")*('数据-基础表'!BB5:BK5))</f>
        <v>0</v>
      </c>
      <c r="F13" s="2853"/>
      <c r="G13" s="2854"/>
      <c r="H13" s="2854"/>
      <c r="I13" s="2853"/>
      <c r="J13" s="2853"/>
      <c r="K13" s="2853"/>
      <c r="L13" s="2853"/>
      <c r="M13" s="2853"/>
      <c r="N13" s="2853"/>
      <c r="O13" s="2853"/>
      <c r="P13" s="2853"/>
    </row>
    <row r="14" spans="1:16" ht="14.4">
      <c r="A14" s="1800"/>
      <c r="B14" s="1801"/>
      <c r="C14" s="47" t="s">
        <v>1757</v>
      </c>
      <c r="D14" s="47">
        <f t="shared" si="0"/>
        <v>0</v>
      </c>
      <c r="E14" s="50">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7" t="s">
        <v>1752</v>
      </c>
      <c r="D15" s="47">
        <f t="shared" si="0"/>
        <v>0</v>
      </c>
      <c r="E15" s="50">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c r="A16" s="1798"/>
      <c r="B16" s="1801"/>
      <c r="C16" s="49" t="s">
        <v>1746</v>
      </c>
      <c r="D16" s="49">
        <f>SUM(D8:D15)</f>
        <v>6303.9</v>
      </c>
      <c r="E16" s="52">
        <f>SUM(E8:E15)</f>
        <v>17650.910000000003</v>
      </c>
      <c r="F16" s="2853"/>
      <c r="G16" s="2854"/>
      <c r="H16" s="1802" t="s">
        <v>1758</v>
      </c>
      <c r="I16" s="1803"/>
      <c r="J16" s="1272"/>
      <c r="K16" s="3374" t="s">
        <v>1758</v>
      </c>
      <c r="L16" s="3375"/>
      <c r="M16" s="3375"/>
      <c r="N16" s="3375"/>
      <c r="O16" s="3375"/>
      <c r="P16" s="3376"/>
    </row>
    <row r="17" spans="1:19" ht="14.4">
      <c r="A17" s="1804" t="s">
        <v>1759</v>
      </c>
      <c r="B17" s="1805" t="s">
        <v>1760</v>
      </c>
      <c r="C17" s="1806" t="s">
        <v>1761</v>
      </c>
      <c r="D17" s="1807" t="s">
        <v>1749</v>
      </c>
      <c r="E17" s="1808" t="s">
        <v>1750</v>
      </c>
      <c r="F17" s="1809"/>
      <c r="G17" s="1810"/>
      <c r="H17" s="1811" t="s">
        <v>1762</v>
      </c>
      <c r="I17" s="1812" t="s">
        <v>1747</v>
      </c>
      <c r="J17" s="1272"/>
      <c r="K17" s="3371" t="s">
        <v>1763</v>
      </c>
      <c r="L17" s="3372"/>
      <c r="M17" s="3373"/>
      <c r="N17" s="3371" t="s">
        <v>1764</v>
      </c>
      <c r="O17" s="3372"/>
      <c r="P17" s="3373"/>
      <c r="R17" s="1794" t="s">
        <v>1765</v>
      </c>
      <c r="S17" s="59"/>
    </row>
    <row r="18" spans="1:19" ht="14.4">
      <c r="A18" s="1800"/>
      <c r="B18" s="1813"/>
      <c r="C18" s="1814"/>
      <c r="D18" s="1815"/>
      <c r="E18" s="1816" t="s">
        <v>1766</v>
      </c>
      <c r="F18" s="1817" t="s">
        <v>1767</v>
      </c>
      <c r="G18" s="1818" t="s">
        <v>1768</v>
      </c>
      <c r="H18" s="1171" t="s">
        <v>1769</v>
      </c>
      <c r="I18" s="1819" t="s">
        <v>1770</v>
      </c>
      <c r="J18" s="1272"/>
      <c r="K18" s="1171" t="s">
        <v>1771</v>
      </c>
      <c r="L18" s="1820" t="s">
        <v>1772</v>
      </c>
      <c r="M18" s="963" t="s">
        <v>1773</v>
      </c>
      <c r="N18" s="1171" t="s">
        <v>1771</v>
      </c>
      <c r="O18" s="1820" t="s">
        <v>1772</v>
      </c>
      <c r="P18" s="963" t="s">
        <v>1773</v>
      </c>
      <c r="R18" s="1156" t="s">
        <v>1774</v>
      </c>
      <c r="S18" s="1156" t="s">
        <v>1775</v>
      </c>
    </row>
    <row r="19" spans="1:19" ht="14.4">
      <c r="A19" s="1821"/>
      <c r="B19" s="49" t="s">
        <v>1748</v>
      </c>
      <c r="C19" s="3211" t="s">
        <v>3228</v>
      </c>
      <c r="D19" s="47">
        <f>ROUND($D$3*E19/$E$3,2)</f>
        <v>5209.32</v>
      </c>
      <c r="E19" s="55">
        <f t="shared" ref="E19:E26" si="1">SUM(F19:G19)</f>
        <v>14586.08</v>
      </c>
      <c r="F19" s="2993">
        <f>信息!G16</f>
        <v>14586.08</v>
      </c>
      <c r="G19" s="2994"/>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5209.32</v>
      </c>
      <c r="S19" s="1157">
        <f t="shared" si="5"/>
        <v>14586.08</v>
      </c>
    </row>
    <row r="20" spans="1:19" ht="14.4">
      <c r="A20" s="1825"/>
      <c r="B20" s="49" t="s">
        <v>1776</v>
      </c>
      <c r="C20" s="1822" t="s">
        <v>3229</v>
      </c>
      <c r="D20" s="47">
        <f t="shared" ref="D20:D26" si="6">ROUND($D$3*E20/$E$3,2)</f>
        <v>908.15</v>
      </c>
      <c r="E20" s="55">
        <f t="shared" si="1"/>
        <v>2542.8199999999997</v>
      </c>
      <c r="F20" s="2993">
        <f>信息!G23</f>
        <v>2542.8199999999997</v>
      </c>
      <c r="G20" s="2994"/>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908.15</v>
      </c>
      <c r="S20" s="1157">
        <f t="shared" si="5"/>
        <v>2542.8199999999997</v>
      </c>
    </row>
    <row r="21" spans="1:19" ht="14.4">
      <c r="A21" s="1825"/>
      <c r="B21" s="49" t="s">
        <v>1776</v>
      </c>
      <c r="C21" s="1822" t="s">
        <v>3230</v>
      </c>
      <c r="D21" s="47">
        <f t="shared" si="6"/>
        <v>186.43</v>
      </c>
      <c r="E21" s="55">
        <f t="shared" si="1"/>
        <v>522.01</v>
      </c>
      <c r="F21" s="2993">
        <f>信息!G18</f>
        <v>522.01</v>
      </c>
      <c r="G21" s="2994"/>
      <c r="H21" s="678">
        <f t="shared" si="7"/>
        <v>0</v>
      </c>
      <c r="I21" s="50">
        <f t="shared" si="2"/>
        <v>0</v>
      </c>
      <c r="J21" s="1272"/>
      <c r="K21" s="1271">
        <f t="shared" si="3"/>
        <v>0</v>
      </c>
      <c r="L21" s="1156">
        <f t="shared" si="4"/>
        <v>0</v>
      </c>
      <c r="M21" s="1283">
        <f t="shared" si="8"/>
        <v>0</v>
      </c>
      <c r="N21" s="1823"/>
      <c r="O21" s="1824"/>
      <c r="P21" s="1283">
        <f t="shared" si="9"/>
        <v>0</v>
      </c>
      <c r="R21" s="1156">
        <f t="shared" si="5"/>
        <v>186.43</v>
      </c>
      <c r="S21" s="1157">
        <f t="shared" si="5"/>
        <v>522.01</v>
      </c>
    </row>
    <row r="22" spans="1:19" ht="14.4">
      <c r="A22" s="1825"/>
      <c r="B22" s="49" t="s">
        <v>1776</v>
      </c>
      <c r="C22" s="57"/>
      <c r="D22" s="47">
        <f t="shared" si="6"/>
        <v>0</v>
      </c>
      <c r="E22" s="55">
        <f t="shared" si="1"/>
        <v>0</v>
      </c>
      <c r="F22" s="2995"/>
      <c r="G22" s="2996"/>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ht="14.4">
      <c r="A23" s="1825"/>
      <c r="B23" s="49" t="s">
        <v>1776</v>
      </c>
      <c r="C23" s="57"/>
      <c r="D23" s="47">
        <f>ROUND($D$3*E23/$E$3,2)</f>
        <v>0</v>
      </c>
      <c r="E23" s="55">
        <f>SUM(F23:G23)</f>
        <v>0</v>
      </c>
      <c r="F23" s="2995"/>
      <c r="G23" s="2996"/>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ht="14.4">
      <c r="A24" s="1825"/>
      <c r="B24" s="49" t="s">
        <v>1776</v>
      </c>
      <c r="C24" s="57"/>
      <c r="D24" s="47">
        <f>ROUND($D$3*E24/$E$3,2)</f>
        <v>0</v>
      </c>
      <c r="E24" s="55">
        <f>SUM(F24:G24)</f>
        <v>0</v>
      </c>
      <c r="F24" s="2995"/>
      <c r="G24" s="2996"/>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ht="14.4">
      <c r="A25" s="1825"/>
      <c r="B25" s="49" t="s">
        <v>1776</v>
      </c>
      <c r="C25" s="57"/>
      <c r="D25" s="47">
        <f t="shared" si="6"/>
        <v>0</v>
      </c>
      <c r="E25" s="55">
        <f t="shared" si="1"/>
        <v>0</v>
      </c>
      <c r="F25" s="2995"/>
      <c r="G25" s="2996"/>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ht="14.4">
      <c r="A26" s="1825"/>
      <c r="B26" s="49" t="s">
        <v>1776</v>
      </c>
      <c r="C26" s="58"/>
      <c r="D26" s="47">
        <f t="shared" si="6"/>
        <v>0</v>
      </c>
      <c r="E26" s="55">
        <f t="shared" si="1"/>
        <v>0</v>
      </c>
      <c r="F26" s="2995"/>
      <c r="G26" s="2996"/>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 thickBot="1">
      <c r="A27" s="1825"/>
      <c r="B27" s="47"/>
      <c r="C27" s="1828" t="s">
        <v>1777</v>
      </c>
      <c r="D27" s="1273">
        <f>SUM(D19:D26)</f>
        <v>6303.9</v>
      </c>
      <c r="E27" s="1274">
        <f>IF(SUM(E19:E26)='数据-基础表'!BA5,SUM(E19:E26),IF(F27="地上面积有误","面积有误","地下面积有误"))</f>
        <v>17650.91</v>
      </c>
      <c r="F27" s="1273">
        <f>IF(SUM(F19:F26)=E8,SUM(F19:F26),"地上面积有误")</f>
        <v>17650.91</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6303.9</v>
      </c>
      <c r="S27" s="1156">
        <f>IF(SUM(S19:S26)=$E$3,SUM(S19:S26),SUM(S19:S26)&amp;"误差"&amp;ROUND(SUM(S19:S26)-E3,2))</f>
        <v>17650.91</v>
      </c>
    </row>
    <row r="28" spans="1:19" ht="14.4">
      <c r="A28" s="1825"/>
      <c r="B28" s="49" t="s">
        <v>1778</v>
      </c>
      <c r="C28" s="1168" t="s">
        <v>1779</v>
      </c>
      <c r="D28" s="47">
        <f>ROUND($D$3*E28/$E$3,2)</f>
        <v>0</v>
      </c>
      <c r="E28" s="55">
        <f>SUM(F28:G28)</f>
        <v>0</v>
      </c>
      <c r="F28" s="59">
        <f>'数据-基础表'!BQ5+'数据-基础表'!BS5</f>
        <v>0</v>
      </c>
      <c r="G28" s="60">
        <f>'数据-基础表'!BR5+'数据-基础表'!BT5</f>
        <v>0</v>
      </c>
      <c r="H28" s="2853"/>
      <c r="I28" s="2853"/>
      <c r="J28" s="2853"/>
      <c r="K28" s="2853"/>
      <c r="L28" s="2853"/>
      <c r="M28" s="2853"/>
      <c r="N28" s="2853"/>
      <c r="O28" s="2853"/>
      <c r="P28" s="2853"/>
    </row>
    <row r="29" spans="1:19" ht="14.4">
      <c r="A29" s="1825"/>
      <c r="B29" s="49" t="s">
        <v>1778</v>
      </c>
      <c r="C29" s="1829" t="s">
        <v>1780</v>
      </c>
      <c r="D29" s="47">
        <f>ROUND($D$3*E29/$E$3,2)</f>
        <v>0</v>
      </c>
      <c r="E29" s="55">
        <f>SUM(F29:G29)</f>
        <v>0</v>
      </c>
      <c r="F29" s="61">
        <f>'数据-基础表'!BM5+'数据-基础表'!BO5</f>
        <v>0</v>
      </c>
      <c r="G29" s="62">
        <f>'数据-基础表'!BN5+'数据-基础表'!BP5</f>
        <v>0</v>
      </c>
      <c r="H29" s="2853"/>
      <c r="I29" s="2853"/>
      <c r="J29" s="2853"/>
      <c r="K29" s="2853"/>
      <c r="L29" s="2853"/>
      <c r="M29" s="2853"/>
      <c r="N29" s="2853"/>
      <c r="O29" s="2853"/>
      <c r="P29" s="2853"/>
    </row>
    <row r="30" spans="1:19" ht="14.4">
      <c r="A30" s="1825"/>
      <c r="B30" s="49"/>
      <c r="C30" s="1830" t="s">
        <v>1777</v>
      </c>
      <c r="D30" s="1273">
        <f>SUM(D28:D29)</f>
        <v>0</v>
      </c>
      <c r="E30" s="1273">
        <f>SUM(E28:E29)</f>
        <v>0</v>
      </c>
      <c r="F30" s="1273">
        <f>SUM(F28:F29)</f>
        <v>0</v>
      </c>
      <c r="G30" s="1275">
        <f>SUM(G28:G29)</f>
        <v>0</v>
      </c>
      <c r="H30" s="2853"/>
      <c r="I30" s="2853"/>
      <c r="J30" s="2853"/>
      <c r="K30" s="2853"/>
      <c r="L30" s="2853"/>
      <c r="M30" s="2853"/>
      <c r="N30" s="2853"/>
      <c r="O30" s="2853"/>
      <c r="P30" s="2853"/>
    </row>
    <row r="31" spans="1:19" ht="15" thickBot="1">
      <c r="A31" s="1831"/>
      <c r="B31" s="1832"/>
      <c r="C31" s="943" t="s">
        <v>1781</v>
      </c>
      <c r="D31" s="684">
        <f>D27+D30</f>
        <v>6303.9</v>
      </c>
      <c r="E31" s="684">
        <f>E27+E30</f>
        <v>17650.91</v>
      </c>
      <c r="F31" s="685">
        <f>F27+F30</f>
        <v>17650.91</v>
      </c>
      <c r="G31" s="686">
        <f>G27+G30</f>
        <v>0</v>
      </c>
      <c r="H31" s="2853"/>
      <c r="I31" s="2853"/>
      <c r="J31" s="2853"/>
      <c r="K31" s="2853"/>
      <c r="L31" s="2853"/>
      <c r="M31" s="2853"/>
      <c r="N31" s="2853"/>
      <c r="O31" s="2853"/>
      <c r="P31" s="2853"/>
    </row>
    <row r="32" spans="1:19" ht="14.4">
      <c r="A32" s="1797"/>
      <c r="B32" s="1797" t="s">
        <v>1782</v>
      </c>
      <c r="C32" s="1797"/>
      <c r="D32" s="1797"/>
      <c r="E32" s="1183">
        <f>SUMIF(C19:C26,"*住宅*",E19:E26)</f>
        <v>0</v>
      </c>
      <c r="F32" s="1797"/>
      <c r="G32" s="1797"/>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8" sqref="R8"/>
    </sheetView>
  </sheetViews>
  <sheetFormatPr defaultColWidth="13.77734375" defaultRowHeight="13.2"/>
  <cols>
    <col min="1" max="1" width="20.8867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5"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1783</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 thickBot="1">
      <c r="A2" s="1838" t="s">
        <v>1784</v>
      </c>
      <c r="B2" s="1175">
        <f>项目基本情况!D3</f>
        <v>44610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4"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1785</v>
      </c>
      <c r="B4" s="1843"/>
      <c r="C4" s="1844"/>
      <c r="D4" s="1845"/>
      <c r="E4" s="1844" t="s">
        <v>1786</v>
      </c>
      <c r="F4" s="1844"/>
      <c r="G4" s="1844"/>
      <c r="H4" s="1844"/>
      <c r="I4" s="1844"/>
      <c r="J4" s="1846"/>
      <c r="K4" s="1847"/>
      <c r="L4" s="1848"/>
      <c r="M4" s="1844"/>
      <c r="N4" s="1844" t="s">
        <v>1787</v>
      </c>
      <c r="O4" s="1844"/>
      <c r="P4" s="1844"/>
      <c r="Q4" s="1844"/>
      <c r="R4" s="1844"/>
      <c r="S4" s="1846"/>
      <c r="T4" s="2852" t="str">
        <f>'数据-汇总表'!I17</f>
        <v>按面积比例</v>
      </c>
      <c r="U4" s="1843" t="s">
        <v>1788</v>
      </c>
      <c r="V4" s="1844"/>
      <c r="W4" s="1844"/>
      <c r="X4" s="1844"/>
      <c r="Y4" s="1846"/>
      <c r="Z4" s="1806" t="s">
        <v>1789</v>
      </c>
      <c r="AA4" s="1806"/>
      <c r="AB4" s="1806"/>
      <c r="AC4" s="1806"/>
      <c r="AD4" s="1806"/>
      <c r="AE4" s="1804" t="s">
        <v>1790</v>
      </c>
      <c r="AF4" s="1806"/>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7.6">
      <c r="A5" s="1850" t="s">
        <v>1791</v>
      </c>
      <c r="B5" s="1851" t="s">
        <v>1792</v>
      </c>
      <c r="C5" s="1852" t="s">
        <v>1793</v>
      </c>
      <c r="D5" s="1853" t="s">
        <v>1794</v>
      </c>
      <c r="E5" s="1177" t="s">
        <v>1795</v>
      </c>
      <c r="F5" s="1854" t="s">
        <v>1796</v>
      </c>
      <c r="G5" s="1177" t="s">
        <v>1797</v>
      </c>
      <c r="H5" s="1177" t="s">
        <v>1798</v>
      </c>
      <c r="I5" s="1177" t="s">
        <v>1799</v>
      </c>
      <c r="J5" s="1855" t="s">
        <v>1800</v>
      </c>
      <c r="K5" s="1856" t="s">
        <v>1801</v>
      </c>
      <c r="L5" s="1857" t="s">
        <v>1802</v>
      </c>
      <c r="M5" s="1858" t="s">
        <v>1803</v>
      </c>
      <c r="N5" s="1859" t="s">
        <v>3181</v>
      </c>
      <c r="O5" s="1857" t="s">
        <v>1804</v>
      </c>
      <c r="P5" s="1860" t="s">
        <v>1805</v>
      </c>
      <c r="Q5" s="64" t="s">
        <v>1806</v>
      </c>
      <c r="R5" s="1861" t="s">
        <v>1807</v>
      </c>
      <c r="S5" s="1862" t="s">
        <v>1808</v>
      </c>
      <c r="T5" s="1863" t="s">
        <v>1809</v>
      </c>
      <c r="U5" s="1176" t="s">
        <v>1810</v>
      </c>
      <c r="V5" s="1177" t="s">
        <v>1811</v>
      </c>
      <c r="W5" s="1177" t="s">
        <v>1812</v>
      </c>
      <c r="X5" s="66"/>
      <c r="Y5" s="65" t="s">
        <v>1813</v>
      </c>
      <c r="Z5" s="1864" t="s">
        <v>1810</v>
      </c>
      <c r="AA5" s="1177" t="s">
        <v>1811</v>
      </c>
      <c r="AB5" s="1177" t="s">
        <v>1812</v>
      </c>
      <c r="AC5" s="66"/>
      <c r="AD5" s="66" t="s">
        <v>1813</v>
      </c>
      <c r="AE5" s="1176" t="s">
        <v>1814</v>
      </c>
      <c r="AF5" s="1177" t="s">
        <v>1815</v>
      </c>
      <c r="AG5" s="65" t="s">
        <v>1816</v>
      </c>
      <c r="AH5" s="1176" t="s">
        <v>1817</v>
      </c>
      <c r="AI5" s="1864" t="s">
        <v>1818</v>
      </c>
      <c r="AJ5" s="1864" t="s">
        <v>1819</v>
      </c>
      <c r="AK5" s="1177" t="s">
        <v>1820</v>
      </c>
      <c r="AL5" s="1177" t="s">
        <v>1821</v>
      </c>
      <c r="AM5" s="65" t="s">
        <v>1822</v>
      </c>
      <c r="AN5" s="1865" t="s">
        <v>1823</v>
      </c>
      <c r="AO5" s="1716" t="s">
        <v>1824</v>
      </c>
      <c r="AP5" s="1158" t="s">
        <v>1825</v>
      </c>
      <c r="AQ5" s="1866" t="s">
        <v>1826</v>
      </c>
      <c r="AR5" s="1866" t="s">
        <v>1827</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3.8">
      <c r="A6" s="1867" t="str">
        <f>'数据-汇总表'!C19</f>
        <v>3层商业楼-内</v>
      </c>
      <c r="B6" s="1868" t="str">
        <f>IF(A6=0,"","经营性")</f>
        <v>经营性</v>
      </c>
      <c r="C6" s="1869" t="s">
        <v>1280</v>
      </c>
      <c r="D6" s="966">
        <f>SUMIF(项目基本情况!D$12:I$12,C6,项目基本情况!D$14:I$14)</f>
        <v>40</v>
      </c>
      <c r="E6" s="965">
        <f>IF(B6="","",SUMIF(项目基本情况!D$12:I$12,C6,项目基本情况!D$13:I$13))</f>
        <v>56963</v>
      </c>
      <c r="F6" s="67">
        <f>SUMIF(项目基本情况!D$12:I$12,C6,项目基本情况!D$15:I$15)</f>
        <v>33.840000000000003</v>
      </c>
      <c r="G6" s="68">
        <f>IF(ISERROR(ROUND(POWER(1+H6,D6-F6)*(POWER(1+H6,F6)-1)/(POWER(1+H6,D6)-1),3)),0,ROUND(POWER(1+H6,D6-F6)*(POWER(1+H6,F6)-1)/(POWER(1+H6,D6)-1),3))</f>
        <v>0.94199999999999995</v>
      </c>
      <c r="H6" s="740">
        <v>0.05</v>
      </c>
      <c r="I6" s="740">
        <v>5.5E-2</v>
      </c>
      <c r="J6" s="69">
        <v>7.0000000000000007E-2</v>
      </c>
      <c r="K6" s="1160">
        <f>SUMIF('数据-汇总表'!C$19:C$33,A6,'数据-汇总表'!E$19:E$33)</f>
        <v>14586.08</v>
      </c>
      <c r="L6" s="741">
        <v>3000</v>
      </c>
      <c r="M6" s="70">
        <f t="shared" ref="M6:M14" si="0">ROUND(K6*L6/10000,0)</f>
        <v>4376</v>
      </c>
      <c r="N6" s="739">
        <v>0.98</v>
      </c>
      <c r="O6" s="70" t="str">
        <f>IF($N$5="成新度","——",ROUND(M6*N6,0))</f>
        <v>——</v>
      </c>
      <c r="P6" s="71" t="str">
        <f>IF($N$5="成新度","——",M6-O6)</f>
        <v>——</v>
      </c>
      <c r="Q6" s="742">
        <v>0.2</v>
      </c>
      <c r="R6" s="72">
        <f ca="1">SUMIF('数据-汇总表'!C$19:C$33,A6,'数据-汇总表'!R$19:R$27)</f>
        <v>5209.32</v>
      </c>
      <c r="S6" s="53">
        <f>IF('数据-汇总表'!$I$17="按面积比例",SUMIF('数据-汇总表'!C$19:C$33,A6,'数据-汇总表'!K$19:K$33),SUMIF('数据-汇总表'!C$19:C$33,A6,'数据-汇总表'!N$19:N$33))</f>
        <v>0</v>
      </c>
      <c r="T6" s="1305">
        <f>ROUND($L$14*S6/10000,0)</f>
        <v>0</v>
      </c>
      <c r="U6" s="73">
        <f>信息!H16</f>
        <v>2.84</v>
      </c>
      <c r="V6" s="74">
        <v>0.03</v>
      </c>
      <c r="W6" s="74">
        <v>0.1</v>
      </c>
      <c r="X6" s="1170"/>
      <c r="Y6" s="75">
        <f>N6</f>
        <v>0.98</v>
      </c>
      <c r="Z6" s="76"/>
      <c r="AA6" s="69"/>
      <c r="AB6" s="69"/>
      <c r="AC6" s="1170"/>
      <c r="AD6" s="77"/>
      <c r="AE6" s="1171">
        <f ca="1">IF(AN6="",0,SUMIF(INDIRECT("'"&amp;AN6&amp;"'"&amp;"!E:E"),$AE$5,INDIRECT("'"&amp;AN6&amp;"'"&amp;"!F:F")))</f>
        <v>33.840000000000003</v>
      </c>
      <c r="AF6" s="1501"/>
      <c r="AG6" s="142">
        <f>IF(AF6="",0,AE6-AF6)</f>
        <v>0</v>
      </c>
      <c r="AH6" s="78"/>
      <c r="AI6" s="80">
        <v>365</v>
      </c>
      <c r="AJ6" s="81"/>
      <c r="AK6" s="82">
        <v>1.4999999999999999E-2</v>
      </c>
      <c r="AL6" s="83">
        <v>1E-3</v>
      </c>
      <c r="AM6" s="84">
        <v>1.4999999999999999E-2</v>
      </c>
      <c r="AN6" s="1870" t="s">
        <v>3140</v>
      </c>
      <c r="AO6" s="54">
        <f ca="1">SUMIF(INDIRECT("'"&amp;AN6&amp;"'"&amp;"!A:A"),"总价",INDIRECT("'"&amp;AN6&amp;"'"&amp;"!B:B"))</f>
        <v>22631</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3.8">
      <c r="A7" s="1867" t="str">
        <f>'数据-汇总表'!C20</f>
        <v>3层商业楼-外</v>
      </c>
      <c r="B7" s="1868" t="str">
        <f t="shared" ref="B7:B13" si="1">IF(A7=0,"","经营性")</f>
        <v>经营性</v>
      </c>
      <c r="C7" s="1869" t="s">
        <v>1280</v>
      </c>
      <c r="D7" s="966">
        <f>SUMIF(项目基本情况!D$12:I$12,C7,项目基本情况!D$14:I$14)</f>
        <v>40</v>
      </c>
      <c r="E7" s="965">
        <f>IF(B7="","",SUMIF(项目基本情况!D$12:I$12,C7,项目基本情况!D$13:I$13))</f>
        <v>56963</v>
      </c>
      <c r="F7" s="67">
        <f>SUMIF(项目基本情况!D$12:I$12,C7,项目基本情况!D$15:I$15)</f>
        <v>33.840000000000003</v>
      </c>
      <c r="G7" s="68">
        <f t="shared" ref="G7:G11" si="2">IF(ISERROR(ROUND(POWER(1+H7,D7-F7)*(POWER(1+H7,F7)-1)/(POWER(1+H7,D7)-1),3)),0,ROUND(POWER(1+H7,D7-F7)*(POWER(1+H7,F7)-1)/(POWER(1+H7,D7)-1),3))</f>
        <v>0.94199999999999995</v>
      </c>
      <c r="H7" s="740">
        <f>H6</f>
        <v>0.05</v>
      </c>
      <c r="I7" s="740">
        <f>I6</f>
        <v>5.5E-2</v>
      </c>
      <c r="J7" s="69">
        <v>7.0000000000000007E-2</v>
      </c>
      <c r="K7" s="1160">
        <f>SUMIF('数据-汇总表'!C$19:C$33,A7,'数据-汇总表'!E$19:E$33)</f>
        <v>2542.8199999999997</v>
      </c>
      <c r="L7" s="741">
        <f>L6</f>
        <v>3000</v>
      </c>
      <c r="M7" s="70">
        <f t="shared" si="0"/>
        <v>763</v>
      </c>
      <c r="N7" s="739">
        <f>N6</f>
        <v>0.98</v>
      </c>
      <c r="O7" s="70" t="str">
        <f t="shared" ref="O7:O14" si="3">IF($N$5="成新度","——",ROUND(M7*N7,0))</f>
        <v>——</v>
      </c>
      <c r="P7" s="71" t="str">
        <f t="shared" ref="P7:P14" si="4">IF($N$5="成新度","——",M7-O7)</f>
        <v>——</v>
      </c>
      <c r="Q7" s="742">
        <f>Q6</f>
        <v>0.2</v>
      </c>
      <c r="R7" s="72">
        <f ca="1">SUMIF('数据-汇总表'!C$19:C$33,A7,'数据-汇总表'!R$19:R$27)</f>
        <v>908.15</v>
      </c>
      <c r="S7" s="53">
        <f>IF('数据-汇总表'!$I$17="按面积比例",SUMIF('数据-汇总表'!C$19:C$33,A7,'数据-汇总表'!K$19:K$33),SUMIF('数据-汇总表'!C$19:C$33,A7,'数据-汇总表'!N$19:N$33))</f>
        <v>0</v>
      </c>
      <c r="T7" s="1305">
        <f t="shared" ref="T7:T13" si="5">ROUND($L$14*S7/10000,0)</f>
        <v>0</v>
      </c>
      <c r="U7" s="73">
        <f>信息!H23</f>
        <v>5.99</v>
      </c>
      <c r="V7" s="74">
        <f>V6</f>
        <v>0.03</v>
      </c>
      <c r="W7" s="74">
        <v>0.1</v>
      </c>
      <c r="X7" s="1170"/>
      <c r="Y7" s="75">
        <f>Y6</f>
        <v>0.98</v>
      </c>
      <c r="Z7" s="76"/>
      <c r="AA7" s="69"/>
      <c r="AB7" s="69"/>
      <c r="AC7" s="1170"/>
      <c r="AD7" s="77"/>
      <c r="AE7" s="1171">
        <f t="shared" ref="AE7:AE13" ca="1" si="6">IF(AN7="",0,SUMIF(INDIRECT("'"&amp;AN7&amp;"'"&amp;"!E:E"),$AE$5,INDIRECT("'"&amp;AN7&amp;"'"&amp;"!F:F")))</f>
        <v>33.840000000000003</v>
      </c>
      <c r="AF7" s="1501"/>
      <c r="AG7" s="142">
        <f t="shared" ref="AG7:AG13" si="7">IF(AF7="",0,AE7-AF7)</f>
        <v>0</v>
      </c>
      <c r="AH7" s="78"/>
      <c r="AI7" s="80">
        <v>365</v>
      </c>
      <c r="AJ7" s="81"/>
      <c r="AK7" s="82">
        <f>AK6</f>
        <v>1.4999999999999999E-2</v>
      </c>
      <c r="AL7" s="83">
        <v>1E-3</v>
      </c>
      <c r="AM7" s="84">
        <f>AM6</f>
        <v>1.4999999999999999E-2</v>
      </c>
      <c r="AN7" s="1870" t="s">
        <v>3217</v>
      </c>
      <c r="AO7" s="54">
        <f t="shared" ref="AO7:AO13" ca="1" si="8">SUMIF(INDIRECT("'"&amp;AN7&amp;"'"&amp;"!A:A"),"总价",INDIRECT("'"&amp;AN7&amp;"'"&amp;"!B:B"))</f>
        <v>9164</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3.8">
      <c r="A8" s="1867" t="str">
        <f>'数据-汇总表'!C21</f>
        <v>1层商业楼-内</v>
      </c>
      <c r="B8" s="1868" t="str">
        <f t="shared" si="1"/>
        <v>经营性</v>
      </c>
      <c r="C8" s="1869" t="s">
        <v>1280</v>
      </c>
      <c r="D8" s="966">
        <f>SUMIF(项目基本情况!D$12:I$12,C8,项目基本情况!D$14:I$14)</f>
        <v>40</v>
      </c>
      <c r="E8" s="965">
        <f>IF(B8="","",SUMIF(项目基本情况!D$12:I$12,C8,项目基本情况!D$13:I$13))</f>
        <v>56963</v>
      </c>
      <c r="F8" s="67">
        <f>SUMIF(项目基本情况!D$12:I$12,C8,项目基本情况!D$15:I$15)</f>
        <v>33.840000000000003</v>
      </c>
      <c r="G8" s="68">
        <f t="shared" si="2"/>
        <v>0.94199999999999995</v>
      </c>
      <c r="H8" s="740">
        <f>H7</f>
        <v>0.05</v>
      </c>
      <c r="I8" s="740">
        <f>I7</f>
        <v>5.5E-2</v>
      </c>
      <c r="J8" s="69">
        <f>J7</f>
        <v>7.0000000000000007E-2</v>
      </c>
      <c r="K8" s="1160">
        <f>SUMIF('数据-汇总表'!C$19:C$33,A8,'数据-汇总表'!E$19:E$33)</f>
        <v>522.01</v>
      </c>
      <c r="L8" s="741">
        <f>L7</f>
        <v>3000</v>
      </c>
      <c r="M8" s="70">
        <f>ROUND(K8*L8/10000,0)</f>
        <v>157</v>
      </c>
      <c r="N8" s="739">
        <f>N7</f>
        <v>0.98</v>
      </c>
      <c r="O8" s="70" t="str">
        <f t="shared" si="3"/>
        <v>——</v>
      </c>
      <c r="P8" s="71" t="str">
        <f t="shared" si="4"/>
        <v>——</v>
      </c>
      <c r="Q8" s="742">
        <f>Q7</f>
        <v>0.2</v>
      </c>
      <c r="R8" s="72">
        <f ca="1">SUMIF('数据-汇总表'!C$19:C$33,A8,'数据-汇总表'!R$19:R$27)</f>
        <v>186.43</v>
      </c>
      <c r="S8" s="53">
        <f>IF('数据-汇总表'!$I$17="按面积比例",SUMIF('数据-汇总表'!C$19:C$33,A8,'数据-汇总表'!K$19:K$33),SUMIF('数据-汇总表'!C$19:C$33,A8,'数据-汇总表'!N$19:N$33))</f>
        <v>0</v>
      </c>
      <c r="T8" s="1305">
        <f t="shared" si="5"/>
        <v>0</v>
      </c>
      <c r="U8" s="743">
        <f>信息!H18</f>
        <v>5</v>
      </c>
      <c r="V8" s="744">
        <f>V7</f>
        <v>0.03</v>
      </c>
      <c r="W8" s="744">
        <f>W7</f>
        <v>0.1</v>
      </c>
      <c r="X8" s="1170"/>
      <c r="Y8" s="745">
        <f>Y7</f>
        <v>0.98</v>
      </c>
      <c r="Z8" s="76"/>
      <c r="AA8" s="69"/>
      <c r="AB8" s="69"/>
      <c r="AC8" s="1170"/>
      <c r="AD8" s="77"/>
      <c r="AE8" s="1171">
        <f t="shared" ca="1" si="6"/>
        <v>33.840000000000003</v>
      </c>
      <c r="AF8" s="1501"/>
      <c r="AG8" s="142">
        <f t="shared" si="7"/>
        <v>0</v>
      </c>
      <c r="AH8" s="746"/>
      <c r="AI8" s="80">
        <v>365</v>
      </c>
      <c r="AJ8" s="81"/>
      <c r="AK8" s="747">
        <f>AK6</f>
        <v>1.4999999999999999E-2</v>
      </c>
      <c r="AL8" s="748">
        <v>1E-3</v>
      </c>
      <c r="AM8" s="749">
        <f>AM6</f>
        <v>1.4999999999999999E-2</v>
      </c>
      <c r="AN8" s="1870" t="s">
        <v>3234</v>
      </c>
      <c r="AO8" s="54">
        <f t="shared" ca="1" si="8"/>
        <v>1586</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3.8">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3.8">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3.8">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3.8">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3.8">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4">
      <c r="A14" s="1872" t="s">
        <v>1828</v>
      </c>
      <c r="B14" s="1868" t="s">
        <v>1829</v>
      </c>
      <c r="C14" s="1873" t="s">
        <v>1828</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8.8">
      <c r="A15" s="1872" t="s">
        <v>1830</v>
      </c>
      <c r="B15" s="1868" t="s">
        <v>1829</v>
      </c>
      <c r="C15" s="1873" t="s">
        <v>1831</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 thickBot="1">
      <c r="A16" s="1874" t="s">
        <v>1832</v>
      </c>
      <c r="B16" s="92"/>
      <c r="C16" s="941"/>
      <c r="D16" s="1875"/>
      <c r="E16" s="92"/>
      <c r="F16" s="92"/>
      <c r="G16" s="93">
        <f>ROUND(SUMPRODUCT(G6:G13,K6:K13)/SUMPRODUCT((G6:G13&gt;0)*(K6:K13)),3)</f>
        <v>0.94199999999999995</v>
      </c>
      <c r="H16" s="94">
        <f>ROUND(SUMPRODUCT(H6:H13,K6:K13)/SUMPRODUCT((H6:H13&gt;0)*(K6:K13)),3)</f>
        <v>0.05</v>
      </c>
      <c r="I16" s="95"/>
      <c r="J16" s="95"/>
      <c r="K16" s="96">
        <f>SUM(K6:K15)</f>
        <v>17650.91</v>
      </c>
      <c r="L16" s="97">
        <f>ROUND(M16*10000/SUM(K6:K14),0)</f>
        <v>3000</v>
      </c>
      <c r="M16" s="97">
        <f>SUM(M6:M14)</f>
        <v>5296</v>
      </c>
      <c r="N16" s="98">
        <f>ROUND(SUMPRODUCT(M6:M14,N6:N14)/M16,3)</f>
        <v>0.98</v>
      </c>
      <c r="O16" s="97">
        <f>SUM(O6:O14)</f>
        <v>0</v>
      </c>
      <c r="P16" s="97">
        <f>SUM(P6:P14)</f>
        <v>0</v>
      </c>
      <c r="Q16" s="99">
        <f>ROUND(SUMPRODUCT(Q6:Q13,K6:K13)/SUMPRODUCT((Q6:Q13&gt;0)*(K6:K13)),2)</f>
        <v>0.2</v>
      </c>
      <c r="R16" s="1164">
        <f ca="1">SUM(R6:R13)</f>
        <v>6303.9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3" t="s">
        <v>1833</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4">
      <c r="A19" s="1877" t="s">
        <v>1834</v>
      </c>
      <c r="B19" s="107">
        <v>0</v>
      </c>
      <c r="C19" s="2997" t="s">
        <v>2981</v>
      </c>
      <c r="D19" s="2872"/>
      <c r="E19" s="2869"/>
      <c r="F19" s="2869"/>
      <c r="G19" s="2869"/>
      <c r="H19" s="2869"/>
      <c r="I19" s="2869"/>
      <c r="J19" s="2869"/>
      <c r="K19" s="2868"/>
      <c r="L19" s="2868"/>
      <c r="M19" s="2867"/>
      <c r="N19" s="2867">
        <f>59/60</f>
        <v>0.98333333333333328</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4">
      <c r="A20" s="1878" t="s">
        <v>1835</v>
      </c>
      <c r="B20" s="108">
        <v>2</v>
      </c>
      <c r="C20" s="2998" t="s">
        <v>2979</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4">
      <c r="A21" s="1879" t="s">
        <v>1836</v>
      </c>
      <c r="B21" s="108">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4">
      <c r="A22" s="1878" t="s">
        <v>1837</v>
      </c>
      <c r="B22" s="109">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4">
      <c r="A23" s="1879" t="s">
        <v>1838</v>
      </c>
      <c r="B23" s="109">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1839</v>
      </c>
      <c r="B24" s="110">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4.4" thickBot="1">
      <c r="A25" s="1711"/>
      <c r="B25" s="1842"/>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1840</v>
      </c>
      <c r="B26" s="1881" t="s">
        <v>1841</v>
      </c>
      <c r="C26" s="2873" t="s">
        <v>1842</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8.8">
      <c r="A27" s="1882" t="s">
        <v>1843</v>
      </c>
      <c r="B27" s="111">
        <v>160</v>
      </c>
      <c r="C27" s="2999" t="s">
        <v>2983</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8.8">
      <c r="A28" s="1884" t="s">
        <v>1844</v>
      </c>
      <c r="B28" s="114">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9.4" thickBot="1">
      <c r="A29" s="1885" t="s">
        <v>1845</v>
      </c>
      <c r="B29" s="116">
        <f ca="1">成本法!C10</f>
        <v>292</v>
      </c>
      <c r="C29" s="3000" t="s">
        <v>2970</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8.8">
      <c r="A30" s="1886" t="s">
        <v>1846</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8.8">
      <c r="A31" s="1884" t="s">
        <v>1847</v>
      </c>
      <c r="B31" s="115">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9.4" thickBot="1">
      <c r="A32" s="1887" t="s">
        <v>1848</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4">
      <c r="A33" s="1882" t="s">
        <v>1849</v>
      </c>
      <c r="B33" s="681">
        <v>0.03</v>
      </c>
      <c r="C33" s="3001" t="s">
        <v>2971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4">
      <c r="A34" s="1884" t="s">
        <v>1850</v>
      </c>
      <c r="B34" s="117">
        <v>0</v>
      </c>
      <c r="C34" s="3001" t="s">
        <v>2972</v>
      </c>
      <c r="D34" s="2880" t="s">
        <v>2980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4">
      <c r="A35" s="1884" t="s">
        <v>1851</v>
      </c>
      <c r="B35" s="114">
        <v>200</v>
      </c>
      <c r="C35" s="3001" t="s">
        <v>2973</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1852</v>
      </c>
      <c r="B36" s="118">
        <v>1.4999999999999999E-2</v>
      </c>
      <c r="C36" s="3001" t="s">
        <v>2974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4">
      <c r="A37" s="1886" t="s">
        <v>1853</v>
      </c>
      <c r="B37" s="119">
        <v>0.02</v>
      </c>
      <c r="C37" s="3001" t="s">
        <v>2975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4">
      <c r="A38" s="1884" t="s">
        <v>1854</v>
      </c>
      <c r="B38" s="117">
        <v>0.02</v>
      </c>
      <c r="C38" s="3001" t="s">
        <v>2975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4">
      <c r="A39" s="1887" t="s">
        <v>1855</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8.2" thickBot="1">
      <c r="A40" s="3013" t="s">
        <v>3182</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4">
      <c r="A41" s="1882" t="s">
        <v>1856</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4">
      <c r="A42" s="1888" t="s">
        <v>1857</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4">
      <c r="A43" s="1888" t="s">
        <v>1858</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4">
      <c r="A44" s="1889" t="s">
        <v>1859</v>
      </c>
      <c r="B44" s="123">
        <v>7.0000000000000007E-2</v>
      </c>
      <c r="C44" s="3001" t="s">
        <v>2984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4">
      <c r="A45" s="1889" t="s">
        <v>1860</v>
      </c>
      <c r="B45" s="121">
        <v>0.03</v>
      </c>
      <c r="C45" s="3000" t="s">
        <v>2976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4">
      <c r="A46" s="1889" t="s">
        <v>1861</v>
      </c>
      <c r="B46" s="121">
        <v>0.02</v>
      </c>
      <c r="C46" s="3000" t="s">
        <v>2977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1862</v>
      </c>
      <c r="B47" s="124"/>
      <c r="C47" s="3003" t="s">
        <v>2985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4">
      <c r="A48" s="1891" t="s">
        <v>1863</v>
      </c>
      <c r="B48" s="125">
        <v>0.03</v>
      </c>
      <c r="C48" s="3000" t="s">
        <v>2976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1864</v>
      </c>
      <c r="B49" s="121">
        <v>5.0000000000000001E-4</v>
      </c>
      <c r="C49" s="3000" t="s">
        <v>2978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4">
      <c r="A50" s="1892" t="s">
        <v>1865</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1866</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4">
      <c r="A52" s="1892" t="s">
        <v>1867</v>
      </c>
      <c r="B52" s="128">
        <f>SUMIF(A54:A63,B53,B54:B63)</f>
        <v>3</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8">
      <c r="A53" s="1884" t="s">
        <v>1868</v>
      </c>
      <c r="B53" s="1893" t="s">
        <v>523</v>
      </c>
      <c r="C53" s="2855" t="s">
        <v>1869</v>
      </c>
      <c r="D53" s="3002" t="s">
        <v>2982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4">
      <c r="A54" s="1894" t="s">
        <v>1870</v>
      </c>
      <c r="B54" s="79"/>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4">
      <c r="A55" s="1894" t="s">
        <v>1871</v>
      </c>
      <c r="B55" s="79"/>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4">
      <c r="A56" s="1894" t="s">
        <v>1872</v>
      </c>
      <c r="B56" s="79"/>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4">
      <c r="A57" s="1894" t="s">
        <v>1873</v>
      </c>
      <c r="B57" s="79"/>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4">
      <c r="A58" s="1894" t="s">
        <v>1874</v>
      </c>
      <c r="B58" s="79">
        <v>3</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4">
      <c r="A59" s="1894" t="s">
        <v>1875</v>
      </c>
      <c r="B59" s="79"/>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4">
      <c r="A60" s="1894" t="s">
        <v>1876</v>
      </c>
      <c r="B60" s="79"/>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4">
      <c r="A61" s="1894" t="s">
        <v>1877</v>
      </c>
      <c r="B61" s="79"/>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4">
      <c r="A62" s="1894" t="s">
        <v>1878</v>
      </c>
      <c r="B62" s="79"/>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1879</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3.8"/>
  <cols>
    <col min="1" max="1" width="9.44140625" style="1841" customWidth="1"/>
    <col min="2" max="2" width="24.44140625" style="1726" customWidth="1"/>
    <col min="3" max="3" width="24.44140625" style="2703" customWidth="1"/>
    <col min="4" max="4" width="2.6640625" style="2703" customWidth="1"/>
    <col min="5" max="5" width="5.88671875" style="2703" customWidth="1"/>
    <col min="6" max="6" width="27" style="1726" customWidth="1"/>
    <col min="7" max="7" width="27" style="2704" customWidth="1"/>
    <col min="8" max="8" width="11.88671875" style="2684" customWidth="1"/>
    <col min="9" max="9" width="16.77734375" style="2685" customWidth="1"/>
    <col min="10" max="10" width="2.6640625" style="2684" customWidth="1"/>
    <col min="11" max="11" width="11.88671875" style="2684" customWidth="1"/>
    <col min="12" max="12" width="16.77734375" style="2685" customWidth="1"/>
    <col min="13" max="13" width="2.6640625" style="2684" customWidth="1"/>
    <col min="14" max="14" width="11.88671875" style="2684" customWidth="1"/>
    <col min="15" max="15" width="16.77734375" style="2685" customWidth="1"/>
    <col min="16" max="16" width="2.6640625" style="2684" customWidth="1"/>
    <col min="17" max="17" width="11.88671875" style="2684" customWidth="1"/>
    <col min="18" max="18" width="16.77734375" style="2686" customWidth="1"/>
    <col min="19" max="29" width="9" style="906"/>
    <col min="30" max="16384" width="9" style="1841"/>
  </cols>
  <sheetData>
    <row r="1" spans="1:29" s="2652" customFormat="1" ht="18" thickBot="1">
      <c r="A1" s="3386" t="s">
        <v>2962</v>
      </c>
      <c r="B1" s="3387"/>
      <c r="C1" s="3387"/>
      <c r="D1" s="3387"/>
      <c r="E1" s="3387"/>
      <c r="F1" s="3387"/>
      <c r="G1" s="338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2957</v>
      </c>
      <c r="D2" s="2656"/>
      <c r="E2" s="2653"/>
      <c r="F2" s="2657"/>
      <c r="G2" s="2655" t="s">
        <v>2958</v>
      </c>
      <c r="H2" s="906"/>
      <c r="I2" s="906"/>
      <c r="J2" s="906"/>
      <c r="K2" s="906"/>
      <c r="L2" s="906"/>
      <c r="M2" s="906"/>
      <c r="N2" s="906"/>
      <c r="O2" s="906"/>
      <c r="P2" s="906"/>
      <c r="Q2" s="906"/>
      <c r="R2" s="906"/>
    </row>
    <row r="3" spans="1:29" ht="48">
      <c r="A3" s="2636" t="s">
        <v>2959</v>
      </c>
      <c r="B3" s="2658" t="s">
        <v>2931</v>
      </c>
      <c r="C3" s="2659" t="s">
        <v>2960</v>
      </c>
      <c r="D3" s="2660"/>
      <c r="E3" s="2637" t="s">
        <v>2959</v>
      </c>
      <c r="F3" s="2661" t="s">
        <v>2932</v>
      </c>
      <c r="G3" s="2662" t="s">
        <v>2961</v>
      </c>
      <c r="H3" s="906"/>
      <c r="I3" s="906"/>
      <c r="J3" s="906"/>
      <c r="K3" s="906"/>
      <c r="L3" s="906"/>
      <c r="M3" s="906"/>
      <c r="N3" s="906"/>
      <c r="O3" s="906"/>
      <c r="P3" s="906"/>
      <c r="Q3" s="906"/>
      <c r="R3" s="906"/>
    </row>
    <row r="4" spans="1:29" ht="36">
      <c r="A4" s="2637"/>
      <c r="B4" s="328" t="s">
        <v>2933</v>
      </c>
      <c r="C4" s="3212" t="s">
        <v>3183</v>
      </c>
      <c r="D4" s="2660"/>
      <c r="E4" s="2663"/>
      <c r="F4" s="1526" t="s">
        <v>2934</v>
      </c>
      <c r="G4" s="2664" t="s">
        <v>2935</v>
      </c>
      <c r="H4" s="906"/>
      <c r="I4" s="906"/>
      <c r="J4" s="906"/>
      <c r="K4" s="906"/>
      <c r="L4" s="906"/>
      <c r="M4" s="906"/>
      <c r="N4" s="906"/>
      <c r="O4" s="906"/>
      <c r="P4" s="906"/>
      <c r="Q4" s="906"/>
      <c r="R4" s="906"/>
    </row>
    <row r="5" spans="1:29" ht="24">
      <c r="A5" s="2637"/>
      <c r="B5" s="328" t="s">
        <v>2936</v>
      </c>
      <c r="C5" s="3212" t="s">
        <v>3183</v>
      </c>
      <c r="D5" s="2660"/>
      <c r="E5" s="2663"/>
      <c r="F5" s="328" t="s">
        <v>2937</v>
      </c>
      <c r="G5" s="2664" t="s">
        <v>2938</v>
      </c>
      <c r="H5" s="906"/>
      <c r="I5" s="906"/>
      <c r="J5" s="906"/>
      <c r="K5" s="906"/>
      <c r="L5" s="906"/>
      <c r="M5" s="906"/>
      <c r="N5" s="906"/>
      <c r="O5" s="906"/>
      <c r="P5" s="906"/>
      <c r="Q5" s="906"/>
      <c r="R5" s="906"/>
    </row>
    <row r="6" spans="1:29" ht="24">
      <c r="A6" s="2637"/>
      <c r="B6" s="328" t="s">
        <v>2939</v>
      </c>
      <c r="C6" s="3213" t="s">
        <v>3184</v>
      </c>
      <c r="D6" s="2660"/>
      <c r="E6" s="2663"/>
      <c r="F6" s="328" t="s">
        <v>2940</v>
      </c>
      <c r="G6" s="2664" t="s">
        <v>2941</v>
      </c>
      <c r="H6" s="906"/>
      <c r="I6" s="906"/>
      <c r="J6" s="906"/>
      <c r="K6" s="906"/>
      <c r="L6" s="906"/>
      <c r="M6" s="906"/>
      <c r="N6" s="906"/>
      <c r="O6" s="906"/>
      <c r="P6" s="906"/>
      <c r="Q6" s="906"/>
      <c r="R6" s="906"/>
    </row>
    <row r="7" spans="1:29" ht="36.6" thickBot="1">
      <c r="A7" s="2637"/>
      <c r="B7" s="328" t="s">
        <v>2937</v>
      </c>
      <c r="C7" s="3213" t="s">
        <v>3185</v>
      </c>
      <c r="D7" s="2665"/>
      <c r="E7" s="2666"/>
      <c r="F7" s="2667" t="s">
        <v>2942</v>
      </c>
      <c r="G7" s="2668" t="s">
        <v>2943</v>
      </c>
      <c r="H7" s="906"/>
      <c r="I7" s="906"/>
      <c r="J7" s="906"/>
      <c r="K7" s="906"/>
      <c r="L7" s="906"/>
      <c r="M7" s="906"/>
      <c r="N7" s="906"/>
      <c r="O7" s="906"/>
      <c r="P7" s="906"/>
      <c r="Q7" s="906"/>
      <c r="R7" s="906"/>
    </row>
    <row r="8" spans="1:29" ht="14.4">
      <c r="A8" s="2637"/>
      <c r="B8" s="328" t="s">
        <v>2940</v>
      </c>
      <c r="C8" s="3213" t="s">
        <v>3186</v>
      </c>
      <c r="D8" s="2665"/>
      <c r="E8" s="2665"/>
      <c r="F8" s="2669"/>
      <c r="G8" s="2669"/>
      <c r="H8" s="906"/>
      <c r="I8" s="906"/>
      <c r="J8" s="906"/>
      <c r="K8" s="906"/>
      <c r="L8" s="906"/>
      <c r="M8" s="906"/>
      <c r="N8" s="906"/>
      <c r="O8" s="906"/>
      <c r="P8" s="906"/>
      <c r="Q8" s="906"/>
      <c r="R8" s="906"/>
    </row>
    <row r="9" spans="1:29" ht="14.4">
      <c r="A9" s="2637"/>
      <c r="B9" s="328" t="s">
        <v>2944</v>
      </c>
      <c r="C9" s="3212" t="s">
        <v>3183</v>
      </c>
      <c r="D9" s="2660"/>
      <c r="E9" s="2665"/>
      <c r="F9" s="2669"/>
      <c r="G9" s="2669"/>
      <c r="H9" s="906"/>
      <c r="I9" s="906"/>
      <c r="J9" s="906"/>
      <c r="K9" s="906"/>
      <c r="L9" s="906"/>
      <c r="M9" s="906"/>
      <c r="N9" s="906"/>
      <c r="O9" s="906"/>
      <c r="P9" s="906"/>
      <c r="Q9" s="906"/>
      <c r="R9" s="906"/>
    </row>
    <row r="10" spans="1:29" s="2674" customFormat="1" ht="15" thickBot="1">
      <c r="A10" s="2638"/>
      <c r="B10" s="2670" t="s">
        <v>2945</v>
      </c>
      <c r="C10" s="3214" t="s">
        <v>3187</v>
      </c>
      <c r="D10" s="2660"/>
      <c r="E10" s="2660"/>
      <c r="F10" s="2669"/>
      <c r="G10" s="2669"/>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2" customFormat="1" ht="17.399999999999999">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 thickBot="1">
      <c r="A13" s="2683" t="s">
        <v>2963</v>
      </c>
      <c r="B13" s="2677"/>
      <c r="C13" s="2677"/>
      <c r="D13" s="2675"/>
      <c r="E13" s="2677"/>
      <c r="F13" s="2677"/>
      <c r="G13" s="2677"/>
    </row>
    <row r="14" spans="1:29" ht="14.4" thickBot="1">
      <c r="A14" s="2687"/>
      <c r="B14" s="2687"/>
      <c r="C14" s="2688" t="s">
        <v>2946</v>
      </c>
      <c r="D14" s="2660"/>
      <c r="E14" s="2689"/>
      <c r="F14" s="2689"/>
      <c r="G14" s="2655" t="s">
        <v>2947</v>
      </c>
    </row>
    <row r="15" spans="1:29" ht="52.8">
      <c r="A15" s="2639" t="s">
        <v>2948</v>
      </c>
      <c r="B15" s="2690" t="s">
        <v>2931</v>
      </c>
      <c r="C15" s="2691" t="str">
        <f>C3</f>
        <v>估价对象周边居住用地比例、居住小区规模和社区发展完善程度，综合评价居住社区成熟度一般</v>
      </c>
      <c r="D15" s="2660"/>
      <c r="E15" s="2640" t="s">
        <v>2949</v>
      </c>
      <c r="F15" s="2690" t="s">
        <v>2950</v>
      </c>
      <c r="G15" s="2692" t="str">
        <f>G3</f>
        <v>估价对象位于XX开发区，园区建设成熟度XX，产业集聚程度XX</v>
      </c>
    </row>
    <row r="16" spans="1:29" ht="39.6">
      <c r="A16" s="2641"/>
      <c r="B16" s="2693" t="s">
        <v>2933</v>
      </c>
      <c r="C16" s="2694" t="str">
        <f>C4</f>
        <v>一般</v>
      </c>
      <c r="D16" s="2660"/>
      <c r="E16" s="2642"/>
      <c r="F16" s="2695" t="s">
        <v>2934</v>
      </c>
      <c r="G16" s="2696" t="str">
        <f>G4</f>
        <v>估价对象周边道路状况、公共交通通达情况、停车便捷程度，综合评价交通便捷度较好</v>
      </c>
    </row>
    <row r="17" spans="1:18">
      <c r="A17" s="2641"/>
      <c r="B17" s="2693" t="s">
        <v>2936</v>
      </c>
      <c r="C17" s="2694" t="str">
        <f>C5</f>
        <v>一般</v>
      </c>
      <c r="D17" s="2665"/>
      <c r="E17" s="2642"/>
      <c r="F17" s="2695" t="s">
        <v>2951</v>
      </c>
      <c r="G17" s="2697"/>
    </row>
    <row r="18" spans="1:18" ht="39.6">
      <c r="A18" s="2641"/>
      <c r="B18" s="2695" t="s">
        <v>2939</v>
      </c>
      <c r="C18" s="2696" t="str">
        <f>C6</f>
        <v>好</v>
      </c>
      <c r="D18" s="2665"/>
      <c r="E18" s="2642"/>
      <c r="F18" s="2695" t="s">
        <v>2942</v>
      </c>
      <c r="G18" s="2696" t="str">
        <f>G7</f>
        <v>该园区内是否有污染型企业，绿化情况，卫生条件，整体环境状况判断</v>
      </c>
    </row>
    <row r="19" spans="1:18" ht="26.4">
      <c r="A19" s="2641"/>
      <c r="B19" s="2695" t="s">
        <v>2952</v>
      </c>
      <c r="C19" s="2697"/>
      <c r="D19" s="2660"/>
      <c r="E19" s="2642"/>
      <c r="F19" s="328" t="s">
        <v>2937</v>
      </c>
      <c r="G19" s="2696" t="str">
        <f>G5</f>
        <v>估价对象所在区域公共配套设施齐备情况</v>
      </c>
    </row>
    <row r="20" spans="1:18" ht="26.4">
      <c r="A20" s="2641"/>
      <c r="B20" s="2695" t="s">
        <v>2953</v>
      </c>
      <c r="C20" s="2694" t="str">
        <f>C9</f>
        <v>一般</v>
      </c>
      <c r="D20" s="2665"/>
      <c r="E20" s="2642"/>
      <c r="F20" s="328" t="s">
        <v>2940</v>
      </c>
      <c r="G20" s="2696" t="str">
        <f>G6</f>
        <v>估价对象所在区域基础设施水平</v>
      </c>
    </row>
    <row r="21" spans="1:18">
      <c r="A21" s="2641"/>
      <c r="B21" s="328" t="s">
        <v>2937</v>
      </c>
      <c r="C21" s="2696" t="str">
        <f>C7</f>
        <v>较好</v>
      </c>
      <c r="D21" s="2660"/>
      <c r="E21" s="2642"/>
      <c r="F21" s="2695" t="s">
        <v>2954</v>
      </c>
      <c r="G21" s="2698"/>
    </row>
    <row r="22" spans="1:18" ht="13.5" customHeight="1">
      <c r="A22" s="2641"/>
      <c r="B22" s="328" t="s">
        <v>2940</v>
      </c>
      <c r="C22" s="2696" t="str">
        <f>C8</f>
        <v>七通</v>
      </c>
      <c r="D22" s="2660"/>
      <c r="E22" s="2642"/>
      <c r="F22" s="2695" t="s">
        <v>2945</v>
      </c>
      <c r="G22" s="2697"/>
    </row>
    <row r="23" spans="1:18" s="906" customFormat="1" ht="14.4" thickBot="1">
      <c r="A23" s="2641"/>
      <c r="B23" s="2695" t="s">
        <v>2954</v>
      </c>
      <c r="C23" s="2698"/>
      <c r="D23" s="1896"/>
      <c r="E23" s="2643"/>
      <c r="F23" s="2699" t="s">
        <v>2955</v>
      </c>
      <c r="G23" s="2700"/>
      <c r="H23" s="2684"/>
      <c r="I23" s="2685"/>
      <c r="J23" s="2684"/>
      <c r="K23" s="2684"/>
      <c r="L23" s="2685"/>
      <c r="M23" s="2684"/>
      <c r="N23" s="2684"/>
      <c r="O23" s="2685"/>
      <c r="P23" s="2684"/>
      <c r="Q23" s="2684"/>
      <c r="R23" s="2686"/>
    </row>
    <row r="24" spans="1:18" s="906" customFormat="1" ht="14.4" thickBot="1">
      <c r="A24" s="2644"/>
      <c r="B24" s="2699" t="s">
        <v>2956</v>
      </c>
      <c r="C24" s="2701" t="str">
        <f>C10</f>
        <v>主干道</v>
      </c>
      <c r="D24" s="1896"/>
      <c r="E24" s="2634"/>
      <c r="F24" s="2634"/>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4.4"/>
  <cols>
    <col min="1" max="1" width="25" style="2706" customWidth="1"/>
    <col min="2" max="9" width="15.77734375" style="2706" customWidth="1"/>
    <col min="10" max="16384" width="9" style="2706"/>
  </cols>
  <sheetData>
    <row r="1" spans="1:11" ht="16.2">
      <c r="A1" s="2705" t="s">
        <v>1268</v>
      </c>
      <c r="B1" s="2705">
        <f>SUM(B14:B23)</f>
        <v>17650.91</v>
      </c>
      <c r="C1" s="2882"/>
      <c r="D1" s="2882"/>
      <c r="E1" s="2882"/>
      <c r="F1" s="2882"/>
      <c r="G1" s="2883"/>
      <c r="H1" s="2884"/>
      <c r="I1" s="2884"/>
      <c r="J1" s="2884"/>
      <c r="K1" s="2884"/>
    </row>
    <row r="2" spans="1:11" ht="16.2">
      <c r="A2" s="2705" t="s">
        <v>1256</v>
      </c>
      <c r="B2" s="2705">
        <f>SUM(C14:C23)</f>
        <v>6303.9</v>
      </c>
      <c r="C2" s="2882"/>
      <c r="D2" s="2882"/>
      <c r="E2" s="2882"/>
      <c r="F2" s="2882"/>
      <c r="G2" s="2883"/>
      <c r="H2" s="2884"/>
      <c r="I2" s="2884"/>
      <c r="J2" s="2884"/>
      <c r="K2" s="2884"/>
    </row>
    <row r="3" spans="1:11" ht="15.6">
      <c r="A3" s="2705" t="s">
        <v>1265</v>
      </c>
      <c r="B3" s="2707">
        <f>项目基本情况!D3</f>
        <v>44610</v>
      </c>
      <c r="C3" s="2882"/>
      <c r="D3" s="2882"/>
      <c r="E3" s="2882"/>
      <c r="F3" s="2882"/>
      <c r="G3" s="2883"/>
      <c r="H3" s="2884"/>
      <c r="I3" s="2884"/>
      <c r="J3" s="2884"/>
      <c r="K3" s="2884"/>
    </row>
    <row r="4" spans="1:11" ht="31.2">
      <c r="A4" s="2705" t="s">
        <v>1264</v>
      </c>
      <c r="B4" s="2705" t="s">
        <v>1263</v>
      </c>
      <c r="C4" s="2705" t="s">
        <v>1262</v>
      </c>
      <c r="D4" s="2705" t="s">
        <v>1261</v>
      </c>
      <c r="E4" s="2882"/>
      <c r="F4" s="2883"/>
      <c r="G4" s="2883"/>
      <c r="H4" s="2884"/>
      <c r="I4" s="2884"/>
      <c r="J4" s="2884"/>
      <c r="K4" s="2884"/>
    </row>
    <row r="5" spans="1:11" ht="15.6">
      <c r="A5" s="2705" t="s">
        <v>1260</v>
      </c>
      <c r="B5" s="2705">
        <f ca="1">SUM(D14:D23)</f>
        <v>45284</v>
      </c>
      <c r="C5" s="2705">
        <f ca="1">ROUND(B5*10000/$B$1,0)</f>
        <v>25655</v>
      </c>
      <c r="D5" s="2705">
        <f ca="1">ROUND(B5*10000/$B$2,0)</f>
        <v>71835</v>
      </c>
      <c r="E5" s="2882"/>
      <c r="F5" s="2883"/>
      <c r="G5" s="2883"/>
      <c r="H5" s="2884"/>
      <c r="I5" s="2884"/>
      <c r="J5" s="2884"/>
      <c r="K5" s="2884"/>
    </row>
    <row r="6" spans="1:11" ht="15.6">
      <c r="A6" s="2705" t="s">
        <v>1259</v>
      </c>
      <c r="B6" s="2705">
        <f ca="1">SUM(G14:G23)</f>
        <v>45284</v>
      </c>
      <c r="C6" s="2705">
        <f ca="1">ROUND(B6*10000/$B$1,0)</f>
        <v>25655</v>
      </c>
      <c r="D6" s="2705">
        <f ca="1">ROUND(B6*10000/$B$2,0)</f>
        <v>71835</v>
      </c>
      <c r="E6" s="2882"/>
      <c r="F6" s="2883"/>
      <c r="G6" s="2883"/>
      <c r="H6" s="2884"/>
      <c r="I6" s="2884"/>
      <c r="J6" s="2884"/>
      <c r="K6" s="2884"/>
    </row>
    <row r="7" spans="1:11" ht="15.6">
      <c r="A7" s="2705" t="s">
        <v>1267</v>
      </c>
      <c r="B7" s="2705">
        <f>SUM(H14:H23)</f>
        <v>0</v>
      </c>
      <c r="C7" s="2705">
        <f>ROUND(B7*10000/$B$1,0)</f>
        <v>0</v>
      </c>
      <c r="D7" s="2705">
        <f>ROUND(B7*10000/$B$2,0)</f>
        <v>0</v>
      </c>
      <c r="E7" s="2882"/>
      <c r="F7" s="2883"/>
      <c r="G7" s="2883"/>
      <c r="H7" s="2884"/>
      <c r="I7" s="2884"/>
      <c r="J7" s="2884"/>
      <c r="K7" s="2884"/>
    </row>
    <row r="8" spans="1:11" ht="15.6">
      <c r="A8" s="2705" t="s">
        <v>1193</v>
      </c>
      <c r="B8" s="2705">
        <f>SUM(I14:I23)</f>
        <v>0</v>
      </c>
      <c r="C8" s="2705">
        <f>ROUND(B8*10000/$B$1,0)</f>
        <v>0</v>
      </c>
      <c r="D8" s="2705">
        <f>ROUND(B8*10000/$B$2,0)</f>
        <v>0</v>
      </c>
      <c r="E8" s="2882"/>
      <c r="F8" s="2883"/>
      <c r="G8" s="2883"/>
      <c r="H8" s="2884"/>
      <c r="I8" s="2884"/>
      <c r="J8" s="2884"/>
      <c r="K8" s="2884"/>
    </row>
    <row r="9" spans="1:11" ht="15.6">
      <c r="A9" s="2705" t="s">
        <v>1258</v>
      </c>
      <c r="B9" s="2713"/>
      <c r="C9" s="2882"/>
      <c r="D9" s="2882"/>
      <c r="E9" s="2882"/>
      <c r="F9" s="2883"/>
      <c r="G9" s="2883"/>
      <c r="H9" s="2884"/>
      <c r="I9" s="2884"/>
      <c r="J9" s="2884"/>
      <c r="K9" s="2884"/>
    </row>
    <row r="10" spans="1:11" ht="15.6">
      <c r="A10" s="2705" t="s">
        <v>1257</v>
      </c>
      <c r="B10" s="2713"/>
      <c r="C10" s="2882"/>
      <c r="D10" s="2882"/>
      <c r="E10" s="2882"/>
      <c r="F10" s="2883"/>
      <c r="G10" s="2883"/>
      <c r="H10" s="2884"/>
      <c r="I10" s="2884"/>
      <c r="J10" s="2884"/>
      <c r="K10" s="2884"/>
    </row>
    <row r="11" spans="1:11" ht="15.6">
      <c r="A11" s="2705" t="s">
        <v>1273</v>
      </c>
      <c r="B11" s="2713"/>
      <c r="C11" s="2882"/>
      <c r="D11" s="2882"/>
      <c r="E11" s="2882"/>
      <c r="F11" s="2883"/>
      <c r="G11" s="2883"/>
      <c r="H11" s="2884"/>
      <c r="I11" s="2884"/>
      <c r="J11" s="2884"/>
      <c r="K11" s="2884"/>
    </row>
    <row r="12" spans="1:11" ht="15.6">
      <c r="A12" s="2882"/>
      <c r="B12" s="2882"/>
      <c r="C12" s="2882"/>
      <c r="D12" s="2882"/>
      <c r="E12" s="2882"/>
      <c r="F12" s="2883"/>
      <c r="G12" s="2883"/>
      <c r="H12" s="2884"/>
      <c r="I12" s="2884"/>
      <c r="J12" s="2884"/>
      <c r="K12" s="2884"/>
    </row>
    <row r="13" spans="1:11" ht="31.8">
      <c r="A13" s="2708" t="s">
        <v>1272</v>
      </c>
      <c r="B13" s="2709" t="s">
        <v>1269</v>
      </c>
      <c r="C13" s="2709" t="s">
        <v>1271</v>
      </c>
      <c r="D13" s="2709" t="s">
        <v>1270</v>
      </c>
      <c r="E13" s="2705" t="s">
        <v>1262</v>
      </c>
      <c r="F13" s="2705" t="s">
        <v>1261</v>
      </c>
      <c r="G13" s="2709" t="s">
        <v>1255</v>
      </c>
      <c r="H13" s="2709" t="s">
        <v>1266</v>
      </c>
      <c r="I13" s="2709" t="s">
        <v>1254</v>
      </c>
      <c r="J13" s="2883"/>
      <c r="K13" s="2884"/>
    </row>
    <row r="14" spans="1:11" ht="15.6">
      <c r="A14" s="2710" t="s">
        <v>3241</v>
      </c>
      <c r="B14" s="2711">
        <f>结果表!B118</f>
        <v>14586.08</v>
      </c>
      <c r="C14" s="2711">
        <f>结果表!C118</f>
        <v>5209.32</v>
      </c>
      <c r="D14" s="2711">
        <f ca="1">结果表!H118</f>
        <v>34390</v>
      </c>
      <c r="E14" s="2711">
        <f ca="1">ROUND(D14*10000/B14,0)</f>
        <v>23577</v>
      </c>
      <c r="F14" s="2711">
        <f ca="1">ROUND(D14*10000/C14,0)</f>
        <v>66016</v>
      </c>
      <c r="G14" s="2711">
        <f ca="1">结果表!D122</f>
        <v>34390</v>
      </c>
      <c r="H14" s="2711" t="str">
        <f>结果表!D124</f>
        <v>——</v>
      </c>
      <c r="I14" s="2711" t="str">
        <f>结果表!D126</f>
        <v>——</v>
      </c>
      <c r="J14" s="2883"/>
      <c r="K14" s="2884"/>
    </row>
    <row r="15" spans="1:11" ht="15.6">
      <c r="A15" s="2710" t="s">
        <v>3242</v>
      </c>
      <c r="B15" s="2712">
        <f>'结果表 (2)'!B118</f>
        <v>2542.8199999999997</v>
      </c>
      <c r="C15" s="2712">
        <f>'结果表 (2)'!C118</f>
        <v>908.15</v>
      </c>
      <c r="D15" s="2712">
        <f ca="1">'结果表 (2)'!H118</f>
        <v>9050</v>
      </c>
      <c r="E15" s="2711">
        <f t="shared" ref="E15:E23" ca="1" si="0">ROUND(D15*10000/B15,0)</f>
        <v>35590</v>
      </c>
      <c r="F15" s="2711">
        <f t="shared" ref="F15:F23" ca="1" si="1">ROUND(D15*10000/C15,0)</f>
        <v>99653</v>
      </c>
      <c r="G15" s="1470">
        <f ca="1">D15</f>
        <v>9050</v>
      </c>
      <c r="H15" s="1470"/>
      <c r="I15" s="2712"/>
      <c r="J15" s="2883"/>
      <c r="K15" s="2884"/>
    </row>
    <row r="16" spans="1:11" ht="15.6">
      <c r="A16" s="2710" t="s">
        <v>3243</v>
      </c>
      <c r="B16" s="2712">
        <f>'结果表 (3)'!B118</f>
        <v>522.01</v>
      </c>
      <c r="C16" s="2712">
        <f>'结果表 (3)'!C118</f>
        <v>186.43</v>
      </c>
      <c r="D16" s="2712">
        <f ca="1">'结果表 (3)'!H118</f>
        <v>1844</v>
      </c>
      <c r="E16" s="2711">
        <f t="shared" ca="1" si="0"/>
        <v>35325</v>
      </c>
      <c r="F16" s="2711">
        <f t="shared" ca="1" si="1"/>
        <v>98911</v>
      </c>
      <c r="G16" s="1470">
        <f ca="1">D16</f>
        <v>1844</v>
      </c>
      <c r="H16" s="1470"/>
      <c r="I16" s="2712"/>
      <c r="J16" s="2884"/>
      <c r="K16" s="2884"/>
    </row>
    <row r="17" spans="1:11" ht="15.6">
      <c r="A17" s="2710" t="s">
        <v>1253</v>
      </c>
      <c r="B17" s="2712"/>
      <c r="C17" s="2712"/>
      <c r="D17" s="2712"/>
      <c r="E17" s="2711" t="e">
        <f t="shared" si="0"/>
        <v>#DIV/0!</v>
      </c>
      <c r="F17" s="2711" t="e">
        <f t="shared" si="1"/>
        <v>#DIV/0!</v>
      </c>
      <c r="G17" s="1470"/>
      <c r="H17" s="1470"/>
      <c r="I17" s="2712"/>
      <c r="J17" s="2884"/>
      <c r="K17" s="2884"/>
    </row>
    <row r="18" spans="1:11" ht="15.6">
      <c r="A18" s="2710" t="s">
        <v>1252</v>
      </c>
      <c r="B18" s="2712"/>
      <c r="C18" s="2712"/>
      <c r="D18" s="2712"/>
      <c r="E18" s="2711" t="e">
        <f t="shared" si="0"/>
        <v>#DIV/0!</v>
      </c>
      <c r="F18" s="2711" t="e">
        <f t="shared" si="1"/>
        <v>#DIV/0!</v>
      </c>
      <c r="G18" s="2712"/>
      <c r="H18" s="2712"/>
      <c r="I18" s="2712"/>
      <c r="J18" s="2884"/>
      <c r="K18" s="2884"/>
    </row>
    <row r="19" spans="1:11" ht="15.6">
      <c r="A19" s="2710" t="s">
        <v>1251</v>
      </c>
      <c r="B19" s="2712"/>
      <c r="C19" s="2712"/>
      <c r="D19" s="2712"/>
      <c r="E19" s="2711" t="e">
        <f t="shared" si="0"/>
        <v>#DIV/0!</v>
      </c>
      <c r="F19" s="2711" t="e">
        <f t="shared" si="1"/>
        <v>#DIV/0!</v>
      </c>
      <c r="G19" s="2712"/>
      <c r="H19" s="2712"/>
      <c r="I19" s="2712"/>
      <c r="J19" s="2884"/>
      <c r="K19" s="2884"/>
    </row>
    <row r="20" spans="1:11" ht="15.6">
      <c r="A20" s="2710" t="s">
        <v>1250</v>
      </c>
      <c r="B20" s="2712"/>
      <c r="C20" s="2712"/>
      <c r="D20" s="2712"/>
      <c r="E20" s="2711" t="e">
        <f t="shared" si="0"/>
        <v>#DIV/0!</v>
      </c>
      <c r="F20" s="2711" t="e">
        <f t="shared" si="1"/>
        <v>#DIV/0!</v>
      </c>
      <c r="G20" s="2712"/>
      <c r="H20" s="2712"/>
      <c r="I20" s="2712"/>
      <c r="J20" s="2884"/>
      <c r="K20" s="2884"/>
    </row>
    <row r="21" spans="1:11" ht="15.6">
      <c r="A21" s="2710" t="s">
        <v>1249</v>
      </c>
      <c r="B21" s="2712"/>
      <c r="C21" s="2712"/>
      <c r="D21" s="2712"/>
      <c r="E21" s="2711" t="e">
        <f t="shared" si="0"/>
        <v>#DIV/0!</v>
      </c>
      <c r="F21" s="2711" t="e">
        <f t="shared" si="1"/>
        <v>#DIV/0!</v>
      </c>
      <c r="G21" s="2712"/>
      <c r="H21" s="2712"/>
      <c r="I21" s="2712"/>
      <c r="J21" s="2884"/>
      <c r="K21" s="2884"/>
    </row>
    <row r="22" spans="1:11" ht="15.6">
      <c r="A22" s="2710" t="s">
        <v>1248</v>
      </c>
      <c r="B22" s="2712"/>
      <c r="C22" s="2712"/>
      <c r="D22" s="2712"/>
      <c r="E22" s="2711" t="e">
        <f t="shared" si="0"/>
        <v>#DIV/0!</v>
      </c>
      <c r="F22" s="2711" t="e">
        <f t="shared" si="1"/>
        <v>#DIV/0!</v>
      </c>
      <c r="G22" s="2712"/>
      <c r="H22" s="2712"/>
      <c r="I22" s="2712"/>
      <c r="J22" s="2884"/>
      <c r="K22" s="2884"/>
    </row>
    <row r="23" spans="1:11" ht="15.6">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288" t="str">
        <f>项目基本情况!B1</f>
        <v>北京市房地产抵押价值预评估</v>
      </c>
      <c r="C37" s="3288"/>
      <c r="D37" s="3288"/>
      <c r="E37" s="3288"/>
      <c r="F37" s="3288"/>
      <c r="G37" s="3288"/>
      <c r="H37" s="3288"/>
      <c r="I37" s="328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c r="B46" s="1628"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abSelected="1" topLeftCell="I1" workbookViewId="0">
      <selection activeCell="N16" sqref="N16"/>
    </sheetView>
  </sheetViews>
  <sheetFormatPr defaultRowHeight="14.4"/>
  <cols>
    <col min="1" max="1" width="21.21875" customWidth="1"/>
    <col min="11" max="11" width="19.6640625" customWidth="1"/>
  </cols>
  <sheetData>
    <row r="1" spans="1:17">
      <c r="A1" s="3240"/>
    </row>
    <row r="2" spans="1:17">
      <c r="A2" s="3521" t="s">
        <v>3261</v>
      </c>
      <c r="B2" s="3521"/>
      <c r="C2" s="3521"/>
      <c r="D2" s="3521"/>
      <c r="E2" s="3521"/>
      <c r="F2" s="3521"/>
      <c r="G2" s="3521"/>
      <c r="H2" s="3521"/>
      <c r="I2" s="3521"/>
    </row>
    <row r="3" spans="1:17">
      <c r="A3" s="3522" t="s">
        <v>3262</v>
      </c>
      <c r="B3" s="3523" t="s">
        <v>3269</v>
      </c>
      <c r="C3" s="3523" t="s">
        <v>3263</v>
      </c>
      <c r="D3" s="3523" t="s">
        <v>3264</v>
      </c>
      <c r="E3" s="3523"/>
      <c r="F3" s="3523" t="s">
        <v>3268</v>
      </c>
      <c r="G3" s="3523"/>
      <c r="H3" s="3522" t="s">
        <v>3265</v>
      </c>
      <c r="I3" s="3522"/>
    </row>
    <row r="4" spans="1:17">
      <c r="A4" s="3522"/>
      <c r="B4" s="3523"/>
      <c r="C4" s="3523"/>
      <c r="D4" s="3278" t="s">
        <v>3266</v>
      </c>
      <c r="E4" s="3278" t="s">
        <v>3267</v>
      </c>
      <c r="F4" s="3278" t="s">
        <v>3266</v>
      </c>
      <c r="G4" s="3278" t="s">
        <v>3267</v>
      </c>
      <c r="H4" s="3278" t="s">
        <v>3266</v>
      </c>
      <c r="I4" s="3278" t="s">
        <v>3267</v>
      </c>
    </row>
    <row r="5" spans="1:17">
      <c r="A5" s="3280" t="s">
        <v>3272</v>
      </c>
      <c r="B5" s="3278">
        <f>结果表!B118</f>
        <v>14586.08</v>
      </c>
      <c r="C5" s="3278">
        <f>结果表!C118</f>
        <v>5209.32</v>
      </c>
      <c r="D5" s="3278">
        <f ca="1">结果表!D118</f>
        <v>30057</v>
      </c>
      <c r="E5" s="3278">
        <f ca="1">结果表!E118</f>
        <v>20606</v>
      </c>
      <c r="F5" s="3278">
        <f ca="1">结果表!F118</f>
        <v>4333</v>
      </c>
      <c r="G5" s="3278">
        <f ca="1">结果表!G118</f>
        <v>2971</v>
      </c>
      <c r="H5" s="3278">
        <f ca="1">结果表!H118</f>
        <v>34390</v>
      </c>
      <c r="I5" s="3278">
        <f ca="1">结果表!I118</f>
        <v>23577</v>
      </c>
    </row>
    <row r="6" spans="1:17">
      <c r="A6" s="3280" t="s">
        <v>3280</v>
      </c>
      <c r="B6" s="3281">
        <f>'结果表 (2)'!B118</f>
        <v>2542.8199999999997</v>
      </c>
      <c r="C6" s="3281">
        <f>'结果表 (2)'!C118</f>
        <v>908.15</v>
      </c>
      <c r="D6" s="3281">
        <f ca="1">'结果表 (2)'!D118</f>
        <v>7910</v>
      </c>
      <c r="E6" s="3281">
        <f ca="1">'结果表 (2)'!E118</f>
        <v>31107</v>
      </c>
      <c r="F6" s="3281">
        <f ca="1">'结果表 (2)'!F118</f>
        <v>1140</v>
      </c>
      <c r="G6" s="3281">
        <f ca="1">'结果表 (2)'!G118</f>
        <v>4483</v>
      </c>
      <c r="H6" s="3281">
        <f ca="1">'结果表 (2)'!H118</f>
        <v>9050</v>
      </c>
      <c r="I6" s="3281">
        <f ca="1">'结果表 (2)'!I118</f>
        <v>35590</v>
      </c>
    </row>
    <row r="7" spans="1:17">
      <c r="A7" s="3280" t="s">
        <v>3271</v>
      </c>
      <c r="B7" s="3281">
        <f>'结果表 (3)'!B118</f>
        <v>522.01</v>
      </c>
      <c r="C7" s="3281">
        <f>'结果表 (3)'!C118</f>
        <v>186.43</v>
      </c>
      <c r="D7" s="3281">
        <f ca="1">'结果表 (3)'!D118</f>
        <v>1612</v>
      </c>
      <c r="E7" s="3281">
        <f ca="1">'结果表 (3)'!E118</f>
        <v>30881</v>
      </c>
      <c r="F7" s="3281">
        <f ca="1">'结果表 (3)'!F118</f>
        <v>232</v>
      </c>
      <c r="G7" s="3281">
        <f ca="1">'结果表 (3)'!G118</f>
        <v>4444</v>
      </c>
      <c r="H7" s="3281">
        <f ca="1">'结果表 (3)'!H118</f>
        <v>1844</v>
      </c>
      <c r="I7" s="3281">
        <f ca="1">'结果表 (3)'!I118</f>
        <v>35325</v>
      </c>
    </row>
    <row r="8" spans="1:17">
      <c r="A8" s="3280" t="s">
        <v>3270</v>
      </c>
      <c r="B8" s="3281">
        <f>SUM(B5:B7)</f>
        <v>17650.91</v>
      </c>
      <c r="C8" s="3281">
        <f>SUM(C5:C7)</f>
        <v>6303.9</v>
      </c>
      <c r="D8" s="3281">
        <f ca="1">H8-F8</f>
        <v>39579</v>
      </c>
      <c r="E8" s="3281">
        <f ca="1">I8-G8</f>
        <v>22423</v>
      </c>
      <c r="F8" s="3281">
        <f ca="1">SUM(F5:F7)</f>
        <v>5705</v>
      </c>
      <c r="G8" s="3281">
        <f ca="1">ROUND(F8/B8*10000,0)</f>
        <v>3232</v>
      </c>
      <c r="H8" s="3281">
        <f ca="1">SUM(H5:H7)</f>
        <v>45284</v>
      </c>
      <c r="I8" s="3281">
        <f ca="1">ROUND(H8/B8*10000,0)</f>
        <v>25655</v>
      </c>
    </row>
    <row r="9" spans="1:17">
      <c r="A9" s="3280" t="s">
        <v>3149</v>
      </c>
      <c r="B9" s="3281">
        <f>SUM(B5:B7)</f>
        <v>17650.91</v>
      </c>
      <c r="C9" s="3281">
        <f>SUM(C5:C7)</f>
        <v>6303.9</v>
      </c>
      <c r="D9" s="3524">
        <f ca="1">SUM(D5:D7)</f>
        <v>39579</v>
      </c>
      <c r="E9" s="3524"/>
      <c r="F9" s="3524">
        <f t="shared" ref="F9" ca="1" si="0">SUM(F5:F7)</f>
        <v>5705</v>
      </c>
      <c r="G9" s="3524"/>
      <c r="H9" s="3524">
        <f ca="1">SUM(H5:H7)</f>
        <v>45284</v>
      </c>
      <c r="I9" s="3524"/>
    </row>
    <row r="10" spans="1:17">
      <c r="A10" s="3279"/>
      <c r="B10" s="3279"/>
      <c r="C10" s="3279"/>
      <c r="D10" s="3525">
        <f ca="1">D9*10000</f>
        <v>395790000</v>
      </c>
      <c r="E10" s="3525"/>
      <c r="F10" s="3525">
        <f t="shared" ref="F10" ca="1" si="1">F9*10000</f>
        <v>57050000</v>
      </c>
      <c r="G10" s="3525"/>
      <c r="H10" s="3525">
        <f t="shared" ref="H10" ca="1" si="2">H9*10000</f>
        <v>452840000</v>
      </c>
      <c r="I10" s="3525"/>
    </row>
    <row r="13" spans="1:17" ht="15" thickBot="1"/>
    <row r="14" spans="1:17" ht="15" thickBot="1">
      <c r="J14" s="3282" t="s">
        <v>3273</v>
      </c>
      <c r="K14" s="3283" t="s">
        <v>3274</v>
      </c>
      <c r="L14" s="3283" t="s">
        <v>3269</v>
      </c>
      <c r="M14" s="3283" t="s">
        <v>3265</v>
      </c>
      <c r="N14" s="3283" t="s">
        <v>3267</v>
      </c>
    </row>
    <row r="15" spans="1:17" ht="38.4" thickBot="1">
      <c r="J15" s="3284">
        <v>1</v>
      </c>
      <c r="K15" s="3285" t="s">
        <v>3275</v>
      </c>
      <c r="L15" s="3286">
        <f>信息!G5</f>
        <v>522.01</v>
      </c>
      <c r="M15" s="3286">
        <f ca="1">H7</f>
        <v>1844</v>
      </c>
      <c r="N15" s="3286">
        <f ca="1">ROUND(M15/L15*10000,0)</f>
        <v>35325</v>
      </c>
    </row>
    <row r="16" spans="1:17" ht="38.4" thickBot="1">
      <c r="J16" s="3284">
        <v>2</v>
      </c>
      <c r="K16" s="3285" t="s">
        <v>3276</v>
      </c>
      <c r="L16" s="3286">
        <f>信息!G3</f>
        <v>5251.64</v>
      </c>
      <c r="M16" s="3286">
        <f ca="1">ROUND(L16/($L$16+$L$17+$L$18)*$H$5,0)</f>
        <v>12382</v>
      </c>
      <c r="N16" s="3286">
        <f ca="1">ROUND(M16/L16*10000,0)</f>
        <v>23577</v>
      </c>
      <c r="P16">
        <v>23577</v>
      </c>
      <c r="Q16">
        <f>ROUND(P16*L16/10000,0)</f>
        <v>12382</v>
      </c>
    </row>
    <row r="17" spans="10:17" ht="38.4" thickBot="1">
      <c r="J17" s="3284">
        <v>3</v>
      </c>
      <c r="K17" s="3285" t="s">
        <v>3277</v>
      </c>
      <c r="L17" s="3286">
        <f>信息!G4</f>
        <v>5000.67</v>
      </c>
      <c r="M17" s="3286">
        <f t="shared" ref="M17" ca="1" si="3">ROUND(L17/($L$16+$L$17+$L$18)*$H$5,0)</f>
        <v>11790</v>
      </c>
      <c r="N17" s="3286">
        <f ca="1">ROUND(M17/L17*10000,0)</f>
        <v>23577</v>
      </c>
      <c r="P17">
        <f>P16</f>
        <v>23577</v>
      </c>
      <c r="Q17">
        <f t="shared" ref="Q17:Q18" si="4">ROUND(P17*L17/10000,0)</f>
        <v>11790</v>
      </c>
    </row>
    <row r="18" spans="10:17" ht="38.4" thickBot="1">
      <c r="J18" s="3284">
        <v>4</v>
      </c>
      <c r="K18" s="3285" t="s">
        <v>3278</v>
      </c>
      <c r="L18" s="3286">
        <f>信息!G6</f>
        <v>4333.7700000000004</v>
      </c>
      <c r="M18" s="3286">
        <f ca="1">H5-M16-M17</f>
        <v>10218</v>
      </c>
      <c r="N18" s="3286">
        <f ca="1">ROUND(M18/L18*10000,0)</f>
        <v>23578</v>
      </c>
      <c r="P18">
        <f>P17</f>
        <v>23577</v>
      </c>
      <c r="Q18">
        <f t="shared" si="4"/>
        <v>10218</v>
      </c>
    </row>
    <row r="19" spans="10:17" ht="38.4" thickBot="1">
      <c r="J19" s="3284">
        <v>5</v>
      </c>
      <c r="K19" s="3285" t="s">
        <v>3279</v>
      </c>
      <c r="L19" s="3286">
        <f>信息!G7</f>
        <v>2542.8200000000002</v>
      </c>
      <c r="M19" s="3286">
        <f ca="1">H6</f>
        <v>9050</v>
      </c>
      <c r="N19" s="3286">
        <f t="shared" ref="N19:N20" ca="1" si="5">ROUND(M19/L19*10000,0)</f>
        <v>35590</v>
      </c>
    </row>
    <row r="20" spans="10:17" ht="15" thickBot="1">
      <c r="J20" s="3519" t="s">
        <v>37</v>
      </c>
      <c r="K20" s="3520"/>
      <c r="L20" s="3287">
        <f>SUM(L15:L19)</f>
        <v>17650.91</v>
      </c>
      <c r="M20" s="3287">
        <f ca="1">SUM(M15:M19)</f>
        <v>45284</v>
      </c>
      <c r="N20" s="3287">
        <f t="shared" ca="1" si="5"/>
        <v>25655</v>
      </c>
    </row>
  </sheetData>
  <mergeCells count="14">
    <mergeCell ref="J20:K20"/>
    <mergeCell ref="A2:I2"/>
    <mergeCell ref="A3:A4"/>
    <mergeCell ref="B3:B4"/>
    <mergeCell ref="C3:C4"/>
    <mergeCell ref="D3:E3"/>
    <mergeCell ref="F3:G3"/>
    <mergeCell ref="H3:I3"/>
    <mergeCell ref="D9:E9"/>
    <mergeCell ref="F9:G9"/>
    <mergeCell ref="H9:I9"/>
    <mergeCell ref="D10:E10"/>
    <mergeCell ref="F10:G10"/>
    <mergeCell ref="H10:I10"/>
  </mergeCells>
  <phoneticPr fontId="140" type="noConversion"/>
  <dataValidations count="4">
    <dataValidation type="list" allowBlank="1" showInputMessage="1" showErrorMessage="1" sqref="F3:G3">
      <formula1>"建筑物价值,在建建筑物价值,建筑物/在建建筑物价值"</formula1>
    </dataValidation>
    <dataValidation type="list" allowBlank="1" showInputMessage="1" showErrorMessage="1" sqref="D3:E3">
      <formula1>"出让国有建设用地使用权价值,划拨国有建设用地使用权价值"</formula1>
    </dataValidation>
    <dataValidation type="list" allowBlank="1" showInputMessage="1" showErrorMessage="1" sqref="C3:C4">
      <formula1>"土地面积,分摊土地面积,（分摊）土地面积"</formula1>
    </dataValidation>
    <dataValidation type="list" allowBlank="1" showInputMessage="1" showErrorMessage="1" sqref="B3:B4">
      <formula1>"建筑面积,规划建筑面积,（规划）建筑面积"</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4" zoomScale="90" zoomScaleNormal="80" zoomScaleSheetLayoutView="90" workbookViewId="0">
      <selection activeCell="A53" sqref="A53:XFD53"/>
    </sheetView>
  </sheetViews>
  <sheetFormatPr defaultColWidth="12" defaultRowHeight="13.2"/>
  <cols>
    <col min="1" max="1" width="9.77734375" style="2219" customWidth="1"/>
    <col min="2" max="2" width="19.21875" style="2322" customWidth="1"/>
    <col min="3" max="4" width="12" style="2153"/>
    <col min="5" max="5" width="14.6640625" style="2153" customWidth="1"/>
    <col min="6" max="8" width="12" style="2153"/>
    <col min="9" max="9" width="12.21875" style="2153" bestFit="1" customWidth="1"/>
    <col min="10" max="10" width="12" style="2153"/>
    <col min="11" max="11" width="8.109375" style="2214" customWidth="1"/>
    <col min="12" max="12" width="12" style="2153"/>
    <col min="13" max="13" width="8.44140625" style="2153" customWidth="1"/>
    <col min="14" max="14" width="9.77734375" style="2153" customWidth="1"/>
    <col min="15" max="25" width="12" style="2153"/>
    <col min="26" max="26" width="9.33203125" style="2219" customWidth="1"/>
    <col min="27" max="32" width="9.33203125" style="1253" customWidth="1"/>
    <col min="33" max="36" width="9.33203125" style="2219" customWidth="1"/>
    <col min="37" max="38" width="9.33203125" style="2153" customWidth="1"/>
    <col min="39" max="16384" width="12" style="2153"/>
  </cols>
  <sheetData>
    <row r="1" spans="1:36" ht="31.2">
      <c r="A1" s="201" t="s">
        <v>2562</v>
      </c>
      <c r="B1" s="202"/>
      <c r="C1" s="206" t="s">
        <v>2563</v>
      </c>
      <c r="D1" s="347">
        <f>SUM(D29:D30,D33:D39)</f>
        <v>14586.08</v>
      </c>
      <c r="E1" s="2150"/>
      <c r="F1" s="2150"/>
      <c r="G1" s="2150"/>
      <c r="H1" s="2150"/>
      <c r="I1" s="2150"/>
      <c r="J1" s="2150"/>
      <c r="K1" s="1251"/>
      <c r="L1" s="2151" t="s">
        <v>2564</v>
      </c>
      <c r="M1" s="993">
        <f>SUMPRODUCT((区片价!B5:B9=I2)*(区片价!C3:F3=E2)*(区片价!C5:F9))</f>
        <v>0</v>
      </c>
      <c r="N1" s="996">
        <f>SUMPRODUCT((因素修正幅度!B5:B9=I2)*(因素修正幅度!C3:F3=E2)*(因素修正幅度!C5:F9))</f>
        <v>0</v>
      </c>
      <c r="O1" s="2152"/>
      <c r="P1" s="2152"/>
      <c r="Q1" s="1251"/>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6">
      <c r="A2" s="206" t="s">
        <v>2570</v>
      </c>
      <c r="B2" s="209">
        <f>C26</f>
        <v>21707</v>
      </c>
      <c r="C2" s="2154" t="s">
        <v>2571</v>
      </c>
      <c r="D2" s="2155" t="s">
        <v>2572</v>
      </c>
      <c r="E2" s="2156" t="s">
        <v>1280</v>
      </c>
      <c r="F2" s="2155" t="s">
        <v>2573</v>
      </c>
      <c r="G2" s="2157" t="str">
        <f>IF(E2="商业",项目基本情况!B37,IF(E2="办公",项目基本情况!C37,IF(E2="住宅",项目基本情况!D37,项目基本情况!E37)))</f>
        <v>六级</v>
      </c>
      <c r="H2" s="2155" t="s">
        <v>2574</v>
      </c>
      <c r="I2" s="2157" t="str">
        <f>IF(E2="商业",项目基本情况!B38,IF(E2="办公",项目基本情况!C38,IF(E2="住宅",项目基本情况!D38,项目基本情况!E38)))</f>
        <v>Ⅵ-20</v>
      </c>
      <c r="J2" s="2158"/>
      <c r="K2" s="1251"/>
      <c r="L2" s="2159" t="s">
        <v>2575</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25946</v>
      </c>
      <c r="U2" s="1346">
        <f>信息!G13+信息!G18</f>
        <v>7122.49</v>
      </c>
      <c r="V2" s="1345">
        <f>ROUND(T2*U2/10000,0)</f>
        <v>18480</v>
      </c>
      <c r="W2" s="1349"/>
      <c r="X2" s="1349"/>
      <c r="Y2" s="1349"/>
      <c r="Z2" s="1349"/>
      <c r="AA2" s="1349"/>
      <c r="AB2" s="1349"/>
      <c r="AC2" s="1350"/>
      <c r="AD2" s="1351"/>
      <c r="AE2" s="1351"/>
      <c r="AF2" s="1351"/>
      <c r="AG2" s="1351"/>
      <c r="AH2" s="1351"/>
      <c r="AI2" s="1351"/>
      <c r="AJ2" s="1352"/>
    </row>
    <row r="3" spans="1:36" ht="15.6">
      <c r="A3" s="208" t="s">
        <v>2576</v>
      </c>
      <c r="B3" s="209">
        <f>ROUND(B2*10000/D1,0)</f>
        <v>14882</v>
      </c>
      <c r="C3" s="2154" t="s">
        <v>2577</v>
      </c>
      <c r="D3" s="2155" t="s">
        <v>2578</v>
      </c>
      <c r="E3" s="2160" t="s">
        <v>3193</v>
      </c>
      <c r="F3" s="2161" t="s">
        <v>3247</v>
      </c>
      <c r="G3" s="854">
        <f>IF(F3="宗地容积率",'数据-汇总表'!I4,IF(F3="估价对象容积率",'数据-汇总表'!I6,'数据-汇总表'!I7))</f>
        <v>2.1</v>
      </c>
      <c r="H3" s="174" t="s">
        <v>2579</v>
      </c>
      <c r="I3" s="880"/>
      <c r="J3" s="2158" t="s">
        <v>2580</v>
      </c>
      <c r="K3" s="1251"/>
      <c r="L3" s="2159" t="s">
        <v>2581</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18624</v>
      </c>
      <c r="U3" s="1346">
        <f>信息!G14</f>
        <v>4545.4500000000007</v>
      </c>
      <c r="V3" s="1345">
        <f t="shared" ref="V3:V16" si="1">ROUND(T3*U3/10000,0)</f>
        <v>8465</v>
      </c>
      <c r="W3" s="1349"/>
      <c r="X3" s="1349"/>
      <c r="Y3" s="1349"/>
      <c r="Z3" s="1349"/>
      <c r="AA3" s="1349"/>
      <c r="AB3" s="1349"/>
      <c r="AC3" s="1350"/>
      <c r="AD3" s="1351"/>
      <c r="AE3" s="1351"/>
      <c r="AF3" s="1351"/>
      <c r="AG3" s="1351"/>
      <c r="AH3" s="1351"/>
      <c r="AI3" s="1351"/>
      <c r="AJ3" s="1352"/>
    </row>
    <row r="4" spans="1:36" ht="15.6">
      <c r="A4" s="3407"/>
      <c r="B4" s="3408"/>
      <c r="C4" s="3408"/>
      <c r="D4" s="3409"/>
      <c r="E4" s="3409"/>
      <c r="F4" s="3409"/>
      <c r="G4" s="3409"/>
      <c r="H4" s="3409"/>
      <c r="I4" s="3409"/>
      <c r="J4" s="3410"/>
      <c r="K4" s="1251"/>
      <c r="L4" s="2159" t="s">
        <v>2582</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15025</v>
      </c>
      <c r="U4" s="1346">
        <f>信息!G15</f>
        <v>3440.1499999999996</v>
      </c>
      <c r="V4" s="1345">
        <f t="shared" si="1"/>
        <v>5169</v>
      </c>
      <c r="W4" s="1349"/>
      <c r="X4" s="1349"/>
      <c r="Y4" s="1349"/>
      <c r="Z4" s="1349"/>
      <c r="AA4" s="1349"/>
      <c r="AB4" s="1349"/>
      <c r="AC4" s="1350"/>
      <c r="AD4" s="1351"/>
      <c r="AE4" s="1351"/>
      <c r="AF4" s="1351"/>
      <c r="AG4" s="1351"/>
      <c r="AH4" s="1351"/>
      <c r="AI4" s="1351"/>
      <c r="AJ4" s="1352"/>
    </row>
    <row r="5" spans="1:36" s="2171" customFormat="1" ht="15.6" thickBot="1">
      <c r="A5" s="2162" t="s">
        <v>807</v>
      </c>
      <c r="B5" s="2163" t="s">
        <v>2583</v>
      </c>
      <c r="C5" s="855">
        <f>ROUND(IF(E2="商业",C6*C7+C16,(IF(E2="住宅",C6*C12+C16,C6+C16))),0)</f>
        <v>10340</v>
      </c>
      <c r="D5" s="1492">
        <f>ROUND(C6+C16,0)</f>
        <v>10340</v>
      </c>
      <c r="E5" s="1492"/>
      <c r="F5" s="2164"/>
      <c r="G5" s="2165"/>
      <c r="H5" s="2165"/>
      <c r="I5" s="2165"/>
      <c r="J5" s="2166"/>
      <c r="K5" s="2167"/>
      <c r="L5" s="2159" t="s">
        <v>2584</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12056</v>
      </c>
      <c r="U5" s="1346"/>
      <c r="V5" s="1345">
        <f t="shared" si="1"/>
        <v>0</v>
      </c>
      <c r="W5" s="1349"/>
      <c r="X5" s="1349"/>
      <c r="Y5" s="1349"/>
      <c r="Z5" s="1349"/>
      <c r="AA5" s="1349"/>
      <c r="AB5" s="1349"/>
      <c r="AC5" s="2168"/>
      <c r="AD5" s="2169"/>
      <c r="AE5" s="2169"/>
      <c r="AF5" s="2169"/>
      <c r="AG5" s="2169"/>
      <c r="AH5" s="2169"/>
      <c r="AI5" s="2169"/>
      <c r="AJ5" s="2170"/>
    </row>
    <row r="6" spans="1:36" ht="15.6" thickBot="1">
      <c r="A6" s="2172" t="s">
        <v>2585</v>
      </c>
      <c r="B6" s="2173" t="s">
        <v>2586</v>
      </c>
      <c r="C6" s="856">
        <f>SUMIF(L1:L12,G2,M1:M12)</f>
        <v>10340</v>
      </c>
      <c r="D6" s="2174" t="s">
        <v>2587</v>
      </c>
      <c r="E6" s="2175"/>
      <c r="F6" s="2175"/>
      <c r="G6" s="2176"/>
      <c r="H6" s="2176"/>
      <c r="I6" s="2176"/>
      <c r="J6" s="2177"/>
      <c r="K6" s="1537"/>
      <c r="L6" s="2159" t="s">
        <v>2588</v>
      </c>
      <c r="M6" s="994">
        <f>SUMPRODUCT((区片价!B110:B157=I2)*(区片价!C3:F3=E2)*(区片价!C110:F157))</f>
        <v>10340</v>
      </c>
      <c r="N6" s="996">
        <f>SUMPRODUCT((因素修正幅度!B110:B157=I2)*(因素修正幅度!C3:F3=E2)*(因素修正幅度!C110:F157))</f>
        <v>0.13</v>
      </c>
      <c r="O6" s="1251"/>
      <c r="P6" s="1251"/>
      <c r="Q6" s="1251"/>
      <c r="R6" s="1345">
        <v>5</v>
      </c>
      <c r="S6" s="1345">
        <f>ROUND(IF(G3&gt;1,IF(R6&lt;7,SUMPRODUCT((B93:B98=R6)*(C92:N92=G2)*(C93:N98)),SUMIF(C92:N92,G2,C100:N100)),IF(R6&lt;7,SUMPRODUCT((B102:B107=R6)*(C92:N92=G2)*(C102:N107)),SUMIF(C92:N92,G2,C109:N109))),4)</f>
        <v>0.73709999999999998</v>
      </c>
      <c r="T6" s="1345">
        <f t="shared" si="0"/>
        <v>10266</v>
      </c>
      <c r="U6" s="1346"/>
      <c r="V6" s="1345">
        <f t="shared" si="1"/>
        <v>0</v>
      </c>
      <c r="W6" s="1349"/>
      <c r="X6" s="1349"/>
      <c r="Y6" s="1349"/>
      <c r="Z6" s="1349"/>
      <c r="AA6" s="1349"/>
      <c r="AB6" s="1349"/>
      <c r="AC6" s="2168"/>
      <c r="AD6" s="2169"/>
      <c r="AE6" s="2169"/>
      <c r="AF6" s="2169"/>
      <c r="AG6" s="2169"/>
      <c r="AH6" s="2169"/>
      <c r="AI6" s="2169"/>
      <c r="AJ6" s="2170"/>
    </row>
    <row r="7" spans="1:36" ht="24" hidden="1">
      <c r="A7" s="3388" t="str">
        <f>IF(E2="商业",IF(C8="不临58条商业街","",2),"")</f>
        <v/>
      </c>
      <c r="B7" s="2178" t="s">
        <v>2589</v>
      </c>
      <c r="C7" s="857">
        <f>IF(C8="不临58条商业街",1,ROUND(1+(1.6*E8+1.2*E9+0.8*E10+0.4*E11)*C9,4))</f>
        <v>1</v>
      </c>
      <c r="D7" s="2179" t="s">
        <v>2590</v>
      </c>
      <c r="E7" s="881"/>
      <c r="F7" s="2180"/>
      <c r="G7" s="2181"/>
      <c r="H7" s="2181"/>
      <c r="I7" s="2181"/>
      <c r="J7" s="2182"/>
      <c r="K7" s="1537"/>
      <c r="L7" s="2159" t="s">
        <v>2591</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9028</v>
      </c>
      <c r="U7" s="1346"/>
      <c r="V7" s="1345">
        <f t="shared" si="1"/>
        <v>0</v>
      </c>
      <c r="W7" s="1511" t="s">
        <v>2592</v>
      </c>
      <c r="X7" s="1347" t="str">
        <f>G2</f>
        <v>六级</v>
      </c>
      <c r="Y7" s="1347" t="s">
        <v>2593</v>
      </c>
      <c r="Z7" s="1348">
        <f>G3</f>
        <v>2.1</v>
      </c>
      <c r="AA7" s="1349"/>
      <c r="AB7" s="1349"/>
      <c r="AC7" s="1350"/>
      <c r="AD7" s="1351"/>
      <c r="AE7" s="1351"/>
      <c r="AF7" s="1351"/>
      <c r="AG7" s="1351"/>
      <c r="AH7" s="1351"/>
      <c r="AI7" s="1351"/>
      <c r="AJ7" s="1352"/>
    </row>
    <row r="8" spans="1:36" ht="26.4" hidden="1">
      <c r="A8" s="3411"/>
      <c r="B8" s="174" t="s">
        <v>2594</v>
      </c>
      <c r="C8" s="2183" t="s">
        <v>3194</v>
      </c>
      <c r="D8" s="858" t="s">
        <v>139</v>
      </c>
      <c r="E8" s="859" t="e">
        <f>ROUND(C11/E7,4)</f>
        <v>#DIV/0!</v>
      </c>
      <c r="F8" s="2184" t="s">
        <v>2595</v>
      </c>
      <c r="G8" s="2185"/>
      <c r="H8" s="2185"/>
      <c r="I8" s="2185"/>
      <c r="J8" s="2186"/>
      <c r="K8" s="1251"/>
      <c r="L8" s="2159" t="s">
        <v>2596</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04" t="s">
        <v>2597</v>
      </c>
      <c r="X8" s="3405"/>
      <c r="Y8" s="1353" t="s">
        <v>2598</v>
      </c>
      <c r="Z8" s="1353" t="s">
        <v>2599</v>
      </c>
      <c r="AA8" s="1353" t="s">
        <v>2600</v>
      </c>
      <c r="AB8" s="1353" t="s">
        <v>2601</v>
      </c>
      <c r="AC8" s="1353" t="s">
        <v>2602</v>
      </c>
      <c r="AD8" s="1353" t="s">
        <v>2603</v>
      </c>
      <c r="AE8" s="1353" t="s">
        <v>2604</v>
      </c>
      <c r="AF8" s="1353" t="s">
        <v>2605</v>
      </c>
      <c r="AG8" s="1353" t="s">
        <v>2606</v>
      </c>
      <c r="AH8" s="1353" t="s">
        <v>2607</v>
      </c>
      <c r="AI8" s="1353" t="s">
        <v>2608</v>
      </c>
      <c r="AJ8" s="1353" t="s">
        <v>2609</v>
      </c>
    </row>
    <row r="9" spans="1:36" ht="15" hidden="1">
      <c r="A9" s="3411"/>
      <c r="B9" s="174" t="s">
        <v>2610</v>
      </c>
      <c r="C9" s="860">
        <f>SUMIF(修正!C59:C119,C8,修正!E59:E119)</f>
        <v>0</v>
      </c>
      <c r="D9" s="175" t="s">
        <v>140</v>
      </c>
      <c r="E9" s="175" t="e">
        <f>ROUND(C11/E7,4)</f>
        <v>#DIV/0!</v>
      </c>
      <c r="F9" s="2184" t="s">
        <v>2611</v>
      </c>
      <c r="G9" s="2185"/>
      <c r="H9" s="2185"/>
      <c r="I9" s="2185"/>
      <c r="J9" s="2186"/>
      <c r="K9" s="1251"/>
      <c r="L9" s="2159" t="s">
        <v>2612</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06" t="s">
        <v>2613</v>
      </c>
      <c r="X9" s="1354" t="s">
        <v>2614</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hidden="1">
      <c r="A10" s="3411"/>
      <c r="B10" s="174" t="s">
        <v>2615</v>
      </c>
      <c r="C10" s="175">
        <f>SUMIF(修正!C59:C119,C8,修正!F59:F119)</f>
        <v>0</v>
      </c>
      <c r="D10" s="175" t="s">
        <v>141</v>
      </c>
      <c r="E10" s="175" t="e">
        <f>ROUND(C11/E7,4)</f>
        <v>#DIV/0!</v>
      </c>
      <c r="F10" s="2184" t="s">
        <v>2616</v>
      </c>
      <c r="G10" s="2185"/>
      <c r="H10" s="2185"/>
      <c r="I10" s="2185"/>
      <c r="J10" s="2186"/>
      <c r="K10" s="1251"/>
      <c r="L10" s="2159" t="s">
        <v>2617</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0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6" hidden="1" thickBot="1">
      <c r="A11" s="3411"/>
      <c r="B11" s="2187" t="s">
        <v>2618</v>
      </c>
      <c r="C11" s="861">
        <f>C10/4</f>
        <v>0</v>
      </c>
      <c r="D11" s="861" t="s">
        <v>142</v>
      </c>
      <c r="E11" s="861" t="e">
        <f>ROUND(C11/E7,4)</f>
        <v>#DIV/0!</v>
      </c>
      <c r="F11" s="2188" t="s">
        <v>2619</v>
      </c>
      <c r="G11" s="2189"/>
      <c r="H11" s="2189"/>
      <c r="I11" s="2189"/>
      <c r="J11" s="2190"/>
      <c r="K11" s="1251"/>
      <c r="L11" s="2159" t="s">
        <v>2620</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06" t="s">
        <v>2621</v>
      </c>
      <c r="X11" s="1357" t="s">
        <v>2622</v>
      </c>
      <c r="Y11" s="1358">
        <f>$G$3</f>
        <v>2.1</v>
      </c>
      <c r="Z11" s="1358">
        <f t="shared" ref="Z11:AJ11" si="3">$G$3</f>
        <v>2.1</v>
      </c>
      <c r="AA11" s="1358">
        <f t="shared" si="3"/>
        <v>2.1</v>
      </c>
      <c r="AB11" s="1358">
        <f t="shared" si="3"/>
        <v>2.1</v>
      </c>
      <c r="AC11" s="1358">
        <f t="shared" si="3"/>
        <v>2.1</v>
      </c>
      <c r="AD11" s="1358">
        <f t="shared" si="3"/>
        <v>2.1</v>
      </c>
      <c r="AE11" s="1358">
        <f t="shared" si="3"/>
        <v>2.1</v>
      </c>
      <c r="AF11" s="1358">
        <f t="shared" si="3"/>
        <v>2.1</v>
      </c>
      <c r="AG11" s="1358">
        <f t="shared" si="3"/>
        <v>2.1</v>
      </c>
      <c r="AH11" s="1358">
        <f t="shared" si="3"/>
        <v>2.1</v>
      </c>
      <c r="AI11" s="1358">
        <f t="shared" si="3"/>
        <v>2.1</v>
      </c>
      <c r="AJ11" s="1358">
        <f t="shared" si="3"/>
        <v>2.1</v>
      </c>
    </row>
    <row r="12" spans="1:36" ht="25.8" hidden="1" thickBot="1">
      <c r="A12" s="3388" t="s">
        <v>2623</v>
      </c>
      <c r="B12" s="2191" t="s">
        <v>2624</v>
      </c>
      <c r="C12" s="857">
        <f>ROUND(C15*D15*E15*F15*G15*H15*I15*J15,4)</f>
        <v>1</v>
      </c>
      <c r="D12" s="2192" t="s">
        <v>2625</v>
      </c>
      <c r="E12" s="2193"/>
      <c r="F12" s="2193"/>
      <c r="G12" s="2194"/>
      <c r="H12" s="2194"/>
      <c r="I12" s="2194"/>
      <c r="J12" s="2195"/>
      <c r="K12" s="1251"/>
      <c r="L12" s="2196" t="s">
        <v>2626</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06"/>
      <c r="X12" s="1359" t="s">
        <v>2627</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hidden="1">
      <c r="A13" s="3412"/>
      <c r="B13" s="2197" t="s">
        <v>2628</v>
      </c>
      <c r="C13" s="2198" t="s">
        <v>2629</v>
      </c>
      <c r="D13" s="1503" t="s">
        <v>2630</v>
      </c>
      <c r="E13" s="1503" t="s">
        <v>2631</v>
      </c>
      <c r="F13" s="29" t="s">
        <v>2632</v>
      </c>
      <c r="G13" s="2199" t="s">
        <v>2633</v>
      </c>
      <c r="H13" s="2199" t="s">
        <v>2633</v>
      </c>
      <c r="I13" s="2199" t="s">
        <v>2633</v>
      </c>
      <c r="J13" s="2200" t="s">
        <v>2633</v>
      </c>
      <c r="K13" s="1251"/>
      <c r="L13" s="1251"/>
      <c r="M13" s="1251"/>
      <c r="N13" s="1251"/>
      <c r="O13" s="1251"/>
      <c r="P13" s="1251"/>
      <c r="Q13" s="1251"/>
      <c r="R13" s="1345">
        <v>12</v>
      </c>
      <c r="S13" s="1346"/>
      <c r="T13" s="1345">
        <f t="shared" si="0"/>
        <v>0</v>
      </c>
      <c r="U13" s="1346"/>
      <c r="V13" s="1345">
        <f t="shared" si="1"/>
        <v>0</v>
      </c>
      <c r="W13" s="3406"/>
      <c r="X13" s="1359"/>
      <c r="Y13" s="1356">
        <f>(-0.163*(Y12^2)-0.59*Y12+7617)*(10^(-4))/Y11</f>
        <v>0.36271428571428571</v>
      </c>
      <c r="Z13" s="1356">
        <f t="shared" ref="Z13:AJ13" si="5">(-0.163*(Z12^2)-0.59*Z12+7617)*(10^(-4))/Z11</f>
        <v>0.36271428571428571</v>
      </c>
      <c r="AA13" s="1356">
        <f t="shared" si="5"/>
        <v>0.36271428571428571</v>
      </c>
      <c r="AB13" s="1356">
        <f t="shared" si="5"/>
        <v>0.36271428571428571</v>
      </c>
      <c r="AC13" s="1356">
        <f t="shared" si="5"/>
        <v>0.36271428571428571</v>
      </c>
      <c r="AD13" s="1356">
        <f t="shared" si="5"/>
        <v>0.36271428571428571</v>
      </c>
      <c r="AE13" s="1356">
        <f t="shared" si="5"/>
        <v>0.36271428571428571</v>
      </c>
      <c r="AF13" s="1356">
        <f t="shared" si="5"/>
        <v>0.36271428571428571</v>
      </c>
      <c r="AG13" s="1356">
        <f t="shared" si="5"/>
        <v>0.36271428571428571</v>
      </c>
      <c r="AH13" s="1356">
        <f t="shared" si="5"/>
        <v>0.36271428571428571</v>
      </c>
      <c r="AI13" s="1356">
        <f t="shared" si="5"/>
        <v>0.36271428571428571</v>
      </c>
      <c r="AJ13" s="1356">
        <f t="shared" si="5"/>
        <v>0.36271428571428571</v>
      </c>
    </row>
    <row r="14" spans="1:36" ht="15" hidden="1">
      <c r="A14" s="3412"/>
      <c r="B14" s="2201"/>
      <c r="C14" s="2202"/>
      <c r="D14" s="2203"/>
      <c r="E14" s="2203"/>
      <c r="F14" s="2204"/>
      <c r="G14" s="2205" t="s">
        <v>2634</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7"/>
      <c r="AE14" s="2987"/>
      <c r="AF14" s="2987"/>
      <c r="AG14" s="2987"/>
      <c r="AH14" s="2987"/>
      <c r="AI14" s="2987"/>
      <c r="AJ14" s="2988"/>
    </row>
    <row r="15" spans="1:36" ht="15.6" hidden="1" thickBot="1">
      <c r="A15" s="3413"/>
      <c r="B15" s="2209" t="s">
        <v>2635</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7"/>
      <c r="AE15" s="2987"/>
      <c r="AF15" s="2987"/>
      <c r="AG15" s="2987"/>
      <c r="AH15" s="2987"/>
      <c r="AI15" s="2987"/>
      <c r="AJ15" s="2988"/>
    </row>
    <row r="16" spans="1:36" ht="24.6" customHeight="1">
      <c r="A16" s="3388" t="s">
        <v>2640</v>
      </c>
      <c r="B16" s="2178" t="s">
        <v>2641</v>
      </c>
      <c r="C16" s="2340">
        <f>ROUND(IF(F17="与级别开发程度一致",0,(G17-E17)/C17),0)</f>
        <v>0</v>
      </c>
      <c r="D16" s="3401" t="s">
        <v>2645</v>
      </c>
      <c r="E16" s="3402"/>
      <c r="F16" s="3401" t="s">
        <v>2642</v>
      </c>
      <c r="G16" s="3402"/>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7"/>
      <c r="AE16" s="2987"/>
      <c r="AF16" s="2987"/>
      <c r="AG16" s="2987"/>
      <c r="AH16" s="2987"/>
      <c r="AI16" s="2987"/>
      <c r="AJ16" s="2988"/>
    </row>
    <row r="17" spans="1:37" ht="27" thickBot="1">
      <c r="A17" s="3389"/>
      <c r="B17" s="2351" t="s">
        <v>2644</v>
      </c>
      <c r="C17" s="2352">
        <f>SUMPRODUCT((修正!A2:A5=E2)*(修正!B1:M1=G2)*(修正!B2:M5))</f>
        <v>2.5</v>
      </c>
      <c r="D17" s="192" t="str">
        <f>IF(OR(G2="八级",G2="九级",G2="十级",G2="十一级",G2="十二级"),"五通一平","七通一平")</f>
        <v>七通一平</v>
      </c>
      <c r="E17" s="2341">
        <f>SUMPRODUCT((修正!B1:M1=G2)*(修正!B15:M15))</f>
        <v>300</v>
      </c>
      <c r="F17" s="2342" t="s">
        <v>3195</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 thickBot="1">
      <c r="A18" s="2345" t="s">
        <v>808</v>
      </c>
      <c r="B18" s="2346" t="s">
        <v>2647</v>
      </c>
      <c r="C18" s="2347">
        <f>SUMIF(修正!C18:C39,E3,修正!E18:E39)</f>
        <v>1</v>
      </c>
      <c r="D18" s="2348"/>
      <c r="E18" s="2349"/>
      <c r="F18" s="2349"/>
      <c r="G18" s="2349"/>
      <c r="H18" s="2349"/>
      <c r="I18" s="2349"/>
      <c r="J18" s="2350"/>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6"/>
    </row>
    <row r="19" spans="1:37" s="2171" customFormat="1" ht="29.4" thickBot="1">
      <c r="A19" s="2215" t="s">
        <v>809</v>
      </c>
      <c r="B19" s="2216" t="s">
        <v>2648</v>
      </c>
      <c r="C19" s="862">
        <f>ROUND(IF(H19="按公示增长率计算",SUMPRODUCT((地价!A3:A37=YEAR(G19)&amp;"-"&amp;ROUNDUP(MONTH(G19)/3,0))*(地价!X2:AB2=E2)*(地价!X3:AB37)),IF(H19="地价指数",M20/M19,(1+I19)^O19)),4)</f>
        <v>1.3644000000000001</v>
      </c>
      <c r="D19" s="2220" t="s">
        <v>2649</v>
      </c>
      <c r="E19" s="863">
        <v>41640</v>
      </c>
      <c r="F19" s="2220" t="s">
        <v>2650</v>
      </c>
      <c r="G19" s="864">
        <f>'数据-取费表'!B2</f>
        <v>44610</v>
      </c>
      <c r="H19" s="2221" t="s">
        <v>3245</v>
      </c>
      <c r="I19" s="865" t="str">
        <f>IF(H19="季度增幅（自定义）",SUMIF(N21:N24,E2,O21:O24),"")</f>
        <v/>
      </c>
      <c r="J19" s="2218"/>
      <c r="K19" s="1258"/>
      <c r="L19" s="2222" t="s">
        <v>2651</v>
      </c>
      <c r="M19" s="1467">
        <f>ROUND(SUMIF(地价!B2:F2,E2,地价!B37:F37),0)</f>
        <v>258</v>
      </c>
      <c r="N19" s="2223" t="s">
        <v>2652</v>
      </c>
      <c r="O19" s="866">
        <f>ROUNDDOWN(DATEDIF(E19,G19,"M")/3,0)</f>
        <v>32</v>
      </c>
      <c r="P19" s="1255"/>
      <c r="Q19" s="1257"/>
      <c r="R19" s="1257"/>
      <c r="S19" s="1257"/>
      <c r="T19" s="1252"/>
      <c r="U19" s="1252"/>
      <c r="V19" s="1252">
        <f>(V2+V3+V4)/(U2+U3+U4)</f>
        <v>2.1256161434039642</v>
      </c>
      <c r="W19" s="1251"/>
      <c r="X19" s="1251"/>
      <c r="Y19" s="1251"/>
      <c r="Z19" s="1258"/>
      <c r="AA19" s="1258"/>
      <c r="AB19" s="1258"/>
      <c r="AC19" s="1258"/>
      <c r="AD19" s="1258"/>
      <c r="AE19" s="1258"/>
      <c r="AF19" s="1257"/>
      <c r="AG19" s="2989"/>
      <c r="AH19" s="2309"/>
      <c r="AI19" s="2990"/>
      <c r="AJ19" s="2990"/>
      <c r="AK19" s="2224"/>
    </row>
    <row r="20" spans="1:37" s="2171" customFormat="1" ht="29.4" thickBot="1">
      <c r="A20" s="2225" t="s">
        <v>810</v>
      </c>
      <c r="B20" s="2226" t="s">
        <v>2653</v>
      </c>
      <c r="C20" s="867">
        <f>ROUND(POWER(1+G20,J20-I20)*(POWER(1+G20,I20)-1)/(POWER(1+G20,J20)-1),4)</f>
        <v>0.94679999999999997</v>
      </c>
      <c r="D20" s="2227" t="s">
        <v>2654</v>
      </c>
      <c r="E20" s="1474">
        <f>存贷款利率!E20/100</f>
        <v>4.3499999999999997E-2</v>
      </c>
      <c r="F20" s="2227" t="s">
        <v>2646</v>
      </c>
      <c r="G20" s="872">
        <f>SUMIF(M26:P26,E2,M28:P28)</f>
        <v>5.3999999999999999E-2</v>
      </c>
      <c r="H20" s="2227" t="s">
        <v>2655</v>
      </c>
      <c r="I20" s="873">
        <f>SUMIF('数据-取费表'!C6:C15,E2,'数据-取费表'!F6:F15)/COUNTIF('数据-取费表'!C6:C15,E2)</f>
        <v>33.840000000000003</v>
      </c>
      <c r="J20" s="874">
        <f>IF(E2="住宅",70,IF(E2="商业",40,50))</f>
        <v>40</v>
      </c>
      <c r="K20" s="1258"/>
      <c r="L20" s="2228" t="s">
        <v>2656</v>
      </c>
      <c r="M20" s="1468">
        <f>ROUND(SUMPRODUCT((地价!A4:A37=YEAR(G19)&amp;"-"&amp;ROUNDUP(MONTH(G19)/3,0))*(地价!B2:F2=E2)*(地价!B4:F37)),0)</f>
        <v>352</v>
      </c>
      <c r="N20" s="2229" t="s">
        <v>2657</v>
      </c>
      <c r="O20" s="2230" t="s">
        <v>2658</v>
      </c>
      <c r="P20" s="2231" t="s">
        <v>2659</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71" customFormat="1" ht="14.4">
      <c r="A21" s="2232" t="s">
        <v>811</v>
      </c>
      <c r="B21" s="2233" t="s">
        <v>3199</v>
      </c>
      <c r="C21" s="875">
        <f>IF(B21="容积率修正",IF(G3&lt;=10,D22,J22),C23)</f>
        <v>1.0685</v>
      </c>
      <c r="D21" s="2234"/>
      <c r="E21" s="2234"/>
      <c r="F21" s="2234"/>
      <c r="G21" s="2234"/>
      <c r="H21" s="2234"/>
      <c r="I21" s="2234"/>
      <c r="J21" s="2235"/>
      <c r="K21" s="1258"/>
      <c r="L21" s="2986"/>
      <c r="M21" s="2986"/>
      <c r="N21" s="2236" t="s">
        <v>2660</v>
      </c>
      <c r="O21" s="1306"/>
      <c r="P21" s="1307">
        <f>SUMPRODUCT((地价!A3:A37=YEAR(G19)&amp;"-"&amp;ROUNDUP(MONTH(G19)/3,0))*(地价!AD2:AH2=N21)*(地价!AD3:AH37))</f>
        <v>1.0200000000000001E-2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71" customFormat="1" ht="14.4">
      <c r="A22" s="2110" t="s">
        <v>2661</v>
      </c>
      <c r="B22" s="2237" t="s">
        <v>2662</v>
      </c>
      <c r="C22" s="1505" t="s">
        <v>2663</v>
      </c>
      <c r="D22" s="1505">
        <f>IF(E22=G22,F22,IF(G3&lt;=10,ROUND(F22+(H22-F22)*(G3-E22)/(G22-E22),4),"——"))</f>
        <v>1.0685</v>
      </c>
      <c r="E22" s="854">
        <f>ROUNDDOWN(G3,1)</f>
        <v>2.1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854">
        <f>ROUNDUP(G3,1)</f>
        <v>2.1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505" t="s">
        <v>155</v>
      </c>
      <c r="J22" s="876" t="str">
        <f>IF(G3&gt;10,D113,"——")</f>
        <v>——</v>
      </c>
      <c r="K22" s="1258"/>
      <c r="L22" s="2986"/>
      <c r="M22" s="2986"/>
      <c r="N22" s="2236" t="s">
        <v>2664</v>
      </c>
      <c r="O22" s="1306"/>
      <c r="P22" s="1307">
        <f>SUMPRODUCT((地价!A3:A37=YEAR(G19)&amp;"-"&amp;ROUNDUP(MONTH(G19)/3,0))*(地价!AD2:AH2=N22)*(地价!AD3:AH37))</f>
        <v>1.0200000000000001E-2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9.4" thickBot="1">
      <c r="A23" s="2110" t="s">
        <v>2665</v>
      </c>
      <c r="B23" s="2238" t="s">
        <v>2666</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2667</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 thickBot="1">
      <c r="A24" s="2225" t="s">
        <v>812</v>
      </c>
      <c r="B24" s="2216" t="s">
        <v>2668</v>
      </c>
      <c r="C24" s="862">
        <f>SUMIF(A45:A88,E2,B45:B88)</f>
        <v>1.0427</v>
      </c>
      <c r="D24" s="2217"/>
      <c r="E24" s="2244"/>
      <c r="F24" s="2244"/>
      <c r="G24" s="2244"/>
      <c r="H24" s="2244"/>
      <c r="I24" s="2244"/>
      <c r="J24" s="2245"/>
      <c r="K24" s="1258"/>
      <c r="L24" s="2986"/>
      <c r="M24" s="2986"/>
      <c r="N24" s="2246" t="s">
        <v>2669</v>
      </c>
      <c r="O24" s="1308"/>
      <c r="P24" s="1309">
        <f>SUMPRODUCT((地价!A3:A37=YEAR(G19)&amp;"-"&amp;ROUNDUP(MONTH(G19)/3,0))*(地价!AD2:AH2=N24)*(地价!AD3:AH37))</f>
        <v>1.18E-2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 thickBot="1">
      <c r="A25" s="2225" t="s">
        <v>813</v>
      </c>
      <c r="B25" s="2247" t="s">
        <v>2670</v>
      </c>
      <c r="C25" s="868"/>
      <c r="D25" s="2181"/>
      <c r="E25" s="2181"/>
      <c r="F25" s="2248"/>
      <c r="G25" s="2181"/>
      <c r="H25" s="2181"/>
      <c r="I25" s="2181"/>
      <c r="J25" s="2182"/>
      <c r="K25" s="1251"/>
      <c r="L25" s="2152"/>
      <c r="M25" s="2152"/>
      <c r="N25" s="2981" t="s">
        <v>2671</v>
      </c>
      <c r="O25" s="2982"/>
      <c r="P25" s="2983">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4.4">
      <c r="A26" s="2249"/>
      <c r="B26" s="2237" t="s">
        <v>2672</v>
      </c>
      <c r="C26" s="2511">
        <f>IF(B21="容积率修正",E29+SUM(E33:E39),SUM(V2:V16)+SUM(E33:E39))</f>
        <v>21707</v>
      </c>
      <c r="D26" s="2250"/>
      <c r="E26" s="2206"/>
      <c r="F26" s="2251"/>
      <c r="G26" s="2206"/>
      <c r="H26" s="2206"/>
      <c r="I26" s="2206"/>
      <c r="J26" s="2252"/>
      <c r="K26" s="1251"/>
      <c r="L26" s="2984" t="s">
        <v>2572</v>
      </c>
      <c r="M26" s="2179" t="s">
        <v>2636</v>
      </c>
      <c r="N26" s="2179" t="s">
        <v>2637</v>
      </c>
      <c r="O26" s="2179" t="s">
        <v>2638</v>
      </c>
      <c r="P26" s="2985" t="s">
        <v>2639</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 thickBot="1">
      <c r="A27" s="2249"/>
      <c r="B27" s="2253" t="s">
        <v>2673</v>
      </c>
      <c r="C27" s="869">
        <f>E30+SUM(I33:I39)</f>
        <v>0</v>
      </c>
      <c r="D27" s="2254"/>
      <c r="E27" s="2255"/>
      <c r="F27" s="2256"/>
      <c r="G27" s="2255"/>
      <c r="H27" s="2255"/>
      <c r="I27" s="2255"/>
      <c r="J27" s="2257"/>
      <c r="K27" s="1251"/>
      <c r="L27" s="2212" t="s">
        <v>2643</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 thickBot="1">
      <c r="A28" s="2258"/>
      <c r="B28" s="2259" t="s">
        <v>2674</v>
      </c>
      <c r="C28" s="2260" t="s">
        <v>2675</v>
      </c>
      <c r="D28" s="2260" t="s">
        <v>2676</v>
      </c>
      <c r="E28" s="2261" t="s">
        <v>2677</v>
      </c>
      <c r="F28" s="2262"/>
      <c r="G28" s="2194"/>
      <c r="H28" s="2194"/>
      <c r="I28" s="2194"/>
      <c r="J28" s="2195"/>
      <c r="K28" s="1251"/>
      <c r="L28" s="2213" t="s">
        <v>2646</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2678</v>
      </c>
      <c r="C29" s="179">
        <f>ROUND(C5*C18*C19*C20*C21*C24,0)</f>
        <v>14882</v>
      </c>
      <c r="D29" s="2265">
        <f>'数据-汇总表'!F19</f>
        <v>14586.08</v>
      </c>
      <c r="E29" s="878">
        <f>ROUND(C29*D29/10000,0)</f>
        <v>21707</v>
      </c>
      <c r="F29" s="2266" t="s">
        <v>2679</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8" thickBot="1">
      <c r="A30" s="2269"/>
      <c r="B30" s="2270" t="s">
        <v>2680</v>
      </c>
      <c r="C30" s="192">
        <f>ROUND(IF(E2="工业",C29*M39,C29*M38),0)</f>
        <v>3721</v>
      </c>
      <c r="D30" s="2271"/>
      <c r="E30" s="878">
        <f>ROUND(C30*D30/10000,0)</f>
        <v>0</v>
      </c>
      <c r="F30" s="2272" t="s">
        <v>2681</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3.8">
      <c r="A31" s="2275"/>
      <c r="B31" s="2276" t="s">
        <v>2682</v>
      </c>
      <c r="C31" s="2277" t="s">
        <v>2683</v>
      </c>
      <c r="D31" s="2194"/>
      <c r="E31" s="2277"/>
      <c r="F31" s="2277"/>
      <c r="G31" s="2192" t="s">
        <v>2684</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36">
      <c r="A32" s="2263"/>
      <c r="B32" s="2279"/>
      <c r="C32" s="457" t="s">
        <v>2675</v>
      </c>
      <c r="D32" s="454" t="s">
        <v>2676</v>
      </c>
      <c r="E32" s="454" t="s">
        <v>2677</v>
      </c>
      <c r="F32" s="347" t="s">
        <v>2685</v>
      </c>
      <c r="G32" s="2280" t="s">
        <v>2675</v>
      </c>
      <c r="H32" s="2280" t="s">
        <v>2676</v>
      </c>
      <c r="I32" s="2280" t="s">
        <v>2677</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398"/>
      <c r="B33" s="2281" t="s">
        <v>2686</v>
      </c>
      <c r="C33" s="179">
        <f>ROUND(D5*C19*C20*C24*F33,0)</f>
        <v>9749</v>
      </c>
      <c r="D33" s="2265"/>
      <c r="E33" s="175">
        <f>ROUND(C33*D33/10000,0)</f>
        <v>0</v>
      </c>
      <c r="F33" s="175">
        <f>SUMIF(修正!A45:A56,G2,修正!B45:B56)</f>
        <v>0.7</v>
      </c>
      <c r="G33" s="175">
        <f t="shared" ref="G33" si="6">ROUND(IF(E2="工业",C33*$M$39,C33*$M$38),0)</f>
        <v>2437</v>
      </c>
      <c r="H33" s="175">
        <f>D33</f>
        <v>0</v>
      </c>
      <c r="I33" s="175">
        <f>ROUND(G33*H33/10000,0)</f>
        <v>0</v>
      </c>
      <c r="J33" s="3403" t="s">
        <v>2986</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3.8">
      <c r="A34" s="3399"/>
      <c r="B34" s="2198" t="s">
        <v>2687</v>
      </c>
      <c r="C34" s="179">
        <f>ROUND(D5*C19*C20*C24*F34,0)</f>
        <v>5571</v>
      </c>
      <c r="D34" s="2265"/>
      <c r="E34" s="175">
        <f t="shared" ref="E34:E39" si="7">ROUND(C34*D34/10000,0)</f>
        <v>0</v>
      </c>
      <c r="F34" s="175">
        <f>SUMIF(修正!A45:A56,G2,修正!C45:C56)</f>
        <v>0.4</v>
      </c>
      <c r="G34" s="175">
        <f>ROUND(IF(E2="工业",C34*$M$39,C34*$M$38),0)</f>
        <v>1393</v>
      </c>
      <c r="H34" s="175">
        <f t="shared" ref="H34:H39" si="8">D34</f>
        <v>0</v>
      </c>
      <c r="I34" s="175">
        <f t="shared" ref="I34:I39" si="9">ROUND(G34*H34/10000,0)</f>
        <v>0</v>
      </c>
      <c r="J34" s="3399"/>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399"/>
      <c r="B35" s="2198" t="s">
        <v>2688</v>
      </c>
      <c r="C35" s="179">
        <f>ROUND(D5*C19*C20*C24*F35,0)</f>
        <v>3900</v>
      </c>
      <c r="D35" s="2265"/>
      <c r="E35" s="175">
        <f t="shared" si="7"/>
        <v>0</v>
      </c>
      <c r="F35" s="175">
        <f>SUMIF(修正!A45:A56,G2,修正!D45:D56)</f>
        <v>0.28000000000000003</v>
      </c>
      <c r="G35" s="175">
        <f>ROUND(IF(E2="工业",C35*$M$39,C35*$M$38),0)</f>
        <v>975</v>
      </c>
      <c r="H35" s="175">
        <f t="shared" si="8"/>
        <v>0</v>
      </c>
      <c r="I35" s="175">
        <f t="shared" si="9"/>
        <v>0</v>
      </c>
      <c r="J35" s="3399"/>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8" thickBot="1">
      <c r="A36" s="3400"/>
      <c r="B36" s="2198" t="s">
        <v>2689</v>
      </c>
      <c r="C36" s="179">
        <f>ROUND(D5*C19*C20*C24*F36,0)</f>
        <v>3482</v>
      </c>
      <c r="D36" s="2265"/>
      <c r="E36" s="175">
        <f t="shared" si="7"/>
        <v>0</v>
      </c>
      <c r="F36" s="175">
        <f>SUMIF(修正!A45:A56,G2,修正!E45:E56)</f>
        <v>0.25</v>
      </c>
      <c r="G36" s="175">
        <f>ROUND(IF(E2="工业",C36*$M$39,C36*$M$38),0)</f>
        <v>871</v>
      </c>
      <c r="H36" s="175">
        <f t="shared" si="8"/>
        <v>0</v>
      </c>
      <c r="I36" s="175">
        <f t="shared" si="9"/>
        <v>0</v>
      </c>
      <c r="J36" s="3400"/>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2690</v>
      </c>
      <c r="C37" s="175">
        <f>ROUND(D5*C19*C20*C24*F37,0)</f>
        <v>3482</v>
      </c>
      <c r="D37" s="2265"/>
      <c r="E37" s="175">
        <f t="shared" si="7"/>
        <v>0</v>
      </c>
      <c r="F37" s="179">
        <f>SUMIF(修正!A45:A56,G2,修正!F45:F56)</f>
        <v>0.25</v>
      </c>
      <c r="G37" s="175">
        <f>ROUND(IF(E2="工业",C37*$M$39,C37*$M$38),0)</f>
        <v>871</v>
      </c>
      <c r="H37" s="175">
        <f t="shared" si="8"/>
        <v>0</v>
      </c>
      <c r="I37" s="175">
        <f t="shared" si="9"/>
        <v>0</v>
      </c>
      <c r="J37" s="2282"/>
      <c r="K37" s="1251"/>
      <c r="L37" s="2284" t="s">
        <v>2691</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2692</v>
      </c>
      <c r="C38" s="175">
        <f>ROUND(D5*C19*C41*C24*F38,0)</f>
        <v>0</v>
      </c>
      <c r="D38" s="2265"/>
      <c r="E38" s="175">
        <f t="shared" si="7"/>
        <v>0</v>
      </c>
      <c r="F38" s="179">
        <f>SUMIF(修正!A45:A56,G2,修正!G45:G56)</f>
        <v>0.25</v>
      </c>
      <c r="G38" s="175">
        <f>ROUND(IF(E2="工业",C38*$M$39,C38*$M$38),0)</f>
        <v>0</v>
      </c>
      <c r="H38" s="175">
        <f t="shared" si="8"/>
        <v>0</v>
      </c>
      <c r="I38" s="175">
        <f t="shared" si="9"/>
        <v>0</v>
      </c>
      <c r="J38" s="2282"/>
      <c r="K38" s="1251"/>
      <c r="L38" s="1574" t="s">
        <v>2693</v>
      </c>
      <c r="M38" s="2286">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9"/>
      <c r="B39" s="2287" t="s">
        <v>2694</v>
      </c>
      <c r="C39" s="192">
        <f>ROUND(D5*C19*C41*C24*F39,0)</f>
        <v>0</v>
      </c>
      <c r="D39" s="2271"/>
      <c r="E39" s="192">
        <f t="shared" si="7"/>
        <v>0</v>
      </c>
      <c r="F39" s="870">
        <f>SUMIF(修正!A45:A56,G2,修正!H45:H56)</f>
        <v>0.2</v>
      </c>
      <c r="G39" s="192">
        <f>ROUND(IF(E2="工业",C39*$M$39,C39*$M$38),0)</f>
        <v>0</v>
      </c>
      <c r="H39" s="192">
        <f t="shared" si="8"/>
        <v>0</v>
      </c>
      <c r="I39" s="192">
        <f t="shared" si="9"/>
        <v>0</v>
      </c>
      <c r="J39" s="2288"/>
      <c r="K39" s="1251"/>
      <c r="L39" s="2289" t="s">
        <v>2639</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9" t="s">
        <v>2799</v>
      </c>
      <c r="C41" s="347">
        <f>ROUND(POWER(1+E41,H41-G41)*(POWER(1+E41,G41)-1)/(POWER(1+E41,H41)-1),4)</f>
        <v>0</v>
      </c>
      <c r="D41" s="175" t="s">
        <v>2646</v>
      </c>
      <c r="E41" s="2338">
        <f>G20</f>
        <v>5.3999999999999999E-2</v>
      </c>
      <c r="F41" s="175" t="s">
        <v>2655</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 thickBot="1">
      <c r="A45" s="2292" t="s">
        <v>2695</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4.4">
      <c r="A46" s="2294" t="s">
        <v>2696</v>
      </c>
      <c r="B46" s="2295">
        <f>1+E48</f>
        <v>1.0427</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5.2">
      <c r="A47" s="2298" t="s">
        <v>2697</v>
      </c>
      <c r="B47" s="1504" t="s">
        <v>2698</v>
      </c>
      <c r="C47" s="1504" t="s">
        <v>2699</v>
      </c>
      <c r="D47" s="1504" t="s">
        <v>2700</v>
      </c>
      <c r="E47" s="757" t="s">
        <v>2701</v>
      </c>
      <c r="F47" s="2299" t="s">
        <v>2702</v>
      </c>
      <c r="G47" s="1504" t="s">
        <v>754</v>
      </c>
      <c r="H47" s="2300" t="s">
        <v>2703</v>
      </c>
      <c r="I47" s="1504" t="s">
        <v>2704</v>
      </c>
      <c r="J47" s="559" t="s">
        <v>2355</v>
      </c>
      <c r="K47" s="559" t="s">
        <v>2356</v>
      </c>
      <c r="L47" s="559" t="s">
        <v>2357</v>
      </c>
      <c r="M47" s="559" t="s">
        <v>2358</v>
      </c>
      <c r="N47" s="559" t="s">
        <v>2359</v>
      </c>
      <c r="AA47" s="1252"/>
      <c r="AB47" s="1252"/>
      <c r="AC47" s="1252"/>
      <c r="AD47" s="1252"/>
      <c r="AE47" s="1252"/>
      <c r="AF47" s="1252"/>
      <c r="AG47" s="1252"/>
      <c r="AH47" s="1252"/>
      <c r="AI47" s="1252"/>
      <c r="AJ47" s="1252"/>
      <c r="AK47" s="1252"/>
    </row>
    <row r="48" spans="1:37" s="1251" customFormat="1" ht="25.2">
      <c r="A48" s="2298" t="s">
        <v>2705</v>
      </c>
      <c r="B48" s="2301" t="str">
        <f>估价对象房地状况!C4</f>
        <v>一般</v>
      </c>
      <c r="C48" s="2203" t="s">
        <v>3196</v>
      </c>
      <c r="D48" s="1195">
        <f t="shared" ref="D48:D56" si="10">SUMIF($J$47:$N$47,C48,J48:N48)</f>
        <v>0</v>
      </c>
      <c r="E48" s="759">
        <f>ROUND(SUM(D48:D56),4)</f>
        <v>4.2700000000000002E-2</v>
      </c>
      <c r="F48" s="1969">
        <f>IF(E2="商业",SUMIF(L1:L12,G2,N1:N12),"——")</f>
        <v>0.13</v>
      </c>
      <c r="G48" s="1193">
        <f>H48</f>
        <v>2.1399999999999999E-2</v>
      </c>
      <c r="H48" s="1197">
        <f t="shared" ref="H48:H56" si="11">IFERROR(ROUNDDOWN($F$48*I48/2,4),"——")</f>
        <v>2.1399999999999999E-2</v>
      </c>
      <c r="I48" s="758">
        <v>0.33</v>
      </c>
      <c r="J48" s="1194">
        <f t="shared" ref="J48:J56" si="12">K48+$G48</f>
        <v>4.2799999999999998E-2</v>
      </c>
      <c r="K48" s="1194">
        <f t="shared" ref="K48:K56" si="13">$L48+$G48</f>
        <v>2.1399999999999999E-2</v>
      </c>
      <c r="L48" s="1194">
        <v>0</v>
      </c>
      <c r="M48" s="1194">
        <f t="shared" ref="M48:N56" si="14">L48-$G48</f>
        <v>-2.1399999999999999E-2</v>
      </c>
      <c r="N48" s="1194">
        <f t="shared" si="14"/>
        <v>-4.2799999999999998E-2</v>
      </c>
      <c r="AA48" s="1252"/>
      <c r="AB48" s="1252"/>
      <c r="AC48" s="1252"/>
      <c r="AD48" s="1252"/>
      <c r="AE48" s="1252"/>
      <c r="AF48" s="1252"/>
      <c r="AG48" s="1252"/>
      <c r="AH48" s="1252"/>
      <c r="AI48" s="1252"/>
      <c r="AJ48" s="1252"/>
      <c r="AK48" s="1252"/>
    </row>
    <row r="49" spans="1:37" s="1251" customFormat="1" ht="24">
      <c r="A49" s="2298" t="s">
        <v>2706</v>
      </c>
      <c r="B49" s="2302" t="str">
        <f>估价对象房地状况!C18</f>
        <v>好</v>
      </c>
      <c r="C49" s="2203" t="s">
        <v>3198</v>
      </c>
      <c r="D49" s="1195">
        <f t="shared" si="10"/>
        <v>1.6199999999999999E-2</v>
      </c>
      <c r="E49" s="760"/>
      <c r="F49" s="1969"/>
      <c r="G49" s="1193">
        <f>H49</f>
        <v>1.6199999999999999E-2</v>
      </c>
      <c r="H49" s="1197">
        <f t="shared" si="11"/>
        <v>1.6199999999999999E-2</v>
      </c>
      <c r="I49" s="758">
        <v>0.25</v>
      </c>
      <c r="J49" s="1194">
        <f t="shared" si="12"/>
        <v>3.2399999999999998E-2</v>
      </c>
      <c r="K49" s="1194">
        <f t="shared" si="13"/>
        <v>1.6199999999999999E-2</v>
      </c>
      <c r="L49" s="1194">
        <v>0</v>
      </c>
      <c r="M49" s="1194">
        <f t="shared" si="14"/>
        <v>-1.6199999999999999E-2</v>
      </c>
      <c r="N49" s="1194">
        <f t="shared" si="14"/>
        <v>-3.2399999999999998E-2</v>
      </c>
      <c r="AA49" s="1252"/>
      <c r="AB49" s="1252"/>
      <c r="AC49" s="1252"/>
      <c r="AD49" s="1252"/>
      <c r="AE49" s="1252"/>
      <c r="AF49" s="1252"/>
      <c r="AG49" s="1252"/>
      <c r="AH49" s="1252"/>
      <c r="AI49" s="1252"/>
      <c r="AJ49" s="1252"/>
      <c r="AK49" s="1252"/>
    </row>
    <row r="50" spans="1:37" s="1251" customFormat="1" ht="24">
      <c r="A50" s="2298" t="s">
        <v>2707</v>
      </c>
      <c r="B50" s="2302">
        <f>估价对象房地状况!C19</f>
        <v>0</v>
      </c>
      <c r="C50" s="2203" t="s">
        <v>3198</v>
      </c>
      <c r="D50" s="1195">
        <f t="shared" si="10"/>
        <v>3.2000000000000002E-3</v>
      </c>
      <c r="E50" s="760"/>
      <c r="F50" s="1969"/>
      <c r="G50" s="1193">
        <f t="shared" ref="G50:G55" si="15">H50</f>
        <v>3.2000000000000002E-3</v>
      </c>
      <c r="H50" s="1197">
        <f t="shared" si="11"/>
        <v>3.2000000000000002E-3</v>
      </c>
      <c r="I50" s="758">
        <v>0.05</v>
      </c>
      <c r="J50" s="1194">
        <f t="shared" si="12"/>
        <v>6.4000000000000003E-3</v>
      </c>
      <c r="K50" s="1194">
        <f t="shared" si="13"/>
        <v>3.2000000000000002E-3</v>
      </c>
      <c r="L50" s="1194">
        <v>0</v>
      </c>
      <c r="M50" s="1194">
        <f t="shared" si="14"/>
        <v>-3.2000000000000002E-3</v>
      </c>
      <c r="N50" s="1194">
        <f t="shared" si="14"/>
        <v>-6.4000000000000003E-3</v>
      </c>
      <c r="AA50" s="1252"/>
      <c r="AB50" s="1252"/>
      <c r="AC50" s="1252"/>
      <c r="AD50" s="1252"/>
      <c r="AE50" s="1252"/>
      <c r="AF50" s="1252"/>
      <c r="AG50" s="1252"/>
      <c r="AH50" s="1252"/>
      <c r="AI50" s="1252"/>
      <c r="AJ50" s="1252"/>
      <c r="AK50" s="1252"/>
    </row>
    <row r="51" spans="1:37" s="1251" customFormat="1" ht="24">
      <c r="A51" s="2298" t="s">
        <v>2708</v>
      </c>
      <c r="B51" s="2303"/>
      <c r="C51" s="2203" t="s">
        <v>3196</v>
      </c>
      <c r="D51" s="1195">
        <f t="shared" si="10"/>
        <v>0</v>
      </c>
      <c r="E51" s="760"/>
      <c r="F51" s="1969"/>
      <c r="G51" s="1193">
        <f t="shared" si="15"/>
        <v>3.2000000000000002E-3</v>
      </c>
      <c r="H51" s="1197">
        <f t="shared" si="11"/>
        <v>3.2000000000000002E-3</v>
      </c>
      <c r="I51" s="758">
        <v>0.05</v>
      </c>
      <c r="J51" s="1194">
        <f t="shared" si="12"/>
        <v>6.4000000000000003E-3</v>
      </c>
      <c r="K51" s="1194">
        <f t="shared" si="13"/>
        <v>3.2000000000000002E-3</v>
      </c>
      <c r="L51" s="1194">
        <v>0</v>
      </c>
      <c r="M51" s="1194">
        <f t="shared" si="14"/>
        <v>-3.2000000000000002E-3</v>
      </c>
      <c r="N51" s="1194">
        <f t="shared" si="14"/>
        <v>-6.4000000000000003E-3</v>
      </c>
      <c r="AA51" s="1252"/>
      <c r="AB51" s="1252"/>
      <c r="AC51" s="1252"/>
      <c r="AD51" s="1252"/>
      <c r="AE51" s="1252"/>
      <c r="AF51" s="1252"/>
      <c r="AG51" s="1252"/>
      <c r="AH51" s="1252"/>
      <c r="AI51" s="1252"/>
      <c r="AJ51" s="1252"/>
      <c r="AK51" s="1252"/>
    </row>
    <row r="52" spans="1:37" s="1251" customFormat="1" ht="24">
      <c r="A52" s="2298" t="s">
        <v>2710</v>
      </c>
      <c r="B52" s="2302" t="str">
        <f>估价对象房地状况!C24</f>
        <v>主干道</v>
      </c>
      <c r="C52" s="2203" t="s">
        <v>3198</v>
      </c>
      <c r="D52" s="1195">
        <f t="shared" si="10"/>
        <v>5.1999999999999998E-3</v>
      </c>
      <c r="E52" s="760"/>
      <c r="F52" s="1969"/>
      <c r="G52" s="1193">
        <f t="shared" si="15"/>
        <v>5.1999999999999998E-3</v>
      </c>
      <c r="H52" s="1197">
        <f t="shared" si="11"/>
        <v>5.1999999999999998E-3</v>
      </c>
      <c r="I52" s="758">
        <v>0.08</v>
      </c>
      <c r="J52" s="1194">
        <f t="shared" si="12"/>
        <v>1.04E-2</v>
      </c>
      <c r="K52" s="1194">
        <f t="shared" si="13"/>
        <v>5.1999999999999998E-3</v>
      </c>
      <c r="L52" s="1194">
        <v>0</v>
      </c>
      <c r="M52" s="1194">
        <f t="shared" si="14"/>
        <v>-5.1999999999999998E-3</v>
      </c>
      <c r="N52" s="1194">
        <f t="shared" si="14"/>
        <v>-1.04E-2</v>
      </c>
      <c r="AA52" s="1252"/>
      <c r="AB52" s="1252"/>
      <c r="AC52" s="1252"/>
      <c r="AD52" s="1252"/>
      <c r="AE52" s="1252"/>
      <c r="AF52" s="1252"/>
      <c r="AG52" s="1252"/>
      <c r="AH52" s="1252"/>
      <c r="AI52" s="1252"/>
      <c r="AJ52" s="1252"/>
      <c r="AK52" s="1252"/>
    </row>
    <row r="53" spans="1:37" s="1251" customFormat="1" ht="36">
      <c r="A53" s="2298" t="s">
        <v>2711</v>
      </c>
      <c r="B53" s="2304"/>
      <c r="C53" s="2203" t="s">
        <v>3198</v>
      </c>
      <c r="D53" s="1195">
        <f t="shared" si="10"/>
        <v>1.9E-3</v>
      </c>
      <c r="E53" s="760"/>
      <c r="F53" s="1969"/>
      <c r="G53" s="1193">
        <f t="shared" si="15"/>
        <v>1.9E-3</v>
      </c>
      <c r="H53" s="1197">
        <f t="shared" si="11"/>
        <v>1.9E-3</v>
      </c>
      <c r="I53" s="758">
        <v>0.03</v>
      </c>
      <c r="J53" s="1194">
        <f t="shared" si="12"/>
        <v>3.8E-3</v>
      </c>
      <c r="K53" s="1194">
        <f t="shared" si="13"/>
        <v>1.9E-3</v>
      </c>
      <c r="L53" s="1194">
        <v>0</v>
      </c>
      <c r="M53" s="1194">
        <f t="shared" si="14"/>
        <v>-1.9E-3</v>
      </c>
      <c r="N53" s="1194">
        <f t="shared" si="14"/>
        <v>-3.8E-3</v>
      </c>
      <c r="AA53" s="1252"/>
      <c r="AB53" s="1252"/>
      <c r="AC53" s="1252"/>
      <c r="AD53" s="1252"/>
      <c r="AE53" s="1252"/>
      <c r="AF53" s="1252"/>
      <c r="AG53" s="1252"/>
      <c r="AH53" s="1252"/>
      <c r="AI53" s="1252"/>
      <c r="AJ53" s="1252"/>
      <c r="AK53" s="1252"/>
    </row>
    <row r="54" spans="1:37" s="1251" customFormat="1" ht="24">
      <c r="A54" s="2305" t="s">
        <v>2713</v>
      </c>
      <c r="B54" s="1465" t="str">
        <f>估价对象房地状况!C21</f>
        <v>较好</v>
      </c>
      <c r="C54" s="2203" t="s">
        <v>3198</v>
      </c>
      <c r="D54" s="1195">
        <f t="shared" si="10"/>
        <v>3.2000000000000002E-3</v>
      </c>
      <c r="E54" s="760"/>
      <c r="F54" s="1969"/>
      <c r="G54" s="1193">
        <f t="shared" si="15"/>
        <v>3.2000000000000002E-3</v>
      </c>
      <c r="H54" s="1197">
        <f t="shared" si="11"/>
        <v>3.2000000000000002E-3</v>
      </c>
      <c r="I54" s="758">
        <v>0.05</v>
      </c>
      <c r="J54" s="1194">
        <f t="shared" si="12"/>
        <v>6.4000000000000003E-3</v>
      </c>
      <c r="K54" s="1194">
        <f t="shared" si="13"/>
        <v>3.2000000000000002E-3</v>
      </c>
      <c r="L54" s="1194">
        <v>0</v>
      </c>
      <c r="M54" s="1194">
        <f t="shared" si="14"/>
        <v>-3.2000000000000002E-3</v>
      </c>
      <c r="N54" s="1194">
        <f t="shared" si="14"/>
        <v>-6.4000000000000003E-3</v>
      </c>
      <c r="AA54" s="1252"/>
      <c r="AB54" s="1252"/>
      <c r="AC54" s="1252"/>
      <c r="AD54" s="1252"/>
      <c r="AE54" s="1252"/>
      <c r="AF54" s="1252"/>
      <c r="AG54" s="1252"/>
      <c r="AH54" s="1252"/>
      <c r="AI54" s="1252"/>
      <c r="AJ54" s="1252"/>
      <c r="AK54" s="1252"/>
    </row>
    <row r="55" spans="1:37" s="1251" customFormat="1" ht="24">
      <c r="A55" s="2305" t="s">
        <v>2714</v>
      </c>
      <c r="B55" s="2302" t="str">
        <f>估价对象房地状况!C22</f>
        <v>七通</v>
      </c>
      <c r="C55" s="2203" t="s">
        <v>3197</v>
      </c>
      <c r="D55" s="1195">
        <f t="shared" si="10"/>
        <v>1.2999999999999999E-2</v>
      </c>
      <c r="E55" s="760"/>
      <c r="F55" s="1969"/>
      <c r="G55" s="1193">
        <f t="shared" si="15"/>
        <v>6.4999999999999997E-3</v>
      </c>
      <c r="H55" s="1197">
        <f t="shared" si="11"/>
        <v>6.4999999999999997E-3</v>
      </c>
      <c r="I55" s="758">
        <v>0.1</v>
      </c>
      <c r="J55" s="1194">
        <f t="shared" si="12"/>
        <v>1.2999999999999999E-2</v>
      </c>
      <c r="K55" s="1194">
        <f t="shared" si="13"/>
        <v>6.4999999999999997E-3</v>
      </c>
      <c r="L55" s="1194">
        <v>0</v>
      </c>
      <c r="M55" s="1194">
        <f t="shared" si="14"/>
        <v>-6.4999999999999997E-3</v>
      </c>
      <c r="N55" s="1194">
        <f t="shared" si="14"/>
        <v>-1.2999999999999999E-2</v>
      </c>
      <c r="AA55" s="1252"/>
      <c r="AB55" s="1252"/>
      <c r="AC55" s="1252"/>
      <c r="AD55" s="1252"/>
      <c r="AE55" s="1252"/>
      <c r="AF55" s="1252"/>
      <c r="AG55" s="1252"/>
      <c r="AH55" s="1252"/>
      <c r="AI55" s="1252"/>
      <c r="AJ55" s="1252"/>
      <c r="AK55" s="1252"/>
    </row>
    <row r="56" spans="1:37" s="1251" customFormat="1" ht="36.6" thickBot="1">
      <c r="A56" s="2306" t="s">
        <v>2715</v>
      </c>
      <c r="B56" s="2307" t="str">
        <f>估价对象房地状况!C20</f>
        <v>一般</v>
      </c>
      <c r="C56" s="2203" t="s">
        <v>3196</v>
      </c>
      <c r="D56" s="1195">
        <f t="shared" si="10"/>
        <v>0</v>
      </c>
      <c r="E56" s="763"/>
      <c r="F56" s="1969"/>
      <c r="G56" s="1193">
        <f>H56</f>
        <v>3.8999999999999998E-3</v>
      </c>
      <c r="H56" s="1197">
        <f t="shared" si="11"/>
        <v>3.8999999999999998E-3</v>
      </c>
      <c r="I56" s="762">
        <v>0.06</v>
      </c>
      <c r="J56" s="1194">
        <f t="shared" si="12"/>
        <v>7.7999999999999996E-3</v>
      </c>
      <c r="K56" s="1194">
        <f t="shared" si="13"/>
        <v>3.8999999999999998E-3</v>
      </c>
      <c r="L56" s="1194">
        <v>0</v>
      </c>
      <c r="M56" s="1194">
        <f t="shared" si="14"/>
        <v>-3.8999999999999998E-3</v>
      </c>
      <c r="N56" s="1194">
        <f t="shared" si="14"/>
        <v>-7.7999999999999996E-3</v>
      </c>
      <c r="AA56" s="1252"/>
      <c r="AB56" s="1252"/>
      <c r="AC56" s="1252"/>
      <c r="AD56" s="1252"/>
      <c r="AE56" s="1252"/>
      <c r="AF56" s="1252"/>
      <c r="AG56" s="1252"/>
      <c r="AH56" s="1252"/>
      <c r="AI56" s="1252"/>
      <c r="AJ56" s="1252"/>
      <c r="AK56" s="1252"/>
    </row>
    <row r="57" spans="1:37" s="1251" customFormat="1" ht="14.4">
      <c r="A57" s="2294" t="s">
        <v>2716</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c r="A58" s="2298" t="s">
        <v>2697</v>
      </c>
      <c r="B58" s="1504"/>
      <c r="C58" s="1504" t="s">
        <v>2699</v>
      </c>
      <c r="D58" s="1504" t="s">
        <v>2700</v>
      </c>
      <c r="E58" s="757" t="s">
        <v>2701</v>
      </c>
      <c r="F58" s="2299" t="s">
        <v>2717</v>
      </c>
      <c r="G58" s="1504" t="s">
        <v>754</v>
      </c>
      <c r="H58" s="2300" t="s">
        <v>2703</v>
      </c>
      <c r="I58" s="1504" t="s">
        <v>2704</v>
      </c>
      <c r="J58" s="559" t="s">
        <v>2355</v>
      </c>
      <c r="K58" s="559" t="s">
        <v>2356</v>
      </c>
      <c r="L58" s="559" t="s">
        <v>2357</v>
      </c>
      <c r="M58" s="559" t="s">
        <v>2358</v>
      </c>
      <c r="N58" s="559" t="s">
        <v>2359</v>
      </c>
      <c r="AA58" s="1252"/>
      <c r="AB58" s="1252"/>
      <c r="AC58" s="1252"/>
      <c r="AD58" s="1252"/>
      <c r="AE58" s="1252"/>
      <c r="AF58" s="1252"/>
      <c r="AG58" s="1252"/>
      <c r="AH58" s="1252"/>
      <c r="AI58" s="1252"/>
      <c r="AJ58" s="1252"/>
      <c r="AK58" s="1252"/>
    </row>
    <row r="59" spans="1:37" s="1251" customFormat="1" ht="24">
      <c r="A59" s="2298" t="s">
        <v>2718</v>
      </c>
      <c r="B59" s="2301" t="str">
        <f>估价对象房地状况!C17</f>
        <v>一般</v>
      </c>
      <c r="C59" s="2203"/>
      <c r="D59" s="1195">
        <f t="shared" ref="D59:D67" si="16">SUMIF($J$58:$N$58,C59,J59:N59)</f>
        <v>0</v>
      </c>
      <c r="E59" s="759">
        <f>ROUND(SUM(D59:D67),4)</f>
        <v>0</v>
      </c>
      <c r="F59" s="1969"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52"/>
      <c r="AB59" s="1252"/>
      <c r="AC59" s="1252"/>
      <c r="AD59" s="1252"/>
      <c r="AE59" s="1252"/>
      <c r="AF59" s="1252"/>
      <c r="AG59" s="1252"/>
      <c r="AH59" s="1252"/>
      <c r="AI59" s="1252"/>
      <c r="AJ59" s="1252"/>
      <c r="AK59" s="1252"/>
    </row>
    <row r="60" spans="1:37" s="1251" customFormat="1" ht="24">
      <c r="A60" s="2298" t="s">
        <v>2706</v>
      </c>
      <c r="B60" s="2302" t="str">
        <f>估价对象房地状况!C18</f>
        <v>好</v>
      </c>
      <c r="C60" s="2203"/>
      <c r="D60" s="1195">
        <f t="shared" si="16"/>
        <v>0</v>
      </c>
      <c r="E60" s="760"/>
      <c r="F60" s="1969"/>
      <c r="G60" s="1193"/>
      <c r="H60" s="1197" t="str">
        <f t="shared" si="17"/>
        <v>——</v>
      </c>
      <c r="I60" s="758">
        <v>0.3</v>
      </c>
      <c r="J60" s="1194">
        <f t="shared" si="18"/>
        <v>0</v>
      </c>
      <c r="K60" s="1194">
        <f t="shared" si="19"/>
        <v>0</v>
      </c>
      <c r="L60" s="1194">
        <v>0</v>
      </c>
      <c r="M60" s="1194">
        <f t="shared" si="20"/>
        <v>0</v>
      </c>
      <c r="N60" s="1194">
        <f t="shared" si="20"/>
        <v>0</v>
      </c>
      <c r="AA60" s="1252"/>
      <c r="AB60" s="1252"/>
      <c r="AC60" s="1252"/>
      <c r="AD60" s="1252"/>
      <c r="AE60" s="1252"/>
      <c r="AF60" s="1252"/>
      <c r="AG60" s="1252"/>
      <c r="AH60" s="1252"/>
      <c r="AI60" s="1252"/>
      <c r="AJ60" s="1252"/>
      <c r="AK60" s="1252"/>
    </row>
    <row r="61" spans="1:37" s="1251" customFormat="1" ht="24">
      <c r="A61" s="2298" t="s">
        <v>2707</v>
      </c>
      <c r="B61" s="2302">
        <f>估价对象房地状况!C19</f>
        <v>0</v>
      </c>
      <c r="C61" s="2203"/>
      <c r="D61" s="1195">
        <f t="shared" si="16"/>
        <v>0</v>
      </c>
      <c r="E61" s="760"/>
      <c r="F61" s="1969"/>
      <c r="G61" s="1193"/>
      <c r="H61" s="1197" t="str">
        <f t="shared" si="17"/>
        <v>——</v>
      </c>
      <c r="I61" s="758">
        <v>0.08</v>
      </c>
      <c r="J61" s="1194">
        <f t="shared" si="18"/>
        <v>0</v>
      </c>
      <c r="K61" s="1194">
        <f t="shared" si="19"/>
        <v>0</v>
      </c>
      <c r="L61" s="1194">
        <v>0</v>
      </c>
      <c r="M61" s="1194">
        <f t="shared" si="20"/>
        <v>0</v>
      </c>
      <c r="N61" s="1194">
        <f t="shared" si="20"/>
        <v>0</v>
      </c>
      <c r="AA61" s="1252"/>
      <c r="AB61" s="1252"/>
      <c r="AC61" s="1252"/>
      <c r="AD61" s="1252"/>
      <c r="AE61" s="1252"/>
      <c r="AF61" s="1252"/>
      <c r="AG61" s="1252"/>
      <c r="AH61" s="1252"/>
      <c r="AI61" s="1252"/>
      <c r="AJ61" s="1252"/>
      <c r="AK61" s="1252"/>
    </row>
    <row r="62" spans="1:37" s="1251" customFormat="1" ht="50.4">
      <c r="A62" s="2298" t="s">
        <v>2708</v>
      </c>
      <c r="B62" s="2303" t="s">
        <v>2709</v>
      </c>
      <c r="C62" s="2203"/>
      <c r="D62" s="1195">
        <f t="shared" si="16"/>
        <v>0</v>
      </c>
      <c r="E62" s="760"/>
      <c r="F62" s="1969"/>
      <c r="G62" s="1193"/>
      <c r="H62" s="1197" t="str">
        <f t="shared" si="17"/>
        <v>——</v>
      </c>
      <c r="I62" s="758">
        <v>0.04</v>
      </c>
      <c r="J62" s="1194">
        <f t="shared" si="18"/>
        <v>0</v>
      </c>
      <c r="K62" s="1194">
        <f t="shared" si="19"/>
        <v>0</v>
      </c>
      <c r="L62" s="1194">
        <v>0</v>
      </c>
      <c r="M62" s="1194">
        <f t="shared" si="20"/>
        <v>0</v>
      </c>
      <c r="N62" s="1194">
        <f t="shared" si="20"/>
        <v>0</v>
      </c>
      <c r="AA62" s="1252"/>
      <c r="AB62" s="1252"/>
      <c r="AC62" s="1252"/>
      <c r="AD62" s="1252"/>
      <c r="AE62" s="1252"/>
      <c r="AF62" s="1252"/>
      <c r="AG62" s="1252"/>
      <c r="AH62" s="1252"/>
      <c r="AI62" s="1252"/>
      <c r="AJ62" s="1252"/>
      <c r="AK62" s="1252"/>
    </row>
    <row r="63" spans="1:37" s="1251" customFormat="1" ht="24">
      <c r="A63" s="2298" t="s">
        <v>2710</v>
      </c>
      <c r="B63" s="2302" t="str">
        <f>估价对象房地状况!C24</f>
        <v>主干道</v>
      </c>
      <c r="C63" s="2203"/>
      <c r="D63" s="1195">
        <f t="shared" si="16"/>
        <v>0</v>
      </c>
      <c r="E63" s="760"/>
      <c r="F63" s="1969"/>
      <c r="G63" s="1193"/>
      <c r="H63" s="1197" t="str">
        <f t="shared" si="17"/>
        <v>——</v>
      </c>
      <c r="I63" s="758">
        <v>0.05</v>
      </c>
      <c r="J63" s="1194">
        <f t="shared" si="18"/>
        <v>0</v>
      </c>
      <c r="K63" s="1194">
        <f t="shared" si="19"/>
        <v>0</v>
      </c>
      <c r="L63" s="1194">
        <v>0</v>
      </c>
      <c r="M63" s="1194">
        <f t="shared" si="20"/>
        <v>0</v>
      </c>
      <c r="N63" s="1194">
        <f t="shared" si="20"/>
        <v>0</v>
      </c>
      <c r="AA63" s="1252"/>
      <c r="AB63" s="1252"/>
      <c r="AC63" s="1252"/>
      <c r="AD63" s="1252"/>
      <c r="AE63" s="1252"/>
      <c r="AF63" s="1252"/>
      <c r="AG63" s="1252"/>
      <c r="AH63" s="1252"/>
      <c r="AI63" s="1252"/>
      <c r="AJ63" s="1252"/>
      <c r="AK63" s="1252"/>
    </row>
    <row r="64" spans="1:37" s="1251" customFormat="1" ht="36">
      <c r="A64" s="2298" t="s">
        <v>2711</v>
      </c>
      <c r="B64" s="2304" t="s">
        <v>2712</v>
      </c>
      <c r="C64" s="2203"/>
      <c r="D64" s="1195">
        <f t="shared" si="16"/>
        <v>0</v>
      </c>
      <c r="E64" s="760"/>
      <c r="F64" s="1969"/>
      <c r="G64" s="1193"/>
      <c r="H64" s="1197" t="str">
        <f t="shared" si="17"/>
        <v>——</v>
      </c>
      <c r="I64" s="758">
        <v>0.05</v>
      </c>
      <c r="J64" s="1194">
        <f t="shared" si="18"/>
        <v>0</v>
      </c>
      <c r="K64" s="1194">
        <f t="shared" si="19"/>
        <v>0</v>
      </c>
      <c r="L64" s="1194">
        <v>0</v>
      </c>
      <c r="M64" s="1194">
        <f t="shared" si="20"/>
        <v>0</v>
      </c>
      <c r="N64" s="1194">
        <f t="shared" si="20"/>
        <v>0</v>
      </c>
      <c r="AA64" s="1252"/>
      <c r="AB64" s="1252"/>
      <c r="AC64" s="1252"/>
      <c r="AD64" s="1252"/>
      <c r="AE64" s="1252"/>
      <c r="AF64" s="1252"/>
      <c r="AG64" s="1252"/>
      <c r="AH64" s="1252"/>
      <c r="AI64" s="1252"/>
      <c r="AJ64" s="1252"/>
      <c r="AK64" s="1252"/>
    </row>
    <row r="65" spans="1:37" s="1251" customFormat="1" ht="24">
      <c r="A65" s="2298" t="s">
        <v>2713</v>
      </c>
      <c r="B65" s="1465" t="str">
        <f>估价对象房地状况!C21</f>
        <v>较好</v>
      </c>
      <c r="C65" s="2203"/>
      <c r="D65" s="1195">
        <f t="shared" si="16"/>
        <v>0</v>
      </c>
      <c r="E65" s="760"/>
      <c r="F65" s="1969"/>
      <c r="G65" s="1193"/>
      <c r="H65" s="1197" t="str">
        <f t="shared" si="17"/>
        <v>——</v>
      </c>
      <c r="I65" s="758">
        <v>0.06</v>
      </c>
      <c r="J65" s="1194">
        <f t="shared" si="18"/>
        <v>0</v>
      </c>
      <c r="K65" s="1194">
        <f t="shared" si="19"/>
        <v>0</v>
      </c>
      <c r="L65" s="1194">
        <v>0</v>
      </c>
      <c r="M65" s="1194">
        <f t="shared" si="20"/>
        <v>0</v>
      </c>
      <c r="N65" s="1194">
        <f t="shared" si="20"/>
        <v>0</v>
      </c>
      <c r="AA65" s="1252"/>
      <c r="AB65" s="1252"/>
      <c r="AC65" s="1252"/>
      <c r="AD65" s="1252"/>
      <c r="AE65" s="1252"/>
      <c r="AF65" s="1252"/>
      <c r="AG65" s="1252"/>
      <c r="AH65" s="1252"/>
      <c r="AI65" s="1252"/>
      <c r="AJ65" s="1252"/>
      <c r="AK65" s="1252"/>
    </row>
    <row r="66" spans="1:37" s="1251" customFormat="1" ht="24">
      <c r="A66" s="2298" t="s">
        <v>2714</v>
      </c>
      <c r="B66" s="1465" t="str">
        <f>估价对象房地状况!C22</f>
        <v>七通</v>
      </c>
      <c r="C66" s="2203"/>
      <c r="D66" s="1195">
        <f t="shared" si="16"/>
        <v>0</v>
      </c>
      <c r="E66" s="760"/>
      <c r="F66" s="1969"/>
      <c r="G66" s="1193"/>
      <c r="H66" s="1197" t="str">
        <f t="shared" si="17"/>
        <v>——</v>
      </c>
      <c r="I66" s="758">
        <v>0.12</v>
      </c>
      <c r="J66" s="1194">
        <f t="shared" si="18"/>
        <v>0</v>
      </c>
      <c r="K66" s="1194">
        <f t="shared" si="19"/>
        <v>0</v>
      </c>
      <c r="L66" s="1194">
        <v>0</v>
      </c>
      <c r="M66" s="1194">
        <f t="shared" si="20"/>
        <v>0</v>
      </c>
      <c r="N66" s="1194">
        <f t="shared" si="20"/>
        <v>0</v>
      </c>
      <c r="AA66" s="1252"/>
      <c r="AB66" s="1252"/>
      <c r="AC66" s="1252"/>
      <c r="AD66" s="1252"/>
      <c r="AE66" s="1252"/>
      <c r="AF66" s="1252"/>
      <c r="AG66" s="1252"/>
      <c r="AH66" s="1252"/>
      <c r="AI66" s="1252"/>
      <c r="AJ66" s="1252"/>
      <c r="AK66" s="1252"/>
    </row>
    <row r="67" spans="1:37" s="1251" customFormat="1" ht="36.6" thickBot="1">
      <c r="A67" s="2306" t="s">
        <v>2715</v>
      </c>
      <c r="B67" s="2308" t="str">
        <f>估价对象房地状况!C20</f>
        <v>一般</v>
      </c>
      <c r="C67" s="2203"/>
      <c r="D67" s="1195">
        <f t="shared" si="16"/>
        <v>0</v>
      </c>
      <c r="E67" s="763"/>
      <c r="F67" s="1969"/>
      <c r="G67" s="1193"/>
      <c r="H67" s="1197" t="str">
        <f t="shared" si="17"/>
        <v>——</v>
      </c>
      <c r="I67" s="762">
        <v>0.06</v>
      </c>
      <c r="J67" s="1194">
        <f t="shared" si="18"/>
        <v>0</v>
      </c>
      <c r="K67" s="1194">
        <f t="shared" si="19"/>
        <v>0</v>
      </c>
      <c r="L67" s="1194">
        <v>0</v>
      </c>
      <c r="M67" s="1194">
        <f t="shared" si="20"/>
        <v>0</v>
      </c>
      <c r="N67" s="1194">
        <f t="shared" si="20"/>
        <v>0</v>
      </c>
      <c r="AA67" s="1252"/>
      <c r="AB67" s="1252"/>
      <c r="AC67" s="1252"/>
      <c r="AD67" s="1252"/>
      <c r="AE67" s="1252"/>
      <c r="AF67" s="1252"/>
      <c r="AG67" s="1252"/>
      <c r="AH67" s="1252"/>
      <c r="AI67" s="1252"/>
      <c r="AJ67" s="1252"/>
      <c r="AK67" s="1252"/>
    </row>
    <row r="68" spans="1:37" s="1251" customFormat="1" ht="14.4">
      <c r="A68" s="2294" t="s">
        <v>2719</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c r="A69" s="2298" t="s">
        <v>2697</v>
      </c>
      <c r="B69" s="1504"/>
      <c r="C69" s="1504" t="s">
        <v>2699</v>
      </c>
      <c r="D69" s="1504" t="s">
        <v>2700</v>
      </c>
      <c r="E69" s="757" t="s">
        <v>2701</v>
      </c>
      <c r="F69" s="2299" t="s">
        <v>2717</v>
      </c>
      <c r="G69" s="1504" t="s">
        <v>754</v>
      </c>
      <c r="H69" s="2300" t="s">
        <v>2703</v>
      </c>
      <c r="I69" s="1504" t="s">
        <v>2704</v>
      </c>
      <c r="J69" s="559" t="s">
        <v>2355</v>
      </c>
      <c r="K69" s="559" t="s">
        <v>2356</v>
      </c>
      <c r="L69" s="559" t="s">
        <v>2357</v>
      </c>
      <c r="M69" s="559" t="s">
        <v>2358</v>
      </c>
      <c r="N69" s="559" t="s">
        <v>2359</v>
      </c>
      <c r="AA69" s="1252"/>
      <c r="AB69" s="1252"/>
      <c r="AC69" s="1252"/>
      <c r="AD69" s="1252"/>
      <c r="AE69" s="1252"/>
      <c r="AF69" s="1252"/>
      <c r="AG69" s="1252"/>
      <c r="AH69" s="1252"/>
      <c r="AI69" s="1252"/>
      <c r="AJ69" s="1252"/>
      <c r="AK69" s="1252"/>
    </row>
    <row r="70" spans="1:37" s="1251" customFormat="1" ht="66">
      <c r="A70" s="2298" t="s">
        <v>2720</v>
      </c>
      <c r="B70" s="2301" t="str">
        <f>估价对象房地状况!C15</f>
        <v>估价对象周边居住用地比例、居住小区规模和社区发展完善程度，综合评价居住社区成熟度一般</v>
      </c>
      <c r="C70" s="220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24">
      <c r="A71" s="2298" t="s">
        <v>2706</v>
      </c>
      <c r="B71" s="2302" t="str">
        <f>估价对象房地状况!C18</f>
        <v>好</v>
      </c>
      <c r="C71" s="220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8" t="s">
        <v>2707</v>
      </c>
      <c r="B72" s="2302">
        <f>估价对象房地状况!C19</f>
        <v>0</v>
      </c>
      <c r="C72" s="220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3.8">
      <c r="A73" s="2298" t="s">
        <v>2721</v>
      </c>
      <c r="B73" s="2302" t="str">
        <f>估价对象房地状况!C24</f>
        <v>主干道</v>
      </c>
      <c r="C73" s="220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
      <c r="A74" s="2298" t="s">
        <v>2713</v>
      </c>
      <c r="B74" s="1465" t="str">
        <f>估价对象房地状况!C21</f>
        <v>较好</v>
      </c>
      <c r="C74" s="220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98" t="s">
        <v>2714</v>
      </c>
      <c r="B75" s="1465" t="str">
        <f>估价对象房地状况!C22</f>
        <v>七通</v>
      </c>
      <c r="C75" s="220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2" customFormat="1" ht="36">
      <c r="A76" s="2298" t="s">
        <v>2711</v>
      </c>
      <c r="B76" s="2304" t="s">
        <v>2712</v>
      </c>
      <c r="C76" s="220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309"/>
      <c r="AB76" s="1252"/>
      <c r="AC76" s="1252"/>
      <c r="AD76" s="1252"/>
      <c r="AE76" s="1252"/>
      <c r="AF76" s="1252"/>
      <c r="AG76" s="1252"/>
      <c r="AH76" s="2309"/>
      <c r="AI76" s="2309"/>
      <c r="AJ76" s="2309"/>
      <c r="AK76" s="2309"/>
    </row>
    <row r="77" spans="1:37" ht="36">
      <c r="A77" s="2298" t="s">
        <v>2715</v>
      </c>
      <c r="B77" s="2301" t="str">
        <f>估价对象房地状况!C20</f>
        <v>一般</v>
      </c>
      <c r="C77" s="220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53"/>
      <c r="AA77" s="2219"/>
      <c r="AG77" s="1253"/>
      <c r="AK77" s="2219"/>
    </row>
    <row r="78" spans="1:37" ht="36.6" thickBot="1">
      <c r="A78" s="2306" t="s">
        <v>2722</v>
      </c>
      <c r="B78" s="2310"/>
      <c r="C78" s="220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53"/>
      <c r="AA78" s="2219"/>
      <c r="AG78" s="1253"/>
      <c r="AK78" s="2219"/>
    </row>
    <row r="79" spans="1:37" ht="14.4">
      <c r="A79" s="2294" t="s">
        <v>2723</v>
      </c>
      <c r="B79" s="2295">
        <f>1+E81</f>
        <v>1</v>
      </c>
      <c r="C79" s="752"/>
      <c r="D79" s="752"/>
      <c r="E79" s="753"/>
      <c r="F79" s="2297"/>
      <c r="G79" s="6"/>
      <c r="H79" s="6"/>
      <c r="I79" s="6"/>
      <c r="J79" s="7"/>
      <c r="K79" s="7"/>
      <c r="L79" s="7"/>
      <c r="M79" s="7"/>
      <c r="N79" s="7"/>
      <c r="Z79" s="2153"/>
      <c r="AA79" s="2219"/>
      <c r="AG79" s="1253"/>
      <c r="AK79" s="2219"/>
    </row>
    <row r="80" spans="1:37" ht="25.2">
      <c r="A80" s="2298" t="s">
        <v>2697</v>
      </c>
      <c r="B80" s="1504"/>
      <c r="C80" s="1504" t="s">
        <v>2699</v>
      </c>
      <c r="D80" s="1504" t="s">
        <v>2700</v>
      </c>
      <c r="E80" s="757" t="s">
        <v>2701</v>
      </c>
      <c r="F80" s="2299" t="s">
        <v>2717</v>
      </c>
      <c r="G80" s="1504" t="s">
        <v>754</v>
      </c>
      <c r="H80" s="2300" t="s">
        <v>2703</v>
      </c>
      <c r="I80" s="1504" t="s">
        <v>2704</v>
      </c>
      <c r="J80" s="559" t="s">
        <v>2355</v>
      </c>
      <c r="K80" s="559" t="s">
        <v>2356</v>
      </c>
      <c r="L80" s="559" t="s">
        <v>2357</v>
      </c>
      <c r="M80" s="559" t="s">
        <v>2358</v>
      </c>
      <c r="N80" s="559" t="s">
        <v>2359</v>
      </c>
      <c r="Z80" s="2153"/>
      <c r="AA80" s="2219"/>
      <c r="AG80" s="1253"/>
      <c r="AK80" s="2219"/>
    </row>
    <row r="81" spans="1:37" ht="39.6">
      <c r="A81" s="2298" t="s">
        <v>2724</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66">
      <c r="A82" s="2298" t="s">
        <v>2706</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2707</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3.8">
      <c r="A84" s="2298" t="s">
        <v>2721</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6.4">
      <c r="A85" s="2298" t="s">
        <v>2713</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6.4">
      <c r="A86" s="2298" t="s">
        <v>2714</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36">
      <c r="A87" s="2298" t="s">
        <v>2711</v>
      </c>
      <c r="B87" s="2304" t="s">
        <v>2725</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53.4" thickBot="1">
      <c r="A88" s="2306" t="s">
        <v>2726</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390" t="s">
        <v>2727</v>
      </c>
      <c r="B90" s="3390"/>
      <c r="C90" s="3390"/>
      <c r="D90" s="3390"/>
      <c r="E90" s="3390"/>
      <c r="F90" s="3390"/>
      <c r="G90" s="3390"/>
      <c r="H90" s="3390"/>
      <c r="I90" s="3390"/>
      <c r="J90" s="3390"/>
      <c r="K90" s="2312"/>
      <c r="L90" s="2312"/>
      <c r="M90" s="2312"/>
      <c r="N90" s="2312"/>
    </row>
    <row r="91" spans="1:37">
      <c r="A91" s="3392" t="s">
        <v>2728</v>
      </c>
      <c r="B91" s="3392" t="s">
        <v>2729</v>
      </c>
      <c r="C91" s="2266" t="s">
        <v>2730</v>
      </c>
      <c r="D91" s="2267"/>
      <c r="E91" s="2267"/>
      <c r="F91" s="2267"/>
      <c r="G91" s="2267"/>
      <c r="H91" s="2267"/>
      <c r="I91" s="2267"/>
      <c r="J91" s="2313"/>
      <c r="K91" s="2314"/>
      <c r="L91" s="2314"/>
      <c r="M91" s="2314"/>
      <c r="N91" s="2314"/>
    </row>
    <row r="92" spans="1:37">
      <c r="A92" s="3392"/>
      <c r="B92" s="3392"/>
      <c r="C92" s="878" t="s">
        <v>2598</v>
      </c>
      <c r="D92" s="878" t="s">
        <v>2599</v>
      </c>
      <c r="E92" s="878" t="s">
        <v>2600</v>
      </c>
      <c r="F92" s="878" t="s">
        <v>2601</v>
      </c>
      <c r="G92" s="878" t="s">
        <v>2602</v>
      </c>
      <c r="H92" s="878" t="s">
        <v>2603</v>
      </c>
      <c r="I92" s="878" t="s">
        <v>2604</v>
      </c>
      <c r="J92" s="878" t="s">
        <v>2605</v>
      </c>
      <c r="K92" s="878" t="s">
        <v>2606</v>
      </c>
      <c r="L92" s="878" t="s">
        <v>2607</v>
      </c>
      <c r="M92" s="878" t="s">
        <v>2608</v>
      </c>
      <c r="N92" s="878" t="s">
        <v>2609</v>
      </c>
    </row>
    <row r="93" spans="1:37">
      <c r="A93" s="3393" t="s">
        <v>2731</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39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39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39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39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39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394"/>
      <c r="B99" s="2315" t="s">
        <v>2614</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39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393" t="s">
        <v>2732</v>
      </c>
      <c r="B101" s="2319" t="s">
        <v>2733</v>
      </c>
      <c r="C101" s="2320">
        <f>$G$3</f>
        <v>2.1</v>
      </c>
      <c r="D101" s="2320">
        <f t="shared" ref="D101:N101" si="32">$G$3</f>
        <v>2.1</v>
      </c>
      <c r="E101" s="2320">
        <f t="shared" si="32"/>
        <v>2.1</v>
      </c>
      <c r="F101" s="2320">
        <f t="shared" si="32"/>
        <v>2.1</v>
      </c>
      <c r="G101" s="2320">
        <f t="shared" si="32"/>
        <v>2.1</v>
      </c>
      <c r="H101" s="2320">
        <f t="shared" si="32"/>
        <v>2.1</v>
      </c>
      <c r="I101" s="2320">
        <f t="shared" si="32"/>
        <v>2.1</v>
      </c>
      <c r="J101" s="2320">
        <f t="shared" si="32"/>
        <v>2.1</v>
      </c>
      <c r="K101" s="2320">
        <f t="shared" si="32"/>
        <v>2.1</v>
      </c>
      <c r="L101" s="2320">
        <f t="shared" si="32"/>
        <v>2.1</v>
      </c>
      <c r="M101" s="2320">
        <f t="shared" si="32"/>
        <v>2.1</v>
      </c>
      <c r="N101" s="2320">
        <f t="shared" si="32"/>
        <v>2.1</v>
      </c>
    </row>
    <row r="102" spans="1:14">
      <c r="A102" s="3394"/>
      <c r="B102" s="2315">
        <v>1</v>
      </c>
      <c r="C102" s="2316">
        <f>1.9362/C101</f>
        <v>0.92199999999999993</v>
      </c>
      <c r="D102" s="2316">
        <f>1.9362/D101</f>
        <v>0.92199999999999993</v>
      </c>
      <c r="E102" s="2316">
        <f>1.8629/E101</f>
        <v>0.88709523809523805</v>
      </c>
      <c r="F102" s="2316">
        <f>1.8629/F101</f>
        <v>0.88709523809523805</v>
      </c>
      <c r="G102" s="2316">
        <f>1.8629/G101</f>
        <v>0.88709523809523805</v>
      </c>
      <c r="H102" s="2316">
        <f>1.8629/H101</f>
        <v>0.88709523809523805</v>
      </c>
      <c r="I102" s="2316">
        <f>1.8629/I101</f>
        <v>0.88709523809523805</v>
      </c>
      <c r="J102" s="2316">
        <f>1.942/J101</f>
        <v>0.92476190476190467</v>
      </c>
      <c r="K102" s="2316">
        <f>1.942/K101</f>
        <v>0.92476190476190467</v>
      </c>
      <c r="L102" s="2316">
        <f>1.942/L101</f>
        <v>0.92476190476190467</v>
      </c>
      <c r="M102" s="2316">
        <f>1.942/M101</f>
        <v>0.92476190476190467</v>
      </c>
      <c r="N102" s="2316">
        <f>1.942/N101</f>
        <v>0.92476190476190467</v>
      </c>
    </row>
    <row r="103" spans="1:14">
      <c r="A103" s="3394"/>
      <c r="B103" s="2315">
        <v>2</v>
      </c>
      <c r="C103" s="2316">
        <f>1.4198/C101</f>
        <v>0.67609523809523808</v>
      </c>
      <c r="D103" s="2316">
        <f>1.4198/D101</f>
        <v>0.67609523809523808</v>
      </c>
      <c r="E103" s="2316">
        <f>1.3372/E101</f>
        <v>0.63676190476190475</v>
      </c>
      <c r="F103" s="2316">
        <f>1.3372/F101</f>
        <v>0.63676190476190475</v>
      </c>
      <c r="G103" s="2316">
        <f>1.3372/G101</f>
        <v>0.63676190476190475</v>
      </c>
      <c r="H103" s="2316">
        <f>1.3372/H101</f>
        <v>0.63676190476190475</v>
      </c>
      <c r="I103" s="2316">
        <f>1.3372/I101</f>
        <v>0.63676190476190475</v>
      </c>
      <c r="J103" s="2316">
        <f>1.2799/J101</f>
        <v>0.6094761904761905</v>
      </c>
      <c r="K103" s="2316">
        <f>1.2799/K101</f>
        <v>0.6094761904761905</v>
      </c>
      <c r="L103" s="2316">
        <f>1.2799/L101</f>
        <v>0.6094761904761905</v>
      </c>
      <c r="M103" s="2316">
        <f>1.2799/M101</f>
        <v>0.6094761904761905</v>
      </c>
      <c r="N103" s="2316">
        <f>1.2799/N101</f>
        <v>0.6094761904761905</v>
      </c>
    </row>
    <row r="104" spans="1:14">
      <c r="A104" s="3394"/>
      <c r="B104" s="2315">
        <v>3</v>
      </c>
      <c r="C104" s="2316">
        <f>1.1594/C101</f>
        <v>0.55209523809523808</v>
      </c>
      <c r="D104" s="2316">
        <f>1.1594/D101</f>
        <v>0.55209523809523808</v>
      </c>
      <c r="E104" s="2316">
        <f>1.0788/E101</f>
        <v>0.51371428571428568</v>
      </c>
      <c r="F104" s="2316">
        <f>1.0788/F101</f>
        <v>0.51371428571428568</v>
      </c>
      <c r="G104" s="2316">
        <f>1.0788/G101</f>
        <v>0.51371428571428568</v>
      </c>
      <c r="H104" s="2316">
        <f>1.0788/H101</f>
        <v>0.51371428571428568</v>
      </c>
      <c r="I104" s="2316">
        <f>1.0788/I101</f>
        <v>0.51371428571428568</v>
      </c>
      <c r="J104" s="2316">
        <f>1.0072/J101</f>
        <v>0.47961904761904767</v>
      </c>
      <c r="K104" s="2316">
        <f>1.0072/K101</f>
        <v>0.47961904761904767</v>
      </c>
      <c r="L104" s="2316">
        <f>1.0072/L101</f>
        <v>0.47961904761904767</v>
      </c>
      <c r="M104" s="2316">
        <f>1.0072/M101</f>
        <v>0.47961904761904767</v>
      </c>
      <c r="N104" s="2316">
        <f>1.0072/N101</f>
        <v>0.47961904761904767</v>
      </c>
    </row>
    <row r="105" spans="1:14">
      <c r="A105" s="3394"/>
      <c r="B105" s="2315">
        <v>4</v>
      </c>
      <c r="C105" s="2316">
        <f>0.9622/C101</f>
        <v>0.4581904761904762</v>
      </c>
      <c r="D105" s="2316">
        <f>0.9622/D101</f>
        <v>0.4581904761904762</v>
      </c>
      <c r="E105" s="2316">
        <f>0.8656/E101</f>
        <v>0.41219047619047616</v>
      </c>
      <c r="F105" s="2316">
        <f>0.8656/F101</f>
        <v>0.41219047619047616</v>
      </c>
      <c r="G105" s="2316">
        <f>0.8656/G101</f>
        <v>0.41219047619047616</v>
      </c>
      <c r="H105" s="2316">
        <f>0.8656/H101</f>
        <v>0.41219047619047616</v>
      </c>
      <c r="I105" s="2316">
        <f>0.8656/I101</f>
        <v>0.41219047619047616</v>
      </c>
      <c r="J105" s="2316">
        <f>0.7525/J101</f>
        <v>0.35833333333333328</v>
      </c>
      <c r="K105" s="2316">
        <f>0.7525/K101</f>
        <v>0.35833333333333328</v>
      </c>
      <c r="L105" s="2316">
        <f>0.7525/L101</f>
        <v>0.35833333333333328</v>
      </c>
      <c r="M105" s="2316">
        <f>0.7525/M101</f>
        <v>0.35833333333333328</v>
      </c>
      <c r="N105" s="2316">
        <f>0.7525/N101</f>
        <v>0.35833333333333328</v>
      </c>
    </row>
    <row r="106" spans="1:14">
      <c r="A106" s="3394"/>
      <c r="B106" s="2315">
        <v>5</v>
      </c>
      <c r="C106" s="2316">
        <f>0.8417/C101</f>
        <v>0.40080952380952378</v>
      </c>
      <c r="D106" s="2316">
        <f>0.8417/D101</f>
        <v>0.40080952380952378</v>
      </c>
      <c r="E106" s="2316">
        <f>0.7371/E101</f>
        <v>0.35099999999999998</v>
      </c>
      <c r="F106" s="2316">
        <f>0.7371/F101</f>
        <v>0.35099999999999998</v>
      </c>
      <c r="G106" s="2316">
        <f>0.7371/G101</f>
        <v>0.35099999999999998</v>
      </c>
      <c r="H106" s="2316">
        <f>0.7371/H101</f>
        <v>0.35099999999999998</v>
      </c>
      <c r="I106" s="2316">
        <f>0.7371/I101</f>
        <v>0.35099999999999998</v>
      </c>
      <c r="J106" s="2316">
        <f>0.5659/J101</f>
        <v>0.26947619047619042</v>
      </c>
      <c r="K106" s="2316">
        <f>0.5659/K101</f>
        <v>0.26947619047619042</v>
      </c>
      <c r="L106" s="2316">
        <f>0.5659/L101</f>
        <v>0.26947619047619042</v>
      </c>
      <c r="M106" s="2316">
        <f>0.5659/M101</f>
        <v>0.26947619047619042</v>
      </c>
      <c r="N106" s="2316">
        <f>0.5659/N101</f>
        <v>0.26947619047619042</v>
      </c>
    </row>
    <row r="107" spans="1:14">
      <c r="A107" s="3394"/>
      <c r="B107" s="2315">
        <v>6</v>
      </c>
      <c r="C107" s="2316">
        <f>0.7608/C101</f>
        <v>0.36228571428571427</v>
      </c>
      <c r="D107" s="2316">
        <f>0.7608/D101</f>
        <v>0.36228571428571427</v>
      </c>
      <c r="E107" s="2316">
        <f>0.6482/E101</f>
        <v>0.30866666666666664</v>
      </c>
      <c r="F107" s="2316">
        <f>0.6482/F101</f>
        <v>0.30866666666666664</v>
      </c>
      <c r="G107" s="2316">
        <f>0.6482/G101</f>
        <v>0.30866666666666664</v>
      </c>
      <c r="H107" s="2316">
        <f>0.6482/H101</f>
        <v>0.30866666666666664</v>
      </c>
      <c r="I107" s="2316">
        <f>0.6482/I101</f>
        <v>0.30866666666666664</v>
      </c>
      <c r="J107" s="2316">
        <f>0.4525/J101</f>
        <v>0.21547619047619046</v>
      </c>
      <c r="K107" s="2316">
        <f>0.4525/K101</f>
        <v>0.21547619047619046</v>
      </c>
      <c r="L107" s="2316">
        <f>0.4525/L101</f>
        <v>0.21547619047619046</v>
      </c>
      <c r="M107" s="2316">
        <f>0.4525/M101</f>
        <v>0.21547619047619046</v>
      </c>
      <c r="N107" s="2316">
        <f>0.4525/N101</f>
        <v>0.21547619047619046</v>
      </c>
    </row>
    <row r="108" spans="1:14">
      <c r="A108" s="3394"/>
      <c r="B108" s="3396" t="s">
        <v>2734</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395"/>
      <c r="B109" s="3397"/>
      <c r="C109" s="2318">
        <f>(-0.163*(C108^2)-0.59*C108+7617)*(10^(-4))/C101</f>
        <v>0.36271428571428571</v>
      </c>
      <c r="D109" s="2318">
        <f>(-0.163*(D108^2)-0.59*D108+7617)*(10^(-4))/D101</f>
        <v>0.36271428571428571</v>
      </c>
      <c r="E109" s="2318">
        <f>(-0.161*(E108^2)-7.509*E108+6533)*(10^(-4))/E101</f>
        <v>0.31109523809523809</v>
      </c>
      <c r="F109" s="2318">
        <f>(-0.161*(F108^2)-7.509*F108+6533)*(10^(-4))/F101</f>
        <v>0.31109523809523809</v>
      </c>
      <c r="G109" s="2318">
        <f>(-0.161*(G108^2)-7.509*G108+6533)*(10^(-4))/G101</f>
        <v>0.31109523809523809</v>
      </c>
      <c r="H109" s="2318">
        <f>(-0.161*(H108^2)-7.509*H108+6533)*(10^(-4))/H101</f>
        <v>0.31109523809523809</v>
      </c>
      <c r="I109" s="2318">
        <f>(-0.161*(I108^2)-7.509*I108+6533)*(10^(-4))/I101</f>
        <v>0.31109523809523809</v>
      </c>
      <c r="J109" s="2318">
        <f>(-0.214*(J108^2)-21.991*J108+4665)*(10^(-4))/J101</f>
        <v>0.22214285714285714</v>
      </c>
      <c r="K109" s="2318">
        <f>(-0.214*(K108^2)-21.991*K108+4665)*(10^(-4))/K101</f>
        <v>0.22214285714285714</v>
      </c>
      <c r="L109" s="2318">
        <f>(-0.214*(L108^2)-21.991*L108+4665)*(10^(-4))/L101</f>
        <v>0.22214285714285714</v>
      </c>
      <c r="M109" s="2318">
        <f>(-0.214*(M108^2)-21.991*M108+4665)*(10^(-4))/M101</f>
        <v>0.22214285714285714</v>
      </c>
      <c r="N109" s="2318">
        <f>(-0.214*(N108^2)-21.991*N108+4665)*(10^(-4))/N101</f>
        <v>0.22214285714285714</v>
      </c>
    </row>
    <row r="110" spans="1:14">
      <c r="A110" s="3391" t="s">
        <v>2735</v>
      </c>
      <c r="B110" s="3391"/>
      <c r="C110" s="3391"/>
      <c r="D110" s="3391"/>
      <c r="E110" s="3391"/>
      <c r="F110" s="3391"/>
      <c r="G110" s="3391"/>
      <c r="H110" s="3391"/>
      <c r="I110" s="3391"/>
      <c r="J110" s="3391"/>
      <c r="K110" s="2321"/>
      <c r="L110" s="2321"/>
      <c r="M110" s="2321"/>
      <c r="N110" s="2321"/>
    </row>
    <row r="112" spans="1:14" ht="13.8" thickBot="1"/>
    <row r="113" spans="1:13" ht="25.8" thickBot="1">
      <c r="A113" s="841" t="s">
        <v>2736</v>
      </c>
      <c r="B113" s="1196">
        <f>G3</f>
        <v>2.1</v>
      </c>
      <c r="C113" s="842" t="s">
        <v>2737</v>
      </c>
      <c r="D113" s="843">
        <f>SUMPRODUCT((A115:A118=F113)*(B114:M114=H113)*B115:M118)</f>
        <v>0.81020000000000003</v>
      </c>
      <c r="E113" s="2157" t="s">
        <v>2572</v>
      </c>
      <c r="F113" s="2323" t="str">
        <f>E2</f>
        <v>商业</v>
      </c>
      <c r="G113" s="2157" t="s">
        <v>2573</v>
      </c>
      <c r="H113" s="2323" t="str">
        <f>G2</f>
        <v>六级</v>
      </c>
      <c r="I113" s="2157"/>
      <c r="J113" s="2324"/>
      <c r="K113" s="2324"/>
      <c r="L113" s="2324"/>
      <c r="M113" s="2324"/>
    </row>
    <row r="114" spans="1:13">
      <c r="A114" s="846"/>
      <c r="B114" s="2325" t="s">
        <v>2738</v>
      </c>
      <c r="C114" s="2325" t="s">
        <v>2739</v>
      </c>
      <c r="D114" s="2325" t="s">
        <v>2740</v>
      </c>
      <c r="E114" s="2326" t="s">
        <v>2741</v>
      </c>
      <c r="F114" s="2326" t="s">
        <v>2742</v>
      </c>
      <c r="G114" s="2326" t="s">
        <v>2743</v>
      </c>
      <c r="H114" s="2327" t="s">
        <v>2744</v>
      </c>
      <c r="I114" s="2327" t="s">
        <v>2745</v>
      </c>
      <c r="J114" s="2328" t="s">
        <v>2746</v>
      </c>
      <c r="K114" s="2328" t="s">
        <v>2747</v>
      </c>
      <c r="L114" s="2328" t="s">
        <v>2748</v>
      </c>
      <c r="M114" s="2329" t="s">
        <v>2749</v>
      </c>
    </row>
    <row r="115" spans="1:13">
      <c r="A115" s="847" t="s">
        <v>2636</v>
      </c>
      <c r="B115" s="848">
        <f>ROUND(0.9335-0.0094*B113,4)</f>
        <v>0.91379999999999995</v>
      </c>
      <c r="C115" s="848">
        <f>B115</f>
        <v>0.91379999999999995</v>
      </c>
      <c r="D115" s="848">
        <f>ROUND(0.8331-0.0109*B113,4)</f>
        <v>0.81020000000000003</v>
      </c>
      <c r="E115" s="848">
        <f>D115</f>
        <v>0.81020000000000003</v>
      </c>
      <c r="F115" s="848">
        <f>E115</f>
        <v>0.81020000000000003</v>
      </c>
      <c r="G115" s="848">
        <f>F115</f>
        <v>0.81020000000000003</v>
      </c>
      <c r="H115" s="848">
        <f>G115</f>
        <v>0.81020000000000003</v>
      </c>
      <c r="I115" s="848">
        <f>ROUND(0.689-0.0155*B113,4)</f>
        <v>0.65649999999999997</v>
      </c>
      <c r="J115" s="848">
        <f t="shared" ref="J115:M118" si="34">I115</f>
        <v>0.65649999999999997</v>
      </c>
      <c r="K115" s="848">
        <f t="shared" si="34"/>
        <v>0.65649999999999997</v>
      </c>
      <c r="L115" s="848">
        <f t="shared" si="34"/>
        <v>0.65649999999999997</v>
      </c>
      <c r="M115" s="849">
        <f t="shared" si="34"/>
        <v>0.65649999999999997</v>
      </c>
    </row>
    <row r="116" spans="1:13">
      <c r="A116" s="847" t="s">
        <v>2637</v>
      </c>
      <c r="B116" s="848">
        <f>ROUND(0.949-0.012*B113,4)</f>
        <v>0.92379999999999995</v>
      </c>
      <c r="C116" s="848">
        <f>B116</f>
        <v>0.92379999999999995</v>
      </c>
      <c r="D116" s="848">
        <f>ROUND(0.8567-0.013*B113,4)</f>
        <v>0.82940000000000003</v>
      </c>
      <c r="E116" s="848">
        <f t="shared" ref="E116:H117" si="35">D116</f>
        <v>0.82940000000000003</v>
      </c>
      <c r="F116" s="848">
        <f t="shared" si="35"/>
        <v>0.82940000000000003</v>
      </c>
      <c r="G116" s="848">
        <f t="shared" si="35"/>
        <v>0.82940000000000003</v>
      </c>
      <c r="H116" s="848">
        <f t="shared" si="35"/>
        <v>0.82940000000000003</v>
      </c>
      <c r="I116" s="848">
        <f>ROUND(0.7694-0.014*B113,4)</f>
        <v>0.74</v>
      </c>
      <c r="J116" s="848">
        <f t="shared" si="34"/>
        <v>0.74</v>
      </c>
      <c r="K116" s="848">
        <f t="shared" si="34"/>
        <v>0.74</v>
      </c>
      <c r="L116" s="848">
        <f t="shared" si="34"/>
        <v>0.74</v>
      </c>
      <c r="M116" s="849">
        <f t="shared" si="34"/>
        <v>0.74</v>
      </c>
    </row>
    <row r="117" spans="1:13">
      <c r="A117" s="847" t="s">
        <v>2638</v>
      </c>
      <c r="B117" s="848">
        <f>ROUND(0.8808-0.006*B113,4)</f>
        <v>0.86819999999999997</v>
      </c>
      <c r="C117" s="848">
        <f>B117</f>
        <v>0.86819999999999997</v>
      </c>
      <c r="D117" s="848">
        <f>ROUND(0.8748-0.008*B113,4)</f>
        <v>0.85799999999999998</v>
      </c>
      <c r="E117" s="848">
        <f t="shared" si="35"/>
        <v>0.85799999999999998</v>
      </c>
      <c r="F117" s="848">
        <f t="shared" si="35"/>
        <v>0.85799999999999998</v>
      </c>
      <c r="G117" s="848">
        <f t="shared" si="35"/>
        <v>0.85799999999999998</v>
      </c>
      <c r="H117" s="848">
        <f t="shared" si="35"/>
        <v>0.85799999999999998</v>
      </c>
      <c r="I117" s="848">
        <f>ROUND(0.7412-0.0095*B113,4)</f>
        <v>0.72130000000000005</v>
      </c>
      <c r="J117" s="848">
        <f t="shared" si="34"/>
        <v>0.72130000000000005</v>
      </c>
      <c r="K117" s="848">
        <f t="shared" si="34"/>
        <v>0.72130000000000005</v>
      </c>
      <c r="L117" s="848">
        <f t="shared" si="34"/>
        <v>0.72130000000000005</v>
      </c>
      <c r="M117" s="849">
        <f t="shared" si="34"/>
        <v>0.72130000000000005</v>
      </c>
    </row>
    <row r="118" spans="1:13" ht="13.8" thickBot="1">
      <c r="A118" s="669" t="s">
        <v>2639</v>
      </c>
      <c r="B118" s="850">
        <f>ROUND(0.7275-0.01*B113,4)</f>
        <v>0.70650000000000002</v>
      </c>
      <c r="C118" s="850">
        <f>B118</f>
        <v>0.70650000000000002</v>
      </c>
      <c r="D118" s="850">
        <f>ROUND(0.7043-0.012*B113,4)</f>
        <v>0.67910000000000004</v>
      </c>
      <c r="E118" s="850">
        <f>D118</f>
        <v>0.67910000000000004</v>
      </c>
      <c r="F118" s="850">
        <f>E118</f>
        <v>0.67910000000000004</v>
      </c>
      <c r="G118" s="850">
        <f>ROUND(0.6299-0.0122*B113,4)</f>
        <v>0.60429999999999995</v>
      </c>
      <c r="H118" s="850">
        <f>G118</f>
        <v>0.60429999999999995</v>
      </c>
      <c r="I118" s="850">
        <f>ROUND(0.5667-0.0136*B113,4)</f>
        <v>0.53810000000000002</v>
      </c>
      <c r="J118" s="850">
        <f t="shared" si="34"/>
        <v>0.53810000000000002</v>
      </c>
      <c r="K118" s="850">
        <f t="shared" si="34"/>
        <v>0.53810000000000002</v>
      </c>
      <c r="L118" s="850">
        <f t="shared" si="34"/>
        <v>0.53810000000000002</v>
      </c>
      <c r="M118" s="851">
        <f t="shared" si="34"/>
        <v>0.53810000000000002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5" priority="5" stopIfTrue="1" operator="notEqual">
      <formula>"——"</formula>
    </cfRule>
  </conditionalFormatting>
  <conditionalFormatting sqref="F59">
    <cfRule type="cellIs" dxfId="204" priority="4" stopIfTrue="1" operator="notEqual">
      <formula>"——"</formula>
    </cfRule>
  </conditionalFormatting>
  <conditionalFormatting sqref="F70">
    <cfRule type="cellIs" dxfId="203" priority="3" stopIfTrue="1" operator="notEqual">
      <formula>"——"</formula>
    </cfRule>
  </conditionalFormatting>
  <conditionalFormatting sqref="F81">
    <cfRule type="cellIs" dxfId="202" priority="2" stopIfTrue="1" operator="notEqual">
      <formula>"——"</formula>
    </cfRule>
  </conditionalFormatting>
  <conditionalFormatting sqref="H48:H56 H59:H67 H70:H78 H81:H88">
    <cfRule type="cellIs" dxfId="20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C33" sqref="C33"/>
    </sheetView>
  </sheetViews>
  <sheetFormatPr defaultColWidth="12.6640625" defaultRowHeight="21.75" customHeight="1"/>
  <cols>
    <col min="1" max="2" width="12.6640625" style="1908"/>
    <col min="3" max="4" width="12.6640625" style="1908" customWidth="1"/>
    <col min="5" max="9" width="12.6640625" style="1908"/>
    <col min="10" max="11" width="12.6640625" style="733" customWidth="1"/>
    <col min="12" max="12" width="12.6640625" style="733"/>
    <col min="13" max="13" width="14.109375" style="733" bestFit="1" customWidth="1"/>
    <col min="14" max="26" width="12.6640625" style="733"/>
    <col min="27" max="35" width="12.6640625" style="1907"/>
    <col min="36" max="16384" width="12.6640625" style="1908"/>
  </cols>
  <sheetData>
    <row r="1" spans="1:12" ht="21.75" customHeight="1" thickBot="1">
      <c r="A1" s="1791" t="s">
        <v>1885</v>
      </c>
      <c r="B1" s="1902"/>
      <c r="C1" s="1903" t="s">
        <v>3227</v>
      </c>
      <c r="D1" s="1902"/>
      <c r="E1" s="1902"/>
      <c r="F1" s="1904" t="s">
        <v>1886</v>
      </c>
      <c r="G1" s="1715" t="s">
        <v>3127</v>
      </c>
      <c r="H1" s="1905" t="str">
        <f>IF(G1="现房","——","估价对象范围")</f>
        <v>——</v>
      </c>
      <c r="I1" s="1906"/>
    </row>
    <row r="2" spans="1:12" ht="21.75" customHeight="1" thickBot="1">
      <c r="A2" s="3484" t="str">
        <f>项目基本情况!S2</f>
        <v>北京市房地产</v>
      </c>
      <c r="B2" s="3485"/>
      <c r="C2" s="3485"/>
      <c r="D2" s="3485"/>
      <c r="E2" s="3485"/>
      <c r="F2" s="3485"/>
      <c r="G2" s="3485"/>
      <c r="H2" s="3485"/>
      <c r="I2" s="3486"/>
    </row>
    <row r="3" spans="1:12" ht="13.2">
      <c r="A3" s="3488" t="s">
        <v>1887</v>
      </c>
      <c r="B3" s="3489"/>
      <c r="C3" s="3489"/>
      <c r="D3" s="3489"/>
      <c r="E3" s="3489"/>
      <c r="F3" s="3489"/>
      <c r="G3" s="3489"/>
      <c r="H3" s="3489"/>
      <c r="I3" s="3489"/>
    </row>
    <row r="4" spans="1:12" ht="14.4">
      <c r="A4" s="1909" t="s">
        <v>1888</v>
      </c>
      <c r="B4" s="1910" t="s">
        <v>1889</v>
      </c>
      <c r="C4" s="1911" t="s">
        <v>3139</v>
      </c>
      <c r="D4" s="1911" t="s">
        <v>3140</v>
      </c>
      <c r="E4" s="3493" t="s">
        <v>1890</v>
      </c>
      <c r="F4" s="3494"/>
      <c r="G4" s="3494"/>
      <c r="H4" s="3494"/>
      <c r="I4" s="349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429" t="s">
        <v>1891</v>
      </c>
      <c r="B5" s="3487">
        <v>25</v>
      </c>
      <c r="C5" s="3490"/>
      <c r="D5" s="3478"/>
      <c r="E5" s="135" t="s">
        <v>1892</v>
      </c>
      <c r="F5" s="1912"/>
      <c r="G5" s="1912"/>
      <c r="H5" s="1912"/>
      <c r="I5" s="1526"/>
    </row>
    <row r="6" spans="1:12" ht="13.2">
      <c r="A6" s="3429"/>
      <c r="B6" s="3487"/>
      <c r="C6" s="3492"/>
      <c r="D6" s="3478"/>
      <c r="E6" s="135" t="s">
        <v>1893</v>
      </c>
      <c r="F6" s="1912"/>
      <c r="G6" s="1912"/>
      <c r="H6" s="1912"/>
      <c r="I6" s="1526"/>
    </row>
    <row r="7" spans="1:12" ht="13.2">
      <c r="A7" s="3429"/>
      <c r="B7" s="3487"/>
      <c r="C7" s="3491"/>
      <c r="D7" s="3478"/>
      <c r="E7" s="135" t="s">
        <v>1894</v>
      </c>
      <c r="F7" s="1912"/>
      <c r="G7" s="1912"/>
      <c r="H7" s="1912"/>
      <c r="I7" s="1526"/>
    </row>
    <row r="8" spans="1:12" ht="13.2">
      <c r="A8" s="3429" t="s">
        <v>1895</v>
      </c>
      <c r="B8" s="3487">
        <v>15</v>
      </c>
      <c r="C8" s="3490"/>
      <c r="D8" s="3478"/>
      <c r="E8" s="135" t="s">
        <v>1896</v>
      </c>
      <c r="F8" s="1912"/>
      <c r="G8" s="1912"/>
      <c r="H8" s="1912"/>
      <c r="I8" s="1526"/>
    </row>
    <row r="9" spans="1:12" ht="13.2">
      <c r="A9" s="3429"/>
      <c r="B9" s="3487"/>
      <c r="C9" s="3491"/>
      <c r="D9" s="3478"/>
      <c r="E9" s="135" t="s">
        <v>1897</v>
      </c>
      <c r="F9" s="1912"/>
      <c r="G9" s="1912"/>
      <c r="H9" s="1912"/>
      <c r="I9" s="1526"/>
    </row>
    <row r="10" spans="1:12" ht="13.2">
      <c r="A10" s="3429" t="s">
        <v>1898</v>
      </c>
      <c r="B10" s="3487">
        <v>15</v>
      </c>
      <c r="C10" s="3490"/>
      <c r="D10" s="3478"/>
      <c r="E10" s="135" t="s">
        <v>1899</v>
      </c>
      <c r="F10" s="1912"/>
      <c r="G10" s="1912"/>
      <c r="H10" s="1912"/>
      <c r="I10" s="1526"/>
    </row>
    <row r="11" spans="1:12" ht="13.2">
      <c r="A11" s="3429"/>
      <c r="B11" s="3487"/>
      <c r="C11" s="3491"/>
      <c r="D11" s="3478"/>
      <c r="E11" s="135" t="s">
        <v>1900</v>
      </c>
      <c r="F11" s="1912"/>
      <c r="G11" s="1912"/>
      <c r="H11" s="1912"/>
      <c r="I11" s="1526"/>
    </row>
    <row r="12" spans="1:12" ht="13.2">
      <c r="A12" s="3429" t="s">
        <v>1901</v>
      </c>
      <c r="B12" s="3487">
        <v>15</v>
      </c>
      <c r="C12" s="3490"/>
      <c r="D12" s="3478"/>
      <c r="E12" s="135" t="s">
        <v>1902</v>
      </c>
      <c r="F12" s="1912"/>
      <c r="G12" s="1912"/>
      <c r="H12" s="1912"/>
      <c r="I12" s="1526"/>
    </row>
    <row r="13" spans="1:12" ht="13.2">
      <c r="A13" s="3429"/>
      <c r="B13" s="3487"/>
      <c r="C13" s="3491"/>
      <c r="D13" s="3478"/>
      <c r="E13" s="135" t="s">
        <v>1903</v>
      </c>
      <c r="F13" s="1912"/>
      <c r="G13" s="1912"/>
      <c r="H13" s="1912"/>
      <c r="I13" s="1526"/>
    </row>
    <row r="14" spans="1:12" ht="13.2">
      <c r="A14" s="3429" t="s">
        <v>1904</v>
      </c>
      <c r="B14" s="3487">
        <v>30</v>
      </c>
      <c r="C14" s="3490">
        <v>4</v>
      </c>
      <c r="D14" s="3478">
        <v>6</v>
      </c>
      <c r="E14" s="135" t="s">
        <v>1905</v>
      </c>
      <c r="F14" s="1912"/>
      <c r="G14" s="1912"/>
      <c r="H14" s="1912"/>
      <c r="I14" s="1526"/>
    </row>
    <row r="15" spans="1:12" ht="13.2">
      <c r="A15" s="3429"/>
      <c r="B15" s="3487"/>
      <c r="C15" s="3492"/>
      <c r="D15" s="3478"/>
      <c r="E15" s="135" t="s">
        <v>1906</v>
      </c>
      <c r="F15" s="1912"/>
      <c r="G15" s="1912"/>
      <c r="H15" s="1912"/>
      <c r="I15" s="1526"/>
    </row>
    <row r="16" spans="1:12" ht="13.2">
      <c r="A16" s="3429"/>
      <c r="B16" s="3487"/>
      <c r="C16" s="3491"/>
      <c r="D16" s="3478"/>
      <c r="E16" s="135" t="s">
        <v>1907</v>
      </c>
      <c r="F16" s="1912"/>
      <c r="G16" s="1912"/>
      <c r="H16" s="1912"/>
      <c r="I16" s="1526"/>
    </row>
    <row r="17" spans="1:36" ht="14.4">
      <c r="A17" s="1913" t="s">
        <v>1908</v>
      </c>
      <c r="B17" s="59"/>
      <c r="C17" s="136">
        <f>SUM(C5:C16)</f>
        <v>4</v>
      </c>
      <c r="D17" s="136">
        <f>SUM(D5:D16)</f>
        <v>6</v>
      </c>
      <c r="E17" s="133"/>
      <c r="F17" s="133"/>
      <c r="G17" s="133"/>
      <c r="H17" s="133"/>
      <c r="I17" s="133"/>
      <c r="K17" s="307"/>
      <c r="L17" s="307" t="s">
        <v>1909</v>
      </c>
      <c r="M17" s="307" t="s">
        <v>1910</v>
      </c>
    </row>
    <row r="18" spans="1:36" ht="31.95" customHeight="1" thickBot="1">
      <c r="A18" s="1914" t="s">
        <v>1911</v>
      </c>
      <c r="B18" s="1915"/>
      <c r="C18" s="137">
        <f>ROUND(C17/SUM(C17:D17),2)</f>
        <v>0.4</v>
      </c>
      <c r="D18" s="137">
        <f>1-C18</f>
        <v>0.6</v>
      </c>
      <c r="E18" s="3509" t="s">
        <v>2809</v>
      </c>
      <c r="F18" s="3510"/>
      <c r="G18" s="3510"/>
      <c r="H18" s="3510"/>
      <c r="I18" s="3510"/>
      <c r="K18" s="307" t="s">
        <v>1912</v>
      </c>
      <c r="L18" s="307">
        <f>IF(C1="",'数据-汇总表'!E3,SUMIF(项目类型,C1,'数据-汇总表'!E17:E26)+SUMIF(项目类型,C1,'数据-汇总表'!I17:I26))</f>
        <v>14586.08</v>
      </c>
      <c r="M18" s="307">
        <f>IF(C1="",'数据-汇总表'!E3,SUMIF(项目类型,C1,'数据-汇总表'!E17:E26))</f>
        <v>14586.08</v>
      </c>
    </row>
    <row r="19" spans="1:36" ht="14.4">
      <c r="A19" s="1916" t="s">
        <v>1913</v>
      </c>
      <c r="B19" s="1917" t="s">
        <v>1914</v>
      </c>
      <c r="C19" s="138">
        <f ca="1">SUMIF(INDIRECT("'"&amp;C4&amp;"'"&amp;"!A:A"),结果表!B19,INDIRECT("'"&amp;C4&amp;"'"&amp;"!B:B"))</f>
        <v>52029</v>
      </c>
      <c r="D19" s="139">
        <f ca="1">SUMIF(INDIRECT("'"&amp;D4&amp;"'"&amp;"!A:A"),结果表!B19,INDIRECT("'"&amp;D4&amp;"'"&amp;"!B:B"))</f>
        <v>22631</v>
      </c>
      <c r="E19" s="1916" t="s">
        <v>1915</v>
      </c>
      <c r="F19" s="1917" t="s">
        <v>1914</v>
      </c>
      <c r="G19" s="140">
        <f ca="1">ROUND(C19*$C$18+D19*$D$18,0)</f>
        <v>34390</v>
      </c>
      <c r="H19" s="1918" t="s">
        <v>1916</v>
      </c>
      <c r="I19" s="133"/>
      <c r="K19" s="307" t="s">
        <v>1917</v>
      </c>
      <c r="L19" s="307">
        <f>IF(C1="",'数据-汇总表'!D3,SUMIF(项目类型,C1,'数据-汇总表'!D17:D26)+SUMIF(项目类型,C1,'数据-汇总表'!H17:H27))</f>
        <v>5209.32</v>
      </c>
      <c r="M19" s="307">
        <f>IF(C1="",'数据-汇总表'!D3,SUMIF(项目类型,C1,'数据-汇总表'!D17:D26))</f>
        <v>5209.32</v>
      </c>
    </row>
    <row r="20" spans="1:36" ht="14.4">
      <c r="A20" s="1919"/>
      <c r="B20" s="1156" t="s">
        <v>1918</v>
      </c>
      <c r="C20" s="141">
        <f ca="1">SUMIF(INDIRECT("'"&amp;C4&amp;"'"&amp;"!A:A"),结果表!B20,INDIRECT("'"&amp;C4&amp;"'"&amp;"!B:B"))</f>
        <v>35670</v>
      </c>
      <c r="D20" s="142">
        <f ca="1">SUMIF(INDIRECT("'"&amp;D4&amp;"'"&amp;"!A:A"),结果表!B20,INDIRECT("'"&amp;D4&amp;"'"&amp;"!B:B"))</f>
        <v>15515</v>
      </c>
      <c r="E20" s="1919"/>
      <c r="F20" s="1156" t="s">
        <v>1918</v>
      </c>
      <c r="G20" s="143">
        <f ca="1">ROUND(C20*$C$18+D20*$D$18,0)</f>
        <v>23577</v>
      </c>
      <c r="H20" s="916" t="s">
        <v>1919</v>
      </c>
      <c r="I20" s="133"/>
    </row>
    <row r="21" spans="1:36" ht="15" customHeight="1" thickBot="1">
      <c r="A21" s="936"/>
      <c r="B21" s="1920" t="s">
        <v>1920</v>
      </c>
      <c r="C21" s="727">
        <f ca="1">ROUND(C19*10000/L19,0)</f>
        <v>99877</v>
      </c>
      <c r="D21" s="728">
        <f ca="1">ROUND(D19*10000/L19,0)</f>
        <v>43443</v>
      </c>
      <c r="E21" s="936"/>
      <c r="F21" s="1920" t="s">
        <v>1920</v>
      </c>
      <c r="G21" s="144">
        <f ca="1">ROUND(G19*10000/L19,0)</f>
        <v>66016</v>
      </c>
      <c r="H21" s="1921" t="s">
        <v>1919</v>
      </c>
      <c r="I21" s="133"/>
    </row>
    <row r="22" spans="1:36" ht="15" thickBot="1">
      <c r="A22" s="1843" t="s">
        <v>1921</v>
      </c>
      <c r="B22" s="1922"/>
      <c r="C22" s="1923"/>
      <c r="D22" s="729">
        <f ca="1">IF(C19&lt;D19,D19/C19-1,C19/D19-1)</f>
        <v>1.2990146259555475</v>
      </c>
      <c r="E22" s="133"/>
      <c r="F22" s="133"/>
      <c r="G22" s="133"/>
      <c r="H22" s="133"/>
      <c r="I22" s="133"/>
    </row>
    <row r="23" spans="1:36" ht="13.8" thickBot="1">
      <c r="A23" s="1902"/>
      <c r="B23" s="1902"/>
      <c r="C23" s="1902"/>
      <c r="D23" s="1902"/>
      <c r="E23" s="133"/>
      <c r="F23" s="133"/>
      <c r="G23" s="133"/>
      <c r="H23" s="133"/>
      <c r="I23" s="133"/>
    </row>
    <row r="24" spans="1:36" ht="14.4">
      <c r="A24" s="3502" t="s">
        <v>1922</v>
      </c>
      <c r="B24" s="1917" t="s">
        <v>1914</v>
      </c>
      <c r="C24" s="140">
        <f>IF(B30=0,0,D30)</f>
        <v>0</v>
      </c>
      <c r="D24" s="1924"/>
      <c r="E24" s="133"/>
      <c r="F24" s="133"/>
      <c r="G24" s="133"/>
      <c r="H24" s="133"/>
      <c r="I24" s="133"/>
    </row>
    <row r="25" spans="1:36" ht="14.4">
      <c r="A25" s="350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3.8">
      <c r="A27" s="1926"/>
      <c r="B27" s="146">
        <v>0</v>
      </c>
      <c r="C27" s="146">
        <v>0</v>
      </c>
      <c r="D27" s="147">
        <f>ROUND(C27*B27/10000,0)</f>
        <v>0</v>
      </c>
      <c r="E27" s="133"/>
      <c r="F27" s="133"/>
      <c r="G27" s="133"/>
      <c r="H27" s="133"/>
      <c r="I27" s="133"/>
    </row>
    <row r="28" spans="1:36" ht="13.8">
      <c r="A28" s="1926"/>
      <c r="B28" s="146"/>
      <c r="C28" s="146"/>
      <c r="D28" s="147"/>
      <c r="E28" s="133"/>
      <c r="F28" s="133"/>
      <c r="G28" s="133"/>
      <c r="H28" s="133"/>
      <c r="I28" s="133"/>
    </row>
    <row r="29" spans="1:36" ht="13.8">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1928</v>
      </c>
      <c r="B32" s="1929"/>
      <c r="C32" s="148">
        <f ca="1">IF(D32="总价",G19-C24,G20-C25)</f>
        <v>34390</v>
      </c>
      <c r="D32" s="1930" t="s">
        <v>3141</v>
      </c>
      <c r="E32" s="133"/>
      <c r="F32" s="133"/>
      <c r="G32" s="133"/>
      <c r="H32" s="133"/>
      <c r="I32" s="133"/>
    </row>
    <row r="33" spans="1:15" ht="14.4">
      <c r="A33" s="893" t="s">
        <v>1929</v>
      </c>
      <c r="B33" s="1931"/>
      <c r="C33" s="1932" t="s">
        <v>3142</v>
      </c>
      <c r="D33" s="1933" t="s">
        <v>3139</v>
      </c>
      <c r="E33" s="1934" t="s">
        <v>1930</v>
      </c>
      <c r="F33" s="1935" t="str">
        <f>IF(D32="楼面单价","取值（单价）","取值（总价）")</f>
        <v>取值（总价）</v>
      </c>
      <c r="G33" s="133"/>
      <c r="H33" s="133"/>
      <c r="I33" s="133"/>
    </row>
    <row r="34" spans="1:15" ht="14.4">
      <c r="A34" s="1936"/>
      <c r="B34" s="1937" t="s">
        <v>1931</v>
      </c>
      <c r="C34" s="152">
        <f ca="1">IF(C33="自定义",F34,C32-C35)</f>
        <v>30057</v>
      </c>
      <c r="D34" s="969">
        <f ca="1">IF(C33="自定义",ROUND(C34/C32,3),IF(C33="收益比率",SUMIF(INDIRECT("'"&amp;D33&amp;"'"&amp;"!b:b"),"土地收益比率",INDIRECT("'"&amp;D33&amp;"'"&amp;"!c:c")),SUMIF(INDIRECT("'"&amp;D33&amp;"'"&amp;"!b:b"),"土地成本比率",INDIRECT("'"&amp;D33&amp;"'"&amp;"!c:c"))))</f>
        <v>0.874</v>
      </c>
      <c r="E34" s="1938" t="s">
        <v>1932</v>
      </c>
      <c r="F34" s="1469">
        <f ca="1">G19-F35</f>
        <v>27840</v>
      </c>
      <c r="G34" s="133"/>
      <c r="H34" s="133"/>
      <c r="I34" s="133"/>
    </row>
    <row r="35" spans="1:15" ht="15" thickBot="1">
      <c r="A35" s="1939"/>
      <c r="B35" s="1940" t="s">
        <v>1933</v>
      </c>
      <c r="C35" s="1303">
        <f ca="1">IF(C33="自定义",F35,ROUND(C32*D35,0))</f>
        <v>4333</v>
      </c>
      <c r="D35" s="1304">
        <f ca="1">IF(C33="自定义",ROUND(C35/C32,3),IF(C33="收益比率",SUMIF(INDIRECT("'"&amp;D33&amp;"'"&amp;"!b:b"),"建筑物收益比率",INDIRECT("'"&amp;D33&amp;"'"&amp;"!c:c")),SUMIF(INDIRECT("'"&amp;D33&amp;"'"&amp;"!b:b"),"建筑物成本比率",INDIRECT("'"&amp;D33&amp;"'"&amp;"!c:c"))))</f>
        <v>0.126</v>
      </c>
      <c r="E35" s="1941" t="s">
        <v>1934</v>
      </c>
      <c r="F35" s="158">
        <f ca="1">成本法!C51</f>
        <v>6550</v>
      </c>
      <c r="G35" s="133"/>
      <c r="H35" s="133"/>
      <c r="I35" s="133"/>
    </row>
    <row r="36" spans="1:15" ht="15" thickBot="1">
      <c r="A36" s="3479" t="s">
        <v>1935</v>
      </c>
      <c r="B36" s="1942" t="s">
        <v>1936</v>
      </c>
      <c r="C36" s="149"/>
      <c r="D36" s="1943"/>
      <c r="E36" s="1944"/>
      <c r="F36" s="1945"/>
      <c r="G36" s="133"/>
      <c r="H36" s="133"/>
      <c r="I36" s="133"/>
    </row>
    <row r="37" spans="1:15" ht="15" thickBot="1">
      <c r="A37" s="3480"/>
      <c r="B37" s="1829" t="s">
        <v>1937</v>
      </c>
      <c r="C37" s="151"/>
      <c r="D37" s="1272"/>
      <c r="E37" s="1272"/>
      <c r="F37" s="1945"/>
      <c r="G37" s="133"/>
      <c r="H37" s="133"/>
      <c r="I37" s="133"/>
    </row>
    <row r="38" spans="1:15" ht="15" thickBot="1">
      <c r="A38" s="3481"/>
      <c r="B38" s="1946" t="s">
        <v>1938</v>
      </c>
      <c r="C38" s="682"/>
      <c r="D38" s="1947" t="s">
        <v>1939</v>
      </c>
      <c r="E38" s="1272"/>
      <c r="F38" s="1945"/>
      <c r="G38" s="133"/>
      <c r="H38" s="133"/>
      <c r="I38" s="133"/>
    </row>
    <row r="39" spans="1:15" ht="14.4">
      <c r="A39" s="1919" t="s">
        <v>1940</v>
      </c>
      <c r="B39" s="1948" t="s">
        <v>1941</v>
      </c>
      <c r="C39" s="1949" t="s">
        <v>1942</v>
      </c>
      <c r="D39" s="1949" t="s">
        <v>1943</v>
      </c>
      <c r="E39" s="1950" t="s">
        <v>1944</v>
      </c>
      <c r="F39" s="1945"/>
      <c r="G39" s="133"/>
      <c r="H39" s="133"/>
      <c r="I39" s="133"/>
    </row>
    <row r="40" spans="1:15" ht="13.8">
      <c r="A40" s="1951" t="s">
        <v>1945</v>
      </c>
      <c r="B40" s="153"/>
      <c r="C40" s="154"/>
      <c r="D40" s="154"/>
      <c r="E40" s="155"/>
      <c r="F40" s="1945"/>
      <c r="G40" s="133"/>
      <c r="H40" s="133"/>
      <c r="I40" s="133"/>
    </row>
    <row r="41" spans="1:15" ht="13.8">
      <c r="A41" s="1951" t="s">
        <v>1946</v>
      </c>
      <c r="B41" s="153"/>
      <c r="C41" s="154"/>
      <c r="D41" s="154"/>
      <c r="E41" s="155"/>
      <c r="F41" s="1945"/>
      <c r="G41" s="133"/>
      <c r="H41" s="133"/>
      <c r="I41" s="133"/>
    </row>
    <row r="42" spans="1:15" ht="14.4" thickBot="1">
      <c r="A42" s="1952"/>
      <c r="B42" s="156"/>
      <c r="C42" s="157"/>
      <c r="D42" s="157"/>
      <c r="E42" s="158"/>
      <c r="F42" s="1945"/>
      <c r="G42" s="133"/>
      <c r="H42" s="133"/>
      <c r="I42" s="133"/>
    </row>
    <row r="43" spans="1:15" ht="13.2">
      <c r="A43" s="1731"/>
      <c r="B43" s="1731"/>
      <c r="C43" s="1731"/>
      <c r="D43" s="1731"/>
      <c r="E43" s="1731"/>
      <c r="F43" s="1953"/>
      <c r="G43" s="1953"/>
      <c r="H43" s="1953"/>
      <c r="I43" s="1954"/>
    </row>
    <row r="44" spans="1:15" ht="17.399999999999999">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99" t="s">
        <v>1949</v>
      </c>
      <c r="B45" s="3500"/>
      <c r="C45" s="3501"/>
      <c r="D45" s="159">
        <f ca="1">ROUND(H101*F45,0)</f>
        <v>34390</v>
      </c>
      <c r="E45" s="160" t="s">
        <v>1950</v>
      </c>
      <c r="F45" s="161">
        <v>1</v>
      </c>
      <c r="G45" s="162" t="s">
        <v>1951</v>
      </c>
      <c r="H45" s="133"/>
      <c r="I45" s="133"/>
      <c r="J45" s="3416" t="s">
        <v>1952</v>
      </c>
      <c r="K45" s="3416"/>
      <c r="L45" s="3416"/>
      <c r="M45" s="3416"/>
      <c r="N45" s="3416"/>
      <c r="O45" s="3416"/>
    </row>
    <row r="46" spans="1:15" ht="14.25" customHeight="1">
      <c r="A46" s="3496" t="s">
        <v>1953</v>
      </c>
      <c r="B46" s="3497"/>
      <c r="C46" s="3497"/>
      <c r="D46" s="3497"/>
      <c r="E46" s="3497"/>
      <c r="F46" s="3497"/>
      <c r="G46" s="3498"/>
      <c r="H46" s="1961"/>
      <c r="I46" s="163"/>
      <c r="J46" s="2716">
        <v>1</v>
      </c>
      <c r="K46" s="3417" t="s">
        <v>1954</v>
      </c>
      <c r="L46" s="3417"/>
      <c r="M46" s="3418"/>
      <c r="N46" s="3418"/>
      <c r="O46" s="3418"/>
    </row>
    <row r="47" spans="1:15" ht="12" customHeight="1">
      <c r="A47" s="164" t="s">
        <v>1955</v>
      </c>
      <c r="B47" s="165"/>
      <c r="C47" s="166"/>
      <c r="D47" s="1218" t="s">
        <v>1956</v>
      </c>
      <c r="E47" s="307" t="s">
        <v>1957</v>
      </c>
      <c r="F47" s="167" t="s">
        <v>1958</v>
      </c>
      <c r="G47" s="2739" t="s">
        <v>1959</v>
      </c>
      <c r="H47" s="2740"/>
      <c r="I47" s="163"/>
      <c r="J47" s="2716">
        <v>2</v>
      </c>
      <c r="K47" s="3417" t="s">
        <v>1960</v>
      </c>
      <c r="L47" s="3417"/>
      <c r="M47" s="3419">
        <f>'数据-取费表'!B2</f>
        <v>44610</v>
      </c>
      <c r="N47" s="3419"/>
      <c r="O47" s="3419"/>
    </row>
    <row r="48" spans="1:15" ht="26.4">
      <c r="A48" s="3482" t="s">
        <v>1961</v>
      </c>
      <c r="B48" s="3483"/>
      <c r="C48" s="3483"/>
      <c r="D48" s="2516" t="b">
        <f>IF(H48="情况1",0,IF(H48="情况2",D52,IF(H48="情况3",D53,IF(H48="情况4",D54))))</f>
        <v>0</v>
      </c>
      <c r="E48" s="2526" t="str">
        <f>IF(H48="情况4","(销售额-原购置价)×税（费）率","销售额×税（费）率")</f>
        <v>销售额×税（费）率</v>
      </c>
      <c r="F48" s="2741">
        <f>IF(H48="情况1","免征",'数据-取费表'!B41)</f>
        <v>5.6000000000000001E-2</v>
      </c>
      <c r="G48" s="2742" t="s">
        <v>1962</v>
      </c>
      <c r="H48" s="2743"/>
      <c r="I48" s="1961"/>
      <c r="J48" s="2716">
        <v>3</v>
      </c>
      <c r="K48" s="3417" t="s">
        <v>1963</v>
      </c>
      <c r="L48" s="3417"/>
      <c r="M48" s="3420">
        <f ca="1">H101</f>
        <v>34390</v>
      </c>
      <c r="N48" s="3420"/>
      <c r="O48" s="3420"/>
    </row>
    <row r="49" spans="1:35" ht="25.5" customHeight="1">
      <c r="A49" s="2525" t="s">
        <v>1964</v>
      </c>
      <c r="B49" s="3465" t="s">
        <v>1965</v>
      </c>
      <c r="C49" s="3465"/>
      <c r="D49" s="1744">
        <v>0</v>
      </c>
      <c r="E49" s="329" t="s">
        <v>1966</v>
      </c>
      <c r="F49" s="2619" t="s">
        <v>34</v>
      </c>
      <c r="G49" s="3448"/>
      <c r="H49" s="2497" t="s">
        <v>2812</v>
      </c>
      <c r="I49" s="2498"/>
      <c r="J49" s="2716">
        <v>4</v>
      </c>
      <c r="K49" s="3417" t="str">
        <f>IF(项目基本情况!E8="房地产抵押价值","房地产抵押价值","抵押担保权已注销时的房地产抵押价值")</f>
        <v>房地产抵押价值</v>
      </c>
      <c r="L49" s="3417"/>
      <c r="M49" s="3420">
        <f ca="1">IF(项目基本情况!E8="房地产抵押价值",H107,H109)</f>
        <v>34390</v>
      </c>
      <c r="N49" s="3420"/>
      <c r="O49" s="3420"/>
    </row>
    <row r="50" spans="1:35" ht="25.5" customHeight="1">
      <c r="A50" s="2744"/>
      <c r="B50" s="3465" t="s">
        <v>1967</v>
      </c>
      <c r="C50" s="3465"/>
      <c r="D50" s="2745"/>
      <c r="E50" s="337"/>
      <c r="F50" s="2619"/>
      <c r="G50" s="3449"/>
      <c r="H50" s="2499" t="s">
        <v>2813</v>
      </c>
      <c r="I50" s="2498"/>
      <c r="J50" s="3416" t="s">
        <v>1968</v>
      </c>
      <c r="K50" s="3416"/>
      <c r="L50" s="3416"/>
      <c r="M50" s="3416"/>
      <c r="N50" s="3416"/>
      <c r="O50" s="3416"/>
    </row>
    <row r="51" spans="1:35" ht="20.399999999999999" customHeight="1">
      <c r="A51" s="2746"/>
      <c r="B51" s="3465" t="s">
        <v>1969</v>
      </c>
      <c r="C51" s="3465"/>
      <c r="D51" s="1218"/>
      <c r="E51" s="332"/>
      <c r="F51" s="2619"/>
      <c r="G51" s="3450"/>
      <c r="H51" s="2499" t="s">
        <v>2814</v>
      </c>
      <c r="I51" s="2498"/>
      <c r="J51" s="2717" t="s">
        <v>1970</v>
      </c>
      <c r="K51" s="3417" t="s">
        <v>1971</v>
      </c>
      <c r="L51" s="3417"/>
      <c r="M51" s="2717" t="s">
        <v>1972</v>
      </c>
      <c r="N51" s="2717" t="s">
        <v>1973</v>
      </c>
      <c r="O51" s="2717" t="s">
        <v>1974</v>
      </c>
    </row>
    <row r="52" spans="1:35" ht="24" customHeight="1">
      <c r="A52" s="2527" t="s">
        <v>1975</v>
      </c>
      <c r="B52" s="3465" t="s">
        <v>1976</v>
      </c>
      <c r="C52" s="3465"/>
      <c r="D52" s="1218">
        <f ca="1">ROUND(D45*'数据-取费表'!B41/(1+'数据-取费表'!C42),0)</f>
        <v>1834</v>
      </c>
      <c r="E52" s="2526" t="s">
        <v>1977</v>
      </c>
      <c r="F52" s="2747">
        <f>'数据-取费表'!B41</f>
        <v>5.6000000000000001E-2</v>
      </c>
      <c r="G52" s="2748"/>
      <c r="H52" s="2737"/>
      <c r="I52" s="1962"/>
      <c r="J52" s="2716">
        <v>1</v>
      </c>
      <c r="K52" s="3442" t="s">
        <v>1978</v>
      </c>
      <c r="L52" s="3442"/>
      <c r="M52" s="2718" t="b">
        <f>D48</f>
        <v>0</v>
      </c>
      <c r="N52" s="2716" t="str">
        <f>E48</f>
        <v>销售额×税（费）率</v>
      </c>
      <c r="O52" s="2719">
        <f>F48</f>
        <v>5.6000000000000001E-2</v>
      </c>
    </row>
    <row r="53" spans="1:35" ht="12" customHeight="1">
      <c r="A53" s="2527" t="s">
        <v>1979</v>
      </c>
      <c r="B53" s="3466" t="s">
        <v>2967</v>
      </c>
      <c r="C53" s="3467"/>
      <c r="D53" s="1218">
        <f ca="1">ROUND(D45*'数据-取费表'!B41/(1+'数据-取费表'!C42),0)</f>
        <v>1834</v>
      </c>
      <c r="E53" s="2526" t="s">
        <v>1977</v>
      </c>
      <c r="F53" s="2747">
        <f>'数据-取费表'!B41</f>
        <v>5.6000000000000001E-2</v>
      </c>
      <c r="G53" s="2748"/>
      <c r="H53" s="2737"/>
      <c r="I53" s="1962"/>
      <c r="J53" s="2716">
        <v>2</v>
      </c>
      <c r="K53" s="3442" t="s">
        <v>1980</v>
      </c>
      <c r="L53" s="3442"/>
      <c r="M53" s="2718">
        <f t="shared" ref="M53:O54" ca="1" si="0">D55</f>
        <v>17</v>
      </c>
      <c r="N53" s="2716" t="str">
        <f t="shared" si="0"/>
        <v>销售额×税（费）率</v>
      </c>
      <c r="O53" s="2719" t="str">
        <f t="shared" si="0"/>
        <v>免征</v>
      </c>
    </row>
    <row r="54" spans="1:35" ht="12" customHeight="1">
      <c r="A54" s="2527" t="s">
        <v>1981</v>
      </c>
      <c r="B54" s="3466" t="s">
        <v>2968</v>
      </c>
      <c r="C54" s="3467"/>
      <c r="D54" s="1218">
        <f ca="1">C68</f>
        <v>1834</v>
      </c>
      <c r="E54" s="332" t="s">
        <v>1982</v>
      </c>
      <c r="F54" s="2747">
        <f>'数据-取费表'!B41</f>
        <v>5.6000000000000001E-2</v>
      </c>
      <c r="G54" s="2748"/>
      <c r="H54" s="2749"/>
      <c r="I54" s="1962"/>
      <c r="J54" s="2716">
        <v>3</v>
      </c>
      <c r="K54" s="3442" t="s">
        <v>1983</v>
      </c>
      <c r="L54" s="3442"/>
      <c r="M54" s="2718">
        <f t="shared" ca="1" si="0"/>
        <v>19464</v>
      </c>
      <c r="N54" s="2716" t="str">
        <f t="shared" si="0"/>
        <v>增值额×税（费）率</v>
      </c>
      <c r="O54" s="2720" t="str">
        <f t="shared" si="0"/>
        <v>免征</v>
      </c>
    </row>
    <row r="55" spans="1:35" ht="24" customHeight="1">
      <c r="A55" s="3505" t="s">
        <v>1984</v>
      </c>
      <c r="B55" s="3483"/>
      <c r="C55" s="3483"/>
      <c r="D55" s="2516">
        <f ca="1">IF(H55="个人住宅",0,ROUND(D45*I55,0))</f>
        <v>17</v>
      </c>
      <c r="E55" s="2526" t="s">
        <v>1985</v>
      </c>
      <c r="F55" s="2747" t="str">
        <f>IF(H55="正常",I55,"免征")</f>
        <v>免征</v>
      </c>
      <c r="G55" s="2748"/>
      <c r="H55" s="2743"/>
      <c r="I55" s="169">
        <f>'数据-取费表'!B49</f>
        <v>5.0000000000000001E-4</v>
      </c>
      <c r="J55" s="2716">
        <f>IF(H59="非个人房产","",4)</f>
        <v>4</v>
      </c>
      <c r="K55" s="3442" t="str">
        <f>IF(H59="非个人房产","——","个人所得税")</f>
        <v>个人所得税</v>
      </c>
      <c r="L55" s="3442"/>
      <c r="M55" s="2721">
        <f ca="1">D59</f>
        <v>328</v>
      </c>
      <c r="N55" s="2197" t="str">
        <f>E59</f>
        <v>差额计税</v>
      </c>
      <c r="O55" s="2722">
        <f>F59</f>
        <v>0.01</v>
      </c>
    </row>
    <row r="56" spans="1:35" ht="25.2">
      <c r="A56" s="3505" t="s">
        <v>1986</v>
      </c>
      <c r="B56" s="3483"/>
      <c r="C56" s="3483"/>
      <c r="D56" s="2516">
        <f ca="1">IF(H56="个人住宅",D57,D58)</f>
        <v>19464</v>
      </c>
      <c r="E56" s="2526" t="s">
        <v>1987</v>
      </c>
      <c r="F56" s="2747" t="str">
        <f>IF(H56="正常",F58,"免征")</f>
        <v>免征</v>
      </c>
      <c r="G56" s="2750" t="s">
        <v>1988</v>
      </c>
      <c r="H56" s="2751"/>
      <c r="I56" s="1963"/>
      <c r="J56" s="2716" t="str">
        <f>IF(项目基本情况!K6="上海银行",IF(J55="",4,J55+1),"")</f>
        <v/>
      </c>
      <c r="K56" s="3423" t="str">
        <f>IF(项目基本情况!K6="上海银行","其他处置费用","")</f>
        <v/>
      </c>
      <c r="L56" s="3424"/>
      <c r="M56" s="2718" t="str">
        <f>IF(项目基本情况!K6="上海银行",M69,"")</f>
        <v/>
      </c>
      <c r="N56" s="3423" t="str">
        <f>IF(项目基本情况!K6="上海银行","包含处置中涉及的律师、诉讼、拍卖、评估等费用","")</f>
        <v/>
      </c>
      <c r="O56" s="3426"/>
    </row>
    <row r="57" spans="1:35" ht="13.2">
      <c r="A57" s="2527" t="s">
        <v>1964</v>
      </c>
      <c r="B57" s="3466" t="s">
        <v>1989</v>
      </c>
      <c r="C57" s="3467"/>
      <c r="D57" s="1744">
        <v>0</v>
      </c>
      <c r="E57" s="329" t="s">
        <v>1966</v>
      </c>
      <c r="F57" s="307"/>
      <c r="G57" s="2748"/>
      <c r="H57" s="2752"/>
      <c r="I57" s="1963"/>
      <c r="J57" s="3442">
        <f>IF(AND(J55="",J56=""),4,IF(项目基本情况!K6="上海银行",结果表!J56+1,结果表!J55+1))</f>
        <v>5</v>
      </c>
      <c r="K57" s="3442" t="s">
        <v>1990</v>
      </c>
      <c r="L57" s="2723" t="s">
        <v>1991</v>
      </c>
      <c r="M57" s="2724"/>
      <c r="N57" s="2725">
        <f ca="1">SUMIF(M52:M56,"&lt;9e307")</f>
        <v>19809</v>
      </c>
      <c r="O57" s="2726"/>
      <c r="P57" s="2886">
        <f ca="1">N57/M49</f>
        <v>0.57601046815934864</v>
      </c>
    </row>
    <row r="58" spans="1:35" ht="25.2">
      <c r="A58" s="2527" t="s">
        <v>1975</v>
      </c>
      <c r="B58" s="3466" t="s">
        <v>1992</v>
      </c>
      <c r="C58" s="3465"/>
      <c r="D58" s="2516">
        <f ca="1">IF(H58="转让取得",C81,C97)</f>
        <v>19464</v>
      </c>
      <c r="E58" s="2526" t="s">
        <v>1987</v>
      </c>
      <c r="F58" s="307" t="s">
        <v>34</v>
      </c>
      <c r="G58" s="2748"/>
      <c r="H58" s="2751"/>
      <c r="I58" s="1963"/>
      <c r="J58" s="3442"/>
      <c r="K58" s="3442"/>
      <c r="L58" s="2723" t="s">
        <v>1993</v>
      </c>
      <c r="M58" s="2727"/>
      <c r="N58" s="2728" t="str">
        <f ca="1">NUMBERSTRING(INT(N57*10000),2)&amp;"元整"</f>
        <v>壹亿玖仟捌佰零玖万元整</v>
      </c>
      <c r="O58" s="2729"/>
    </row>
    <row r="59" spans="1:35" ht="24.6" thickBot="1">
      <c r="A59" s="3446" t="s">
        <v>1994</v>
      </c>
      <c r="B59" s="3447"/>
      <c r="C59" s="3447"/>
      <c r="D59" s="2753">
        <f ca="1">IF(H59="非个人房产","——",IF(H59="个人住宅（满五唯一有凭证）",0,IF(H59="个人其他（无凭证）",ROUND(D45*F59,0),ROUND(C67*F59,0))))</f>
        <v>328</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44">
        <f>J57+1</f>
        <v>6</v>
      </c>
      <c r="K59" s="3442" t="s">
        <v>1995</v>
      </c>
      <c r="L59" s="2716" t="s">
        <v>1991</v>
      </c>
      <c r="M59" s="2730"/>
      <c r="N59" s="2731">
        <f ca="1">M49-N57</f>
        <v>14581</v>
      </c>
      <c r="O59" s="2732"/>
    </row>
    <row r="60" spans="1:35" ht="12" customHeight="1">
      <c r="A60" s="1964"/>
      <c r="B60" s="1902"/>
      <c r="C60" s="1902"/>
      <c r="D60" s="1902"/>
      <c r="E60" s="1732"/>
      <c r="F60" s="1963"/>
      <c r="G60" s="1963"/>
      <c r="H60" s="1965"/>
      <c r="I60" s="133"/>
      <c r="J60" s="3445"/>
      <c r="K60" s="3442"/>
      <c r="L60" s="2723" t="s">
        <v>1993</v>
      </c>
      <c r="M60" s="2727"/>
      <c r="N60" s="2728" t="str">
        <f ca="1">NUMBERSTRING(INT(N59*10000),2)&amp;"元整"</f>
        <v>壹亿肆仟伍佰捌拾壹万元整</v>
      </c>
      <c r="O60" s="2729"/>
    </row>
    <row r="61" spans="1:35" ht="13.8" thickBot="1">
      <c r="A61" s="3504" t="s">
        <v>1996</v>
      </c>
      <c r="B61" s="3504"/>
      <c r="C61" s="3504"/>
      <c r="D61" s="3504"/>
      <c r="E61" s="3504"/>
      <c r="F61" s="1963"/>
      <c r="G61" s="1963"/>
      <c r="H61" s="1965"/>
      <c r="I61" s="133"/>
      <c r="J61" s="2716">
        <f>J59+1</f>
        <v>7</v>
      </c>
      <c r="K61" s="3442" t="s">
        <v>1997</v>
      </c>
      <c r="L61" s="3442"/>
      <c r="M61" s="2733"/>
      <c r="N61" s="2734">
        <f ca="1">ROUND(N59*10000/'数据-汇总表'!E3,0)</f>
        <v>8261</v>
      </c>
      <c r="O61" s="2735"/>
    </row>
    <row r="62" spans="1:35" ht="13.2">
      <c r="A62" s="3461" t="s">
        <v>1998</v>
      </c>
      <c r="B62" s="3462"/>
      <c r="C62" s="2178"/>
      <c r="D62" s="2178" t="s">
        <v>1999</v>
      </c>
      <c r="E62" s="170" t="s">
        <v>2000</v>
      </c>
      <c r="F62" s="1963"/>
      <c r="G62" s="1963"/>
      <c r="H62" s="1965"/>
      <c r="I62" s="133"/>
    </row>
    <row r="63" spans="1:35" ht="13.2">
      <c r="A63" s="177" t="s">
        <v>775</v>
      </c>
      <c r="B63" s="171" t="s">
        <v>2001</v>
      </c>
      <c r="C63" s="2757">
        <f ca="1">ROUND((C64+C65)/(1+'数据-取费表'!C42),0)</f>
        <v>32752</v>
      </c>
      <c r="D63" s="171"/>
      <c r="E63" s="172"/>
      <c r="F63" s="1963"/>
      <c r="G63" s="1963"/>
      <c r="H63" s="1965"/>
      <c r="I63" s="133"/>
      <c r="J63" s="3425" t="s">
        <v>2002</v>
      </c>
      <c r="K63" s="1471" t="s">
        <v>2003</v>
      </c>
      <c r="L63" s="1471">
        <f ca="1">IF(M49&gt;10000,M49*0.5%,IF(AND(M49&gt;1000,M49&lt;=10000),M49*1%,IF(AND(M49&gt;100,M49&lt;=1000),M49*3%,IF(AND(M49&gt;10,M49&lt;=100),M49*5%,M49*8%))))</f>
        <v>171.95000000000002</v>
      </c>
      <c r="M63" s="307">
        <f ca="1">ROUND(L63,1)</f>
        <v>172</v>
      </c>
      <c r="N63" s="2736"/>
      <c r="Z63" s="1907"/>
      <c r="AI63" s="1908"/>
    </row>
    <row r="64" spans="1:35" ht="14.25" customHeight="1">
      <c r="A64" s="173" t="s">
        <v>770</v>
      </c>
      <c r="B64" s="174" t="s">
        <v>2004</v>
      </c>
      <c r="C64" s="2758">
        <f ca="1">D45</f>
        <v>34390</v>
      </c>
      <c r="D64" s="174" t="s">
        <v>32</v>
      </c>
      <c r="E64" s="176"/>
      <c r="F64" s="1963"/>
      <c r="G64" s="1963"/>
      <c r="H64" s="1965"/>
      <c r="I64" s="133"/>
      <c r="J64" s="3425"/>
      <c r="K64" s="1471" t="s">
        <v>2005</v>
      </c>
      <c r="L64" s="1471">
        <f ca="1">IF(M49&gt;2000,M49*0.5%,IF(AND(M49&gt;1000,M49&lt;=2000),M49*0.6%,IF(AND(M49&gt;500,M49&lt;=1000),M49*0.7%,IF(AND(M49&gt;200,M49&lt;=500),M49*0.8%,IF(AND(M49&gt;100,M49&lt;=200),M49*0.9%,IF(AND(M49&gt;50,M49&lt;=100),M49*1%,IF(AND(M49&gt;20,M49&lt;=50),M49*1.5%,IF(AND(M49&gt;10,M49&lt;=20),M49*2%,IF(AND(M49&gt;1,M49&lt;=10),M49*2.5%)))))))))</f>
        <v>171.95000000000002</v>
      </c>
      <c r="M64" s="307">
        <f t="shared" ref="M64:M65" ca="1" si="1">ROUND(L64,1)</f>
        <v>172</v>
      </c>
      <c r="N64" s="2737" t="s">
        <v>2006</v>
      </c>
      <c r="Z64" s="1907"/>
      <c r="AI64" s="1908"/>
    </row>
    <row r="65" spans="1:35" ht="14.25" customHeight="1">
      <c r="A65" s="173" t="s">
        <v>771</v>
      </c>
      <c r="B65" s="174" t="s">
        <v>2007</v>
      </c>
      <c r="C65" s="2759"/>
      <c r="D65" s="174"/>
      <c r="E65" s="176"/>
      <c r="F65" s="1963"/>
      <c r="G65" s="1963"/>
      <c r="H65" s="1965"/>
      <c r="I65" s="133"/>
      <c r="J65" s="3425"/>
      <c r="K65" s="1471" t="s">
        <v>2008</v>
      </c>
      <c r="L65" s="1471">
        <f ca="1">IF(M49&gt;1000,M49*0.1%,IF(AND(M49&gt;500,M49&lt;=1000),M49*0.5%,IF(AND(M49&gt;50,M49&lt;=500),M49*1%,IF(AND(M49&gt;1,M49&lt;=50),M49*1.5%))))</f>
        <v>34.39</v>
      </c>
      <c r="M65" s="307">
        <f t="shared" ca="1" si="1"/>
        <v>34.4</v>
      </c>
      <c r="N65" s="2737" t="s">
        <v>2006</v>
      </c>
      <c r="Z65" s="1907"/>
      <c r="AI65" s="1908"/>
    </row>
    <row r="66" spans="1:35" ht="14.25" customHeight="1">
      <c r="A66" s="177" t="s">
        <v>772</v>
      </c>
      <c r="B66" s="178" t="s">
        <v>2009</v>
      </c>
      <c r="C66" s="2760"/>
      <c r="D66" s="178" t="s">
        <v>32</v>
      </c>
      <c r="E66" s="1478" t="s">
        <v>1274</v>
      </c>
      <c r="F66" s="1963"/>
      <c r="G66" s="1963"/>
      <c r="H66" s="1965"/>
      <c r="I66" s="133"/>
      <c r="J66" s="3425"/>
      <c r="K66" s="1471" t="s">
        <v>2010</v>
      </c>
      <c r="L66" s="1471">
        <f ca="1">M49*0.5%</f>
        <v>171.95000000000002</v>
      </c>
      <c r="M66" s="307">
        <f ca="1">IF(L66&gt;0.5,0.5,ROUND(L66,0))</f>
        <v>0.5</v>
      </c>
      <c r="N66" s="2737" t="s">
        <v>2011</v>
      </c>
      <c r="Z66" s="1907"/>
      <c r="AI66" s="1908"/>
    </row>
    <row r="67" spans="1:35" ht="14.25" customHeight="1">
      <c r="A67" s="177" t="s">
        <v>773</v>
      </c>
      <c r="B67" s="178" t="s">
        <v>2012</v>
      </c>
      <c r="C67" s="2761">
        <f ca="1">C63-C66</f>
        <v>32752</v>
      </c>
      <c r="D67" s="174" t="s">
        <v>32</v>
      </c>
      <c r="E67" s="176"/>
      <c r="F67" s="1963"/>
      <c r="G67" s="1963"/>
      <c r="H67" s="1965"/>
      <c r="I67" s="133"/>
      <c r="J67" s="3425"/>
      <c r="K67" s="1471" t="s">
        <v>2013</v>
      </c>
      <c r="L67" s="1471">
        <f ca="1">IF(M49&gt;=10000,(8.25+(M49-10000)*0.01%),IF(AND(M49&gt;=8000,M49&lt;10000),(7.85+(M49-8000)*0.02%),IF(AND(M49&gt;=5000,M49&lt;8000),(6.65+(M49-5000)*0.04%),IF(AND(M49&gt;=2000,M49&lt;5000),(4.25+(PM49-2000)*0.08%),IF(AND(M49&gt;=1000,M49&lt;2000),(2.75+(M49-1000)*0.15%),IF(AND(M49&gt;=100,M49&lt;1000),(0.5+(M49-100)*0.25%),IF(AND(M49&gt;0,M49&lt;100),M49*0.5%)))))))</f>
        <v>10.689</v>
      </c>
      <c r="M67" s="307">
        <f ca="1">ROUND(L67*0.9,1)</f>
        <v>9.6</v>
      </c>
      <c r="N67" s="2736"/>
      <c r="Z67" s="1907"/>
      <c r="AI67" s="1908"/>
    </row>
    <row r="68" spans="1:35" ht="14.25" customHeight="1" thickBot="1">
      <c r="A68" s="180" t="s">
        <v>774</v>
      </c>
      <c r="B68" s="181" t="s">
        <v>2014</v>
      </c>
      <c r="C68" s="2762">
        <f ca="1">IF(C67&lt;=0,0,ROUND(C67*D68,0))</f>
        <v>1834</v>
      </c>
      <c r="D68" s="2763">
        <f>'数据-取费表'!B41</f>
        <v>5.6000000000000001E-2</v>
      </c>
      <c r="E68" s="183"/>
      <c r="F68" s="1963"/>
      <c r="G68" s="1963"/>
      <c r="H68" s="1965"/>
      <c r="I68" s="133"/>
      <c r="J68" s="3425"/>
      <c r="K68" s="1471" t="s">
        <v>2015</v>
      </c>
      <c r="L68" s="1471">
        <f ca="1">IF(M49&gt;10000,M49*0.5%,IF(AND(M49&gt;5000,M49&lt;=10000),M49*1%,IF(AND(M49&gt;1000,M49&lt;=5000),M49*2%,IF(AND(M49&gt;200,M49&lt;=1000),M49*3%,M49*5%))))</f>
        <v>171.95000000000002</v>
      </c>
      <c r="M68" s="307">
        <f ca="1">ROUND(L68,1)</f>
        <v>172</v>
      </c>
      <c r="N68" s="2736"/>
      <c r="Z68" s="1907"/>
      <c r="AI68" s="1908"/>
    </row>
    <row r="69" spans="1:35" s="1927" customFormat="1" ht="16.5" customHeight="1">
      <c r="A69" s="1966"/>
      <c r="B69" s="1967"/>
      <c r="C69" s="1968"/>
      <c r="D69" s="1969"/>
      <c r="E69" s="1970"/>
      <c r="F69" s="1732"/>
      <c r="G69" s="1732"/>
      <c r="H69" s="1731"/>
      <c r="I69" s="1902"/>
      <c r="J69" s="3425"/>
      <c r="K69" s="1471" t="s">
        <v>2016</v>
      </c>
      <c r="L69" s="1471"/>
      <c r="M69" s="307">
        <f ca="1">ROUND(SUM(M63:M68),0)</f>
        <v>561</v>
      </c>
      <c r="N69" s="2738">
        <f ca="1">M69/M49</f>
        <v>1.6312881651642918E-2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4.4" thickBot="1">
      <c r="A70" s="3469" t="s">
        <v>2017</v>
      </c>
      <c r="B70" s="3470"/>
      <c r="C70" s="3470"/>
      <c r="D70" s="3470"/>
      <c r="E70" s="3470"/>
      <c r="F70" s="3470"/>
      <c r="G70" s="3470"/>
      <c r="H70" s="3470"/>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461" t="s">
        <v>1998</v>
      </c>
      <c r="B71" s="3462"/>
      <c r="C71" s="2178"/>
      <c r="D71" s="2178"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7" t="s">
        <v>775</v>
      </c>
      <c r="B72" s="178" t="s">
        <v>2018</v>
      </c>
      <c r="C72" s="2761">
        <f ca="1">ROUND(D45/(1+'数据-取费表'!C42),0)</f>
        <v>32752</v>
      </c>
      <c r="D72" s="174" t="s">
        <v>32</v>
      </c>
      <c r="E72" s="2523"/>
      <c r="F72" s="2522"/>
      <c r="G72" s="2522"/>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7" t="s">
        <v>772</v>
      </c>
      <c r="B73" s="167" t="s">
        <v>2019</v>
      </c>
      <c r="C73" s="2761">
        <f ca="1">C74+C78</f>
        <v>197</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66" t="s">
        <v>2025</v>
      </c>
      <c r="F76" s="3465"/>
      <c r="G76" s="3465"/>
      <c r="H76" s="34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2516" t="s">
        <v>2027</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197</v>
      </c>
      <c r="D78" s="2770">
        <f>'数据-取费表'!B43</f>
        <v>6.000000000000001E-3</v>
      </c>
      <c r="E78" s="3458" t="s">
        <v>2029</v>
      </c>
      <c r="F78" s="3459"/>
      <c r="G78" s="3459"/>
      <c r="H78" s="346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7" t="s">
        <v>779</v>
      </c>
      <c r="B79" s="178" t="s">
        <v>2030</v>
      </c>
      <c r="C79" s="2761">
        <f ca="1">C72-C73</f>
        <v>32555</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165.253807106599</v>
      </c>
      <c r="D80" s="174"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0" t="s">
        <v>781</v>
      </c>
      <c r="B81" s="181" t="s">
        <v>2032</v>
      </c>
      <c r="C81" s="2772">
        <f ca="1">ROUND(IF(C79&lt;=0,0,IF(C80&gt;=200%,C79*60%-C73*35%,IF(C80&gt;=100%,C79*50%-C73*15%,IF(C80&gt;=50%,C79*40%-C73*5%,IF(C80&lt;50%,C79*30%,0))))),0)</f>
        <v>19464</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469" t="s">
        <v>2033</v>
      </c>
      <c r="B83" s="3470"/>
      <c r="C83" s="3470"/>
      <c r="D83" s="3470"/>
      <c r="E83" s="3470"/>
      <c r="F83" s="3470"/>
      <c r="G83" s="3470"/>
      <c r="H83" s="34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461" t="s">
        <v>1998</v>
      </c>
      <c r="B84" s="3462"/>
      <c r="C84" s="2178"/>
      <c r="D84" s="2178"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7" t="s">
        <v>775</v>
      </c>
      <c r="B85" s="178" t="s">
        <v>2018</v>
      </c>
      <c r="C85" s="2761">
        <f ca="1">ROUND(D45/(1+'数据-取费表'!C42),0)</f>
        <v>32752</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7" t="s">
        <v>772</v>
      </c>
      <c r="B86" s="167" t="s">
        <v>2019</v>
      </c>
      <c r="C86" s="2761">
        <f ca="1">IF(H88="仅含出让金",C87+C90+C91+C92+C93+C94,C87+C91+C92+C93+C94)</f>
        <v>197</v>
      </c>
      <c r="D86" s="2774"/>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3" t="s">
        <v>770</v>
      </c>
      <c r="B87" s="174" t="s">
        <v>2034</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3" t="s">
        <v>776</v>
      </c>
      <c r="B88" s="174" t="s">
        <v>2035</v>
      </c>
      <c r="C88" s="2775"/>
      <c r="D88" s="2770"/>
      <c r="E88" s="198" t="s">
        <v>2036</v>
      </c>
      <c r="F88" s="2519"/>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3" t="s">
        <v>777</v>
      </c>
      <c r="B89" s="174" t="s">
        <v>2026</v>
      </c>
      <c r="C89" s="2769">
        <f>ROUND(C88*D89,0)</f>
        <v>0</v>
      </c>
      <c r="D89" s="2770">
        <f>'数据-取费表'!B48+'数据-取费表'!B49</f>
        <v>3.0499999999999999E-2</v>
      </c>
      <c r="E89" s="198" t="s">
        <v>2038</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3" t="s">
        <v>771</v>
      </c>
      <c r="B90" s="174" t="s">
        <v>2039</v>
      </c>
      <c r="C90" s="2775"/>
      <c r="D90" s="2770"/>
      <c r="E90" s="198" t="str">
        <f>IF(H88="-","土地取得成本中已包含该笔费用"," ")</f>
        <v xml:space="preserve"> </v>
      </c>
      <c r="F90" s="2519"/>
      <c r="G90" s="3427" t="s">
        <v>2807</v>
      </c>
      <c r="H90" s="3428"/>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58" t="s">
        <v>2042</v>
      </c>
      <c r="F91" s="3459"/>
      <c r="G91" s="345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58" t="s">
        <v>2045</v>
      </c>
      <c r="F92" s="3459"/>
      <c r="G92" s="3459"/>
      <c r="H92" s="3460"/>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197</v>
      </c>
      <c r="D93" s="2770">
        <f>'数据-取费表'!B43</f>
        <v>6.000000000000001E-3</v>
      </c>
      <c r="E93" s="3458" t="s">
        <v>2029</v>
      </c>
      <c r="F93" s="3459"/>
      <c r="G93" s="3459"/>
      <c r="H93" s="346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506" t="s">
        <v>2049</v>
      </c>
      <c r="F94" s="3507"/>
      <c r="G94" s="3507"/>
      <c r="H94" s="350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7" t="s">
        <v>779</v>
      </c>
      <c r="B95" s="178" t="s">
        <v>2030</v>
      </c>
      <c r="C95" s="2761">
        <f ca="1">ROUND(C85-C86,0)</f>
        <v>32555</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165.253807106599</v>
      </c>
      <c r="D96" s="174"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0" t="s">
        <v>781</v>
      </c>
      <c r="B97" s="181" t="s">
        <v>2032</v>
      </c>
      <c r="C97" s="2772">
        <f ca="1">ROUND(IF(C95&lt;=0,0,IF(C96&gt;=200%,C95*60%-C86*35%,IF(C96&gt;=100%,C95*50%-C86*15%,IF(C96&gt;=50%,C95*40%-C86*5%,IF(C96&lt;50%,C95*30%,0))))),0)</f>
        <v>19464</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82" t="s">
        <v>2051</v>
      </c>
      <c r="B100" s="3383"/>
      <c r="C100" s="3383"/>
      <c r="D100" s="3443"/>
      <c r="E100" s="3383" t="s">
        <v>2052</v>
      </c>
      <c r="F100" s="3383"/>
      <c r="G100" s="3383"/>
      <c r="H100" s="3443"/>
      <c r="I100" s="133"/>
    </row>
    <row r="101" spans="1:35" ht="18.75" customHeight="1">
      <c r="A101" s="3451" t="s">
        <v>2053</v>
      </c>
      <c r="B101" s="3452"/>
      <c r="C101" s="2778" t="str">
        <f>C4</f>
        <v>成本法</v>
      </c>
      <c r="D101" s="2779" t="str">
        <f>D4</f>
        <v>收益法</v>
      </c>
      <c r="E101" s="3421" t="s">
        <v>2054</v>
      </c>
      <c r="F101" s="3422"/>
      <c r="G101" s="1982" t="s">
        <v>2055</v>
      </c>
      <c r="H101" s="2788">
        <f ca="1">H118</f>
        <v>34390</v>
      </c>
      <c r="I101" s="133"/>
    </row>
    <row r="102" spans="1:35" ht="18.75" customHeight="1">
      <c r="A102" s="3453" t="s">
        <v>2056</v>
      </c>
      <c r="B102" s="2777" t="s">
        <v>2055</v>
      </c>
      <c r="C102" s="2778">
        <f ca="1">C19</f>
        <v>52029</v>
      </c>
      <c r="D102" s="2779">
        <f ca="1">D19</f>
        <v>22631</v>
      </c>
      <c r="E102" s="3421"/>
      <c r="F102" s="3422"/>
      <c r="G102" s="1982" t="s">
        <v>2057</v>
      </c>
      <c r="H102" s="2748">
        <f ca="1">I118</f>
        <v>23577</v>
      </c>
      <c r="I102" s="133"/>
    </row>
    <row r="103" spans="1:35" ht="42.75" customHeight="1">
      <c r="A103" s="3453"/>
      <c r="B103" s="2777" t="s">
        <v>2057</v>
      </c>
      <c r="C103" s="2780">
        <f ca="1">C20</f>
        <v>35670</v>
      </c>
      <c r="D103" s="2781">
        <f ca="1">D20</f>
        <v>15515</v>
      </c>
      <c r="E103" s="3414" t="s">
        <v>2058</v>
      </c>
      <c r="F103" s="3415"/>
      <c r="G103" s="1983" t="s">
        <v>2059</v>
      </c>
      <c r="H103" s="2788">
        <f>IF(D36="正常操作",H104+H105+H106,H105+H106)</f>
        <v>0</v>
      </c>
      <c r="I103" s="133"/>
    </row>
    <row r="104" spans="1:35" ht="18.75" customHeight="1">
      <c r="A104" s="3453" t="s">
        <v>2060</v>
      </c>
      <c r="B104" s="2782" t="s">
        <v>2055</v>
      </c>
      <c r="C104" s="2783">
        <f ca="1">H118</f>
        <v>34390</v>
      </c>
      <c r="D104" s="2784"/>
      <c r="E104" s="1829" t="s">
        <v>2061</v>
      </c>
      <c r="F104" s="1820"/>
      <c r="G104" s="1983" t="s">
        <v>2059</v>
      </c>
      <c r="H104" s="2789">
        <f>IF(D36="同一抵押权人同一抵押物续贷",C36&amp;"（续贷，未扣减，详见特别提示）",C36)</f>
        <v>0</v>
      </c>
      <c r="I104" s="133"/>
    </row>
    <row r="105" spans="1:35" ht="18.75" customHeight="1" thickBot="1">
      <c r="A105" s="3463"/>
      <c r="B105" s="2785" t="s">
        <v>2057</v>
      </c>
      <c r="C105" s="2786">
        <f ca="1">I118</f>
        <v>23577</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54" t="str">
        <f>IF(项目基本情况!E8="已注销","——","3.房地产抵押价值")</f>
        <v>3.房地产抵押价值</v>
      </c>
      <c r="F107" s="3422"/>
      <c r="G107" s="1982" t="s">
        <v>2055</v>
      </c>
      <c r="H107" s="2788">
        <f ca="1">IF(E107="——","——",H101-H103)</f>
        <v>34390</v>
      </c>
      <c r="I107" s="133"/>
    </row>
    <row r="108" spans="1:35" ht="18.75" customHeight="1">
      <c r="A108" s="133"/>
      <c r="B108" s="133"/>
      <c r="C108" s="133"/>
      <c r="D108" s="133"/>
      <c r="E108" s="3454"/>
      <c r="F108" s="3422"/>
      <c r="G108" s="1982" t="s">
        <v>2057</v>
      </c>
      <c r="H108" s="2748">
        <f ca="1">ROUND(H107*10000/'数据-汇总表'!E3,0)</f>
        <v>19483</v>
      </c>
      <c r="I108" s="133"/>
    </row>
    <row r="109" spans="1:35" ht="18.75" customHeight="1">
      <c r="A109" s="133"/>
      <c r="B109" s="133"/>
      <c r="C109" s="133"/>
      <c r="D109" s="133"/>
      <c r="E109" s="3454" t="str">
        <f>IF(项目基本情况!E8="已注销及未注销","4.抵押担保权已注销时的房地产抵押价值",IF(项目基本情况!E8="已注销","3.抵押担保权已注销时的房地产抵押价值","——"))</f>
        <v>——</v>
      </c>
      <c r="F109" s="3422"/>
      <c r="G109" s="1982" t="s">
        <v>2055</v>
      </c>
      <c r="H109" s="2791" t="str">
        <f>IF(E109="——","——",H101-H105-H106)</f>
        <v>——</v>
      </c>
      <c r="I109" s="133"/>
    </row>
    <row r="110" spans="1:35" ht="18.75" customHeight="1">
      <c r="A110" s="133"/>
      <c r="B110" s="133"/>
      <c r="C110" s="133"/>
      <c r="D110" s="133"/>
      <c r="E110" s="3454"/>
      <c r="F110" s="3422"/>
      <c r="G110" s="1982" t="s">
        <v>2057</v>
      </c>
      <c r="H110" s="2748" t="str">
        <f>IF(H109="——","——",ROUND(H109*10000/'数据-汇总表'!E3,0))</f>
        <v>——</v>
      </c>
      <c r="I110" s="133"/>
    </row>
    <row r="111" spans="1:35" ht="18.75" customHeight="1">
      <c r="A111" s="133"/>
      <c r="B111" s="133"/>
      <c r="C111" s="133"/>
      <c r="D111" s="133"/>
      <c r="E111" s="3455" t="str">
        <f>IF(项目基本情况!E9="抵押净值",IF(OR(项目基本情况!E8="已注销",项目基本情况!E8="房地产抵押价值"),"4.抵押净值","5.抵押净值"),"——")</f>
        <v>——</v>
      </c>
      <c r="F111" s="3441"/>
      <c r="G111" s="1982" t="s">
        <v>2055</v>
      </c>
      <c r="H111" s="2788" t="str">
        <f>IF(E111="——","——",N59)</f>
        <v>——</v>
      </c>
      <c r="I111" s="133"/>
    </row>
    <row r="112" spans="1:35" ht="18.75" customHeight="1" thickBot="1">
      <c r="A112" s="133"/>
      <c r="B112" s="133"/>
      <c r="C112" s="133"/>
      <c r="D112" s="133"/>
      <c r="E112" s="3456"/>
      <c r="F112" s="3457"/>
      <c r="G112" s="1985" t="s">
        <v>2057</v>
      </c>
      <c r="H112" s="2792" t="str">
        <f>IF(E111="——","——",N61)</f>
        <v>——</v>
      </c>
      <c r="I112" s="133"/>
    </row>
    <row r="113" spans="1:27" ht="18.75" customHeight="1">
      <c r="A113" s="133"/>
      <c r="B113" s="133"/>
      <c r="C113" s="133"/>
      <c r="D113" s="133"/>
      <c r="E113" s="3464" t="s">
        <v>2063</v>
      </c>
      <c r="F113" s="3464"/>
      <c r="G113" s="3464"/>
      <c r="H113" s="3464"/>
      <c r="I113" s="133"/>
    </row>
    <row r="114" spans="1:27" ht="3.75" customHeight="1">
      <c r="A114" s="1902"/>
      <c r="B114" s="1902"/>
      <c r="C114" s="1902"/>
      <c r="D114" s="1902"/>
      <c r="E114" s="1964"/>
      <c r="F114" s="1964"/>
      <c r="G114" s="1964"/>
      <c r="H114" s="1964"/>
      <c r="I114" s="1902"/>
    </row>
    <row r="115" spans="1:27" ht="18.75" customHeight="1">
      <c r="A115" s="3475" t="s">
        <v>2065</v>
      </c>
      <c r="B115" s="3476"/>
      <c r="C115" s="3476"/>
      <c r="D115" s="3476"/>
      <c r="E115" s="3476"/>
      <c r="F115" s="3476"/>
      <c r="G115" s="3476"/>
      <c r="H115" s="3476"/>
      <c r="I115" s="3477"/>
    </row>
    <row r="116" spans="1:27" ht="27" customHeight="1">
      <c r="A116" s="3429" t="s">
        <v>2066</v>
      </c>
      <c r="B116" s="3433" t="s">
        <v>2067</v>
      </c>
      <c r="C116" s="3433" t="s">
        <v>2068</v>
      </c>
      <c r="D116" s="3439" t="s">
        <v>2069</v>
      </c>
      <c r="E116" s="3440"/>
      <c r="F116" s="3471" t="s">
        <v>2070</v>
      </c>
      <c r="G116" s="3471"/>
      <c r="H116" s="3429" t="s">
        <v>2071</v>
      </c>
      <c r="I116" s="3429"/>
    </row>
    <row r="117" spans="1:27" ht="18.75" customHeight="1">
      <c r="A117" s="3429"/>
      <c r="B117" s="3434"/>
      <c r="C117" s="3434"/>
      <c r="D117" s="2521" t="s">
        <v>2072</v>
      </c>
      <c r="E117" s="2521" t="s">
        <v>2073</v>
      </c>
      <c r="F117" s="2521" t="s">
        <v>2072</v>
      </c>
      <c r="G117" s="2521" t="s">
        <v>2074</v>
      </c>
      <c r="H117" s="2521" t="s">
        <v>2072</v>
      </c>
      <c r="I117" s="2521" t="s">
        <v>2074</v>
      </c>
    </row>
    <row r="118" spans="1:27" ht="24.75" customHeight="1">
      <c r="A118" s="2793" t="str">
        <f>项目基本情况!S2</f>
        <v>北京市房地产</v>
      </c>
      <c r="B118" s="2521">
        <f>M18</f>
        <v>14586.08</v>
      </c>
      <c r="C118" s="2521">
        <f>M19</f>
        <v>5209.32</v>
      </c>
      <c r="D118" s="2521">
        <f ca="1">ROUND(IF(D32="总价",C34,E118*B118/10000),0)</f>
        <v>30057</v>
      </c>
      <c r="E118" s="2521">
        <f ca="1">ROUND(IF(C33="自定义",IF(D32="楼面单价",C34,D118*10000/B118),I118-G118),0)</f>
        <v>20606</v>
      </c>
      <c r="F118" s="2521">
        <f ca="1">ROUND(IF(D32="总价",C35,G118*B118/10000),0)</f>
        <v>4333</v>
      </c>
      <c r="G118" s="2521">
        <f ca="1">ROUND(IF(D32="楼面单价",C35,F118*10000/B118),0)</f>
        <v>2971</v>
      </c>
      <c r="H118" s="2521">
        <f ca="1">ROUND(IF(D32="总价",C32,I118*B118/10000),0)</f>
        <v>34390</v>
      </c>
      <c r="I118" s="2521">
        <f ca="1">ROUND(IF(D32="楼面单价",C32,H118*10000/B118),0)</f>
        <v>23577</v>
      </c>
    </row>
    <row r="119" spans="1:27" ht="18.75" customHeight="1">
      <c r="A119" s="3429" t="s">
        <v>2075</v>
      </c>
      <c r="B119" s="3429"/>
      <c r="C119" s="3429"/>
      <c r="D119" s="3435" t="str">
        <f ca="1">NUMBERSTRING(INT(D118*10000),2)&amp;"元整"</f>
        <v>叁亿零伍拾柒万元整</v>
      </c>
      <c r="E119" s="3436"/>
      <c r="F119" s="3435" t="str">
        <f ca="1">NUMBERSTRING(INT(F118*10000),2)&amp;"元整"</f>
        <v>肆仟叁佰叁拾叁万元整</v>
      </c>
      <c r="G119" s="3436"/>
      <c r="H119" s="3435" t="str">
        <f ca="1">NUMBERSTRING(INT(H118*10000),2)&amp;"元整"</f>
        <v>叁亿肆仟叁佰玖拾万元整</v>
      </c>
      <c r="I119" s="3436"/>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72" t="s">
        <v>2075</v>
      </c>
      <c r="B121" s="3473"/>
      <c r="C121" s="3474"/>
      <c r="D121" s="3435" t="str">
        <f>IF(D120=0,"零元整",NUMBERSTRING(INT(D120*10000),2)&amp;"元整")</f>
        <v>零元整</v>
      </c>
      <c r="E121" s="3437"/>
      <c r="F121" s="3437"/>
      <c r="G121" s="3437"/>
      <c r="H121" s="3437"/>
      <c r="I121" s="3436"/>
      <c r="AA121" s="733"/>
    </row>
    <row r="122" spans="1:27" ht="18.75" customHeight="1">
      <c r="A122" s="3441" t="str">
        <f>IF(项目基本情况!B9="房地产市场价值","",MID(E107,3,LEN(E107)-2))</f>
        <v>房地产抵押价值</v>
      </c>
      <c r="B122" s="3441"/>
      <c r="C122" s="3441"/>
      <c r="D122" s="3430">
        <f ca="1">H107</f>
        <v>34390</v>
      </c>
      <c r="E122" s="3431"/>
      <c r="F122" s="3431"/>
      <c r="G122" s="3431"/>
      <c r="H122" s="3431"/>
      <c r="I122" s="3432"/>
      <c r="AA122" s="733"/>
    </row>
    <row r="123" spans="1:27" ht="18.75" customHeight="1">
      <c r="A123" s="3429" t="s">
        <v>2075</v>
      </c>
      <c r="B123" s="3429"/>
      <c r="C123" s="3429"/>
      <c r="D123" s="3435" t="str">
        <f ca="1">NUMBERSTRING(INT(D122*10000),2)&amp;"元整"</f>
        <v>叁亿肆仟叁佰玖拾万元整</v>
      </c>
      <c r="E123" s="3437"/>
      <c r="F123" s="3437"/>
      <c r="G123" s="3437"/>
      <c r="H123" s="3437"/>
      <c r="I123" s="3436"/>
      <c r="AA123" s="733"/>
    </row>
    <row r="124" spans="1:27" ht="18.75" customHeight="1">
      <c r="A124" s="3441" t="str">
        <f>IF(项目基本情况!B9="房地产市场价值","",MID(E109,3,LEN(E109)-2))</f>
        <v/>
      </c>
      <c r="B124" s="3441"/>
      <c r="C124" s="3441"/>
      <c r="D124" s="3430" t="str">
        <f>H109</f>
        <v>——</v>
      </c>
      <c r="E124" s="3431"/>
      <c r="F124" s="3431"/>
      <c r="G124" s="3431"/>
      <c r="H124" s="3431"/>
      <c r="I124" s="3432"/>
      <c r="AA124" s="733"/>
    </row>
    <row r="125" spans="1:27" ht="18.75" customHeight="1">
      <c r="A125" s="3429" t="s">
        <v>2075</v>
      </c>
      <c r="B125" s="3429"/>
      <c r="C125" s="3429"/>
      <c r="D125" s="3435" t="e">
        <f>NUMBERSTRING(INT(D124*10000),2)&amp;"元整"</f>
        <v>#VALUE!</v>
      </c>
      <c r="E125" s="3437"/>
      <c r="F125" s="3437"/>
      <c r="G125" s="3437"/>
      <c r="H125" s="3437"/>
      <c r="I125" s="3436"/>
      <c r="AA125" s="733"/>
    </row>
    <row r="126" spans="1:27" ht="18.75" customHeight="1">
      <c r="A126" s="3441" t="str">
        <f>IF(项目基本情况!B9="房地产市场价值","",MID(E111,3,LEN(E111)-2))</f>
        <v/>
      </c>
      <c r="B126" s="3441"/>
      <c r="C126" s="3441"/>
      <c r="D126" s="3430" t="str">
        <f>H111</f>
        <v>——</v>
      </c>
      <c r="E126" s="3431"/>
      <c r="F126" s="3431"/>
      <c r="G126" s="3431"/>
      <c r="H126" s="3431"/>
      <c r="I126" s="3432"/>
      <c r="AA126" s="733"/>
    </row>
    <row r="127" spans="1:27" ht="18.75" customHeight="1">
      <c r="A127" s="3429" t="s">
        <v>2075</v>
      </c>
      <c r="B127" s="3429"/>
      <c r="C127" s="3429"/>
      <c r="D127" s="3435" t="e">
        <f>NUMBERSTRING(INT(D126*10000),2)&amp;"元整"</f>
        <v>#VALUE!</v>
      </c>
      <c r="E127" s="3437"/>
      <c r="F127" s="3437"/>
      <c r="G127" s="3437"/>
      <c r="H127" s="3437"/>
      <c r="I127" s="3436"/>
      <c r="AA127" s="733"/>
    </row>
    <row r="128" spans="1:27" ht="21.75" customHeight="1">
      <c r="A128" s="3438" t="s">
        <v>2076</v>
      </c>
      <c r="B128" s="3438"/>
      <c r="C128" s="3438"/>
      <c r="D128" s="3438"/>
      <c r="E128" s="3438"/>
      <c r="F128" s="3438"/>
      <c r="G128" s="3438"/>
      <c r="H128" s="3438"/>
      <c r="I128" s="343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0" zoomScaleNormal="70" zoomScaleSheetLayoutView="80" workbookViewId="0">
      <selection activeCell="B1" sqref="B1"/>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2084</v>
      </c>
      <c r="B1" s="1623" t="s">
        <v>3227</v>
      </c>
      <c r="C1" s="203"/>
      <c r="D1" s="203"/>
      <c r="E1" s="203"/>
      <c r="F1" s="203"/>
      <c r="G1" s="1259">
        <f>MATCH(B1,'数据-取费表'!A6:A16,0)+5</f>
        <v>6</v>
      </c>
    </row>
    <row r="2" spans="1:9" s="205" customFormat="1" ht="18" customHeight="1">
      <c r="A2" s="206" t="s">
        <v>2085</v>
      </c>
      <c r="B2" s="207">
        <f ca="1">IF(D2="——",C52,C52-E2)</f>
        <v>52029</v>
      </c>
      <c r="C2" s="204" t="s">
        <v>2086</v>
      </c>
      <c r="D2" s="2008" t="s">
        <v>70</v>
      </c>
      <c r="E2" s="1302" t="e">
        <f ca="1">SUMIF(INDIRECT("'"&amp;G2&amp;"'"&amp;"!A:A"),"承租人权益价值",INDIRECT("'"&amp;G2&amp;"'"&amp;"!c:c"))</f>
        <v>#REF!</v>
      </c>
      <c r="F2" s="2009" t="s">
        <v>2086</v>
      </c>
      <c r="G2" s="2010"/>
    </row>
    <row r="3" spans="1:9" s="205" customFormat="1" ht="18" customHeight="1" thickBot="1">
      <c r="A3" s="208" t="s">
        <v>2087</v>
      </c>
      <c r="B3" s="209">
        <f ca="1">ROUND(B2*10000/(IF(B1="",'数据-汇总表'!E3,INDIRECT("'数据-取费表'!k"&amp;$G$1))),0)</f>
        <v>35670</v>
      </c>
      <c r="C3" s="204" t="s">
        <v>2088</v>
      </c>
      <c r="D3" s="204"/>
      <c r="E3" s="204"/>
      <c r="F3" s="204"/>
      <c r="G3" s="204"/>
    </row>
    <row r="4" spans="1:9" s="213" customFormat="1" ht="16.2">
      <c r="A4" s="210" t="s">
        <v>2089</v>
      </c>
      <c r="B4" s="211"/>
      <c r="C4" s="211"/>
      <c r="D4" s="211"/>
      <c r="E4" s="211"/>
      <c r="F4" s="211"/>
      <c r="G4" s="212"/>
    </row>
    <row r="5" spans="1:9" s="219" customFormat="1" ht="13.5" customHeight="1">
      <c r="A5" s="260" t="s">
        <v>2090</v>
      </c>
      <c r="B5" s="215" t="s">
        <v>2091</v>
      </c>
      <c r="C5" s="216">
        <f ca="1">C6+C7+C8</f>
        <v>31990</v>
      </c>
      <c r="D5" s="216" t="s">
        <v>2092</v>
      </c>
      <c r="E5" s="217" t="s">
        <v>2093</v>
      </c>
      <c r="F5" s="217" t="s">
        <v>2094</v>
      </c>
      <c r="G5" s="218"/>
    </row>
    <row r="6" spans="1:9" s="219" customFormat="1" ht="13.5" customHeight="1">
      <c r="A6" s="885" t="s">
        <v>2095</v>
      </c>
      <c r="B6" s="220" t="s">
        <v>2096</v>
      </c>
      <c r="C6" s="221">
        <f>信息!L16</f>
        <v>30760</v>
      </c>
      <c r="D6" s="222"/>
      <c r="E6" s="223"/>
      <c r="F6" s="223"/>
      <c r="G6" s="224"/>
    </row>
    <row r="7" spans="1:9" s="219" customFormat="1" ht="13.5" customHeight="1">
      <c r="A7" s="885" t="s">
        <v>2097</v>
      </c>
      <c r="B7" s="220" t="s">
        <v>2098</v>
      </c>
      <c r="C7" s="225">
        <f>ROUND(C6*F7,0)</f>
        <v>938</v>
      </c>
      <c r="D7" s="225"/>
      <c r="E7" s="223"/>
      <c r="F7" s="226">
        <f>IF(项目基本情况!B8="出让",0,'数据-取费表'!B48+'数据-取费表'!B49)</f>
        <v>3.0499999999999999E-2</v>
      </c>
      <c r="G7" s="224"/>
    </row>
    <row r="8" spans="1:9" s="228" customFormat="1">
      <c r="A8" s="885" t="s">
        <v>2099</v>
      </c>
      <c r="B8" s="220" t="s">
        <v>2100</v>
      </c>
      <c r="C8" s="225">
        <f ca="1">IF(G8="已包含在土地购买价格中","0",IF(B1="",'数据-取费表'!B29,IF(G9="全部缴纳",C9+C10,H9)))</f>
        <v>292</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292</v>
      </c>
      <c r="D10" s="953">
        <f ca="1">IF(B1="",'数据-汇总表'!E6,IF(INDIRECT("'数据-取费表'!c"&amp;$G$1)="住宅",INDIRECT("'数据-取费表'!s"&amp;$G$1),INDIRECT("'数据-取费表'!k"&amp;$G$1)+INDIRECT("'数据-取费表'!s"&amp;$G$1)))</f>
        <v>14586.08</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14586.08</v>
      </c>
      <c r="E19" s="216">
        <f>'数据-取费表'!B31</f>
        <v>200</v>
      </c>
      <c r="F19" s="236"/>
      <c r="G19" s="2011" t="s">
        <v>3192</v>
      </c>
    </row>
    <row r="20" spans="1:7" s="219" customFormat="1" ht="13.5" customHeight="1">
      <c r="A20" s="260" t="s">
        <v>2116</v>
      </c>
      <c r="B20" s="215" t="s">
        <v>2117</v>
      </c>
      <c r="C20" s="237">
        <f ca="1">ROUND((C5+C19)*F20,0)</f>
        <v>640</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2771</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2744</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2131</v>
      </c>
      <c r="B25" s="220" t="s">
        <v>2132</v>
      </c>
      <c r="C25" s="1236">
        <f ca="1">ROUND(IF('数据-取费表'!B22&lt;=1,C20*F22*'数据-取费表'!B23/2,C20*(POWER((1+F22),'数据-取费表'!B23/2)-1)),0)</f>
        <v>27</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6.4">
      <c r="A27" s="260" t="s">
        <v>2135</v>
      </c>
      <c r="B27" s="249" t="s">
        <v>2136</v>
      </c>
      <c r="C27" s="250">
        <f ca="1">C28</f>
        <v>6526</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6526</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45479</v>
      </c>
      <c r="D31" s="235"/>
      <c r="E31" s="216"/>
      <c r="F31" s="255"/>
      <c r="G31" s="239" t="s">
        <v>2145</v>
      </c>
    </row>
    <row r="32" spans="1:7" s="213" customFormat="1" ht="16.2">
      <c r="A32" s="257" t="s">
        <v>2146</v>
      </c>
      <c r="B32" s="258"/>
      <c r="C32" s="258"/>
      <c r="D32" s="258"/>
      <c r="E32" s="258"/>
      <c r="F32" s="258"/>
      <c r="G32" s="259"/>
    </row>
    <row r="33" spans="1:7" s="219" customFormat="1" ht="13.5" customHeight="1">
      <c r="A33" s="260" t="s">
        <v>782</v>
      </c>
      <c r="B33" s="215" t="s">
        <v>2147</v>
      </c>
      <c r="C33" s="261">
        <f ca="1">SUM(C34:C38)</f>
        <v>4865</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4376</v>
      </c>
      <c r="D34" s="222"/>
      <c r="E34" s="225"/>
      <c r="F34" s="262">
        <f ca="1">IF('数据-取费表'!B24=0,1,IF(B1="",'数据-取费表'!N16,INDIRECT("'数据-取费表'!n"&amp;$G$1)))</f>
        <v>1</v>
      </c>
      <c r="G34" s="224" t="s">
        <v>2149</v>
      </c>
    </row>
    <row r="35" spans="1:7" ht="13.5" customHeight="1">
      <c r="A35" s="887" t="s">
        <v>796</v>
      </c>
      <c r="B35" s="220" t="s">
        <v>2150</v>
      </c>
      <c r="C35" s="225">
        <f ca="1">ROUND(C34*F35,0)</f>
        <v>131</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292</v>
      </c>
      <c r="D37" s="222">
        <f ca="1">D19</f>
        <v>14586.08</v>
      </c>
      <c r="E37" s="254">
        <f>'数据-取费表'!B35</f>
        <v>200</v>
      </c>
      <c r="F37" s="264"/>
      <c r="G37" s="266" t="s">
        <v>2155</v>
      </c>
    </row>
    <row r="38" spans="1:7" ht="13.5" customHeight="1">
      <c r="A38" s="887" t="s">
        <v>799</v>
      </c>
      <c r="B38" s="220" t="s">
        <v>2156</v>
      </c>
      <c r="C38" s="225">
        <f ca="1">ROUND(C34*F38,0)</f>
        <v>66</v>
      </c>
      <c r="D38" s="225"/>
      <c r="E38" s="225"/>
      <c r="F38" s="264">
        <f>'数据-取费表'!B36</f>
        <v>1.4999999999999999E-2</v>
      </c>
      <c r="G38" s="224" t="s">
        <v>2151</v>
      </c>
    </row>
    <row r="39" spans="1:7" s="219" customFormat="1" ht="13.5" customHeight="1">
      <c r="A39" s="260" t="s">
        <v>2157</v>
      </c>
      <c r="B39" s="215" t="s">
        <v>2158</v>
      </c>
      <c r="C39" s="237">
        <f ca="1">ROUND(C33*F20,0)</f>
        <v>97</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208</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204</v>
      </c>
      <c r="D42" s="243"/>
      <c r="E42" s="243"/>
      <c r="F42" s="244"/>
      <c r="G42" s="3511" t="s">
        <v>2167</v>
      </c>
    </row>
    <row r="43" spans="1:7" ht="13.5" customHeight="1">
      <c r="A43" s="887" t="s">
        <v>792</v>
      </c>
      <c r="B43" s="220" t="s">
        <v>2168</v>
      </c>
      <c r="C43" s="243">
        <f ca="1">ROUND(IF('数据-取费表'!B22&lt;=1,C39*F22*'数据-取费表'!B21/2,C39*(POWER((1+F22),'数据-取费表'!B21/2)-1)),0)</f>
        <v>4</v>
      </c>
      <c r="D43" s="243"/>
      <c r="E43" s="243"/>
      <c r="F43" s="244"/>
      <c r="G43" s="3512"/>
    </row>
    <row r="44" spans="1:7" ht="13.5" customHeight="1">
      <c r="A44" s="887" t="s">
        <v>793</v>
      </c>
      <c r="B44" s="220" t="s">
        <v>2169</v>
      </c>
      <c r="C44" s="243">
        <f ca="1">ROUND(IF('数据-取费表'!B22&lt;=1,C40*F22*'数据-取费表'!B21/2,C40*(POWER((1+F22),'数据-取费表'!B21/2)-1)),4)</f>
        <v>8.0000000000000004E-4</v>
      </c>
      <c r="D44" s="243"/>
      <c r="E44" s="243"/>
      <c r="F44" s="244"/>
      <c r="G44" s="3513"/>
    </row>
    <row r="45" spans="1:7" s="219" customFormat="1" ht="13.5" customHeight="1">
      <c r="A45" s="260" t="s">
        <v>2170</v>
      </c>
      <c r="B45" s="249" t="s">
        <v>2136</v>
      </c>
      <c r="C45" s="250">
        <f ca="1">C46</f>
        <v>992</v>
      </c>
      <c r="D45" s="240">
        <f ca="1">C47</f>
        <v>4.0000000000000001E-3</v>
      </c>
      <c r="E45" s="241" t="s">
        <v>2162</v>
      </c>
      <c r="F45" s="2506">
        <f ca="1">F27</f>
        <v>0.2</v>
      </c>
      <c r="G45" s="252" t="s">
        <v>2171</v>
      </c>
    </row>
    <row r="46" spans="1:7" s="219" customFormat="1" ht="13.5" customHeight="1">
      <c r="A46" s="887" t="s">
        <v>791</v>
      </c>
      <c r="B46" s="253" t="s">
        <v>2172</v>
      </c>
      <c r="C46" s="254">
        <f ca="1">ROUND((C33+C39)*F27,0)</f>
        <v>992</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6684</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6550</v>
      </c>
      <c r="D51" s="237"/>
      <c r="E51" s="237"/>
      <c r="F51" s="269"/>
      <c r="G51" s="239" t="s">
        <v>2183</v>
      </c>
    </row>
    <row r="52" spans="1:7" s="213" customFormat="1" ht="16.8" thickBot="1">
      <c r="A52" s="270" t="s">
        <v>2184</v>
      </c>
      <c r="B52" s="271"/>
      <c r="C52" s="272">
        <f ca="1">C31+C51</f>
        <v>52029</v>
      </c>
      <c r="D52" s="271"/>
      <c r="E52" s="271"/>
      <c r="F52" s="271"/>
      <c r="G52" s="273"/>
    </row>
    <row r="55" spans="1:7" ht="15">
      <c r="B55" s="275" t="s">
        <v>2185</v>
      </c>
      <c r="C55" s="276"/>
    </row>
    <row r="56" spans="1:7">
      <c r="B56" s="278" t="s">
        <v>1415</v>
      </c>
      <c r="C56" s="280">
        <f ca="1">1-C57</f>
        <v>0.874</v>
      </c>
    </row>
    <row r="57" spans="1:7">
      <c r="B57" s="278" t="s">
        <v>1416</v>
      </c>
      <c r="C57" s="279">
        <f ca="1">ROUND(C51/C52,3)</f>
        <v>0.126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2084</v>
      </c>
      <c r="B1" s="1623"/>
      <c r="C1" s="2014" t="s">
        <v>2186</v>
      </c>
      <c r="D1" s="203"/>
      <c r="E1" s="203"/>
      <c r="F1" s="203"/>
      <c r="G1" s="1259">
        <f>MATCH(B1,'数据-取费表'!A6:A16,0)+5</f>
        <v>9</v>
      </c>
      <c r="H1" s="1191" t="str">
        <f>IF(ISERROR(FIND("住宅",B1)),"非住宅","住宅")</f>
        <v>非住宅</v>
      </c>
    </row>
    <row r="2" spans="1:8" s="205" customFormat="1" ht="18" customHeight="1">
      <c r="A2" s="206" t="s">
        <v>2085</v>
      </c>
      <c r="B2" s="207">
        <f ca="1">ROUND(IF(D2="——",C52/10000,C52/10000-E2),0)</f>
        <v>8931</v>
      </c>
      <c r="C2" s="204" t="s">
        <v>2086</v>
      </c>
      <c r="D2" s="2008" t="s">
        <v>70</v>
      </c>
      <c r="E2" s="1302" t="e">
        <f ca="1">SUMIF(INDIRECT("'"&amp;G2&amp;"'"&amp;"!A:A"),"承租人权益价值",INDIRECT("'"&amp;G2&amp;"'"&amp;"!c:c"))</f>
        <v>#REF!</v>
      </c>
      <c r="F2" s="2009" t="s">
        <v>2086</v>
      </c>
      <c r="G2" s="2010"/>
    </row>
    <row r="3" spans="1:8" s="205" customFormat="1" ht="18" customHeight="1" thickBot="1">
      <c r="A3" s="208" t="s">
        <v>2087</v>
      </c>
      <c r="B3" s="209">
        <f ca="1">ROUND(B2*10000/(IF(B1="",'数据-汇总表'!E3,INDIRECT("'数据-取费表'!k"&amp;$G$1))),0)</f>
        <v>5060</v>
      </c>
      <c r="C3" s="204" t="s">
        <v>2088</v>
      </c>
      <c r="D3" s="204"/>
      <c r="E3" s="204"/>
      <c r="F3" s="204"/>
      <c r="G3" s="204"/>
    </row>
    <row r="4" spans="1:8" s="213" customFormat="1" ht="16.2">
      <c r="A4" s="210" t="s">
        <v>2089</v>
      </c>
      <c r="B4" s="211"/>
      <c r="C4" s="211"/>
      <c r="D4" s="211"/>
      <c r="E4" s="211"/>
      <c r="F4" s="211"/>
      <c r="G4" s="212"/>
    </row>
    <row r="5" spans="1:8" s="219" customFormat="1" ht="13.5" customHeight="1">
      <c r="A5" s="260" t="s">
        <v>2090</v>
      </c>
      <c r="B5" s="215" t="s">
        <v>2091</v>
      </c>
      <c r="C5" s="216">
        <f ca="1">C6+C7+C8</f>
        <v>3530182</v>
      </c>
      <c r="D5" s="216" t="s">
        <v>2092</v>
      </c>
      <c r="E5" s="217" t="s">
        <v>2093</v>
      </c>
      <c r="F5" s="217" t="s">
        <v>2094</v>
      </c>
      <c r="G5" s="218"/>
    </row>
    <row r="6" spans="1:8" s="219" customFormat="1" ht="13.5" customHeight="1">
      <c r="A6" s="885" t="s">
        <v>2095</v>
      </c>
      <c r="B6" s="220" t="s">
        <v>2096</v>
      </c>
      <c r="C6" s="221"/>
      <c r="D6" s="222"/>
      <c r="E6" s="223"/>
      <c r="F6" s="223"/>
      <c r="G6" s="224"/>
    </row>
    <row r="7" spans="1:8" s="219" customFormat="1" ht="13.5" customHeight="1">
      <c r="A7" s="885" t="s">
        <v>2097</v>
      </c>
      <c r="B7" s="220" t="s">
        <v>2098</v>
      </c>
      <c r="C7" s="225">
        <f>ROUND(C6*F7,0)</f>
        <v>0</v>
      </c>
      <c r="D7" s="225"/>
      <c r="E7" s="223"/>
      <c r="F7" s="226">
        <f>IF(项目基本情况!B8="出让",0,'数据-取费表'!B48+'数据-取费表'!B49)</f>
        <v>3.0499999999999999E-2</v>
      </c>
      <c r="G7" s="224"/>
    </row>
    <row r="8" spans="1:8" s="228" customFormat="1">
      <c r="A8" s="885" t="s">
        <v>2099</v>
      </c>
      <c r="B8" s="220" t="s">
        <v>2100</v>
      </c>
      <c r="C8" s="225">
        <f ca="1">IF(G8="已包含在土地购买价格中",0,C9+C10)</f>
        <v>3530182</v>
      </c>
      <c r="D8" s="227"/>
      <c r="E8" s="225"/>
      <c r="F8" s="226"/>
      <c r="G8" s="2011"/>
    </row>
    <row r="9" spans="1:8" s="219" customFormat="1" ht="13.5" customHeight="1">
      <c r="A9" s="886" t="s">
        <v>800</v>
      </c>
      <c r="B9" s="229" t="s">
        <v>2101</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2103</v>
      </c>
      <c r="C10" s="230">
        <f ca="1">ROUND(D10*E10,0)</f>
        <v>3530182</v>
      </c>
      <c r="D10" s="953">
        <f ca="1">IF(B1="",'数据-汇总表'!E6,IF(INDIRECT("'数据-取费表'!c"&amp;$G$1)="住宅",INDIRECT("'数据-取费表'!s"&amp;$G$1),INDIRECT("'数据-取费表'!k"&amp;$G$1)+INDIRECT("'数据-取费表'!s"&amp;$G$1)))</f>
        <v>17650.910000000003</v>
      </c>
      <c r="E10" s="230">
        <f>'数据-取费表'!B28</f>
        <v>200</v>
      </c>
      <c r="F10" s="226"/>
      <c r="G10" s="231"/>
    </row>
    <row r="11" spans="1:8" s="219" customFormat="1" ht="13.5" hidden="1" customHeight="1">
      <c r="A11" s="232" t="s">
        <v>7</v>
      </c>
      <c r="B11" s="220" t="s">
        <v>2104</v>
      </c>
      <c r="C11" s="216"/>
      <c r="D11" s="955"/>
      <c r="E11" s="223"/>
      <c r="F11" s="223"/>
      <c r="G11" s="224"/>
    </row>
    <row r="12" spans="1:8" s="219" customFormat="1" ht="13.5" hidden="1" customHeight="1">
      <c r="A12" s="232" t="s">
        <v>8</v>
      </c>
      <c r="B12" s="220" t="s">
        <v>2187</v>
      </c>
      <c r="C12" s="216">
        <v>0</v>
      </c>
      <c r="D12" s="955"/>
      <c r="E12" s="233"/>
      <c r="F12" s="226">
        <v>3.0499999999999999E-2</v>
      </c>
      <c r="G12" s="224"/>
    </row>
    <row r="13" spans="1:8" s="219" customFormat="1" ht="13.5" hidden="1" customHeight="1">
      <c r="A13" s="232" t="s">
        <v>9</v>
      </c>
      <c r="B13" s="220" t="s">
        <v>2188</v>
      </c>
      <c r="C13" s="216"/>
      <c r="D13" s="955"/>
      <c r="E13" s="223"/>
      <c r="F13" s="223"/>
      <c r="G13" s="224"/>
    </row>
    <row r="14" spans="1:8" s="219" customFormat="1" ht="13.5" hidden="1" customHeight="1">
      <c r="A14" s="232" t="s">
        <v>10</v>
      </c>
      <c r="B14" s="220" t="s">
        <v>2100</v>
      </c>
      <c r="C14" s="216"/>
      <c r="D14" s="955"/>
      <c r="E14" s="223"/>
      <c r="F14" s="223"/>
      <c r="G14" s="224" t="s">
        <v>2189</v>
      </c>
    </row>
    <row r="15" spans="1:8" s="219" customFormat="1" ht="13.5" hidden="1" customHeight="1">
      <c r="A15" s="232" t="s">
        <v>11</v>
      </c>
      <c r="B15" s="220" t="s">
        <v>2190</v>
      </c>
      <c r="C15" s="225"/>
      <c r="D15" s="955"/>
      <c r="E15" s="223"/>
      <c r="F15" s="223"/>
      <c r="G15" s="224" t="s">
        <v>2191</v>
      </c>
    </row>
    <row r="16" spans="1:8" s="219" customFormat="1" ht="13.5" hidden="1" customHeight="1">
      <c r="A16" s="232" t="s">
        <v>12</v>
      </c>
      <c r="B16" s="220" t="s">
        <v>2100</v>
      </c>
      <c r="C16" s="225"/>
      <c r="D16" s="955"/>
      <c r="E16" s="223"/>
      <c r="F16" s="223"/>
      <c r="G16" s="224"/>
    </row>
    <row r="17" spans="1:7" s="219" customFormat="1" ht="13.5" hidden="1" customHeight="1">
      <c r="A17" s="232" t="s">
        <v>13</v>
      </c>
      <c r="B17" s="220" t="s">
        <v>2192</v>
      </c>
      <c r="C17" s="234"/>
      <c r="D17" s="956"/>
      <c r="E17" s="234"/>
      <c r="F17" s="234"/>
      <c r="G17" s="224" t="s">
        <v>2191</v>
      </c>
    </row>
    <row r="18" spans="1:7" s="219" customFormat="1" ht="13.5" hidden="1" customHeight="1">
      <c r="A18" s="232" t="s">
        <v>14</v>
      </c>
      <c r="B18" s="220" t="s">
        <v>2193</v>
      </c>
      <c r="C18" s="225">
        <v>0</v>
      </c>
      <c r="D18" s="955"/>
      <c r="E18" s="223"/>
      <c r="F18" s="226">
        <v>3.0499999999999999E-2</v>
      </c>
      <c r="G18" s="224" t="s">
        <v>2194</v>
      </c>
    </row>
    <row r="19" spans="1:7" s="228" customFormat="1" ht="13.5" customHeight="1">
      <c r="A19" s="260" t="s">
        <v>2195</v>
      </c>
      <c r="B19" s="215" t="s">
        <v>2196</v>
      </c>
      <c r="C19" s="216">
        <f ca="1">IF(G19="已包含在土地取得成本中","0",ROUND(D19*E19,0))</f>
        <v>3530182</v>
      </c>
      <c r="D19" s="957">
        <f ca="1">D9+D10</f>
        <v>17650.910000000003</v>
      </c>
      <c r="E19" s="216">
        <f>'数据-取费表'!B31</f>
        <v>200</v>
      </c>
      <c r="F19" s="236"/>
      <c r="G19" s="2011"/>
    </row>
    <row r="20" spans="1:7" s="219" customFormat="1" ht="13.5" customHeight="1">
      <c r="A20" s="260" t="s">
        <v>2197</v>
      </c>
      <c r="B20" s="215" t="s">
        <v>2198</v>
      </c>
      <c r="C20" s="237">
        <f ca="1">ROUND((C5+C19)*F20,0)</f>
        <v>141207</v>
      </c>
      <c r="D20" s="237"/>
      <c r="E20" s="237"/>
      <c r="F20" s="238">
        <f>'数据-取费表'!B37</f>
        <v>0.02</v>
      </c>
      <c r="G20" s="239" t="s">
        <v>2199</v>
      </c>
    </row>
    <row r="21" spans="1:7" s="219" customFormat="1" ht="13.5" customHeight="1">
      <c r="A21" s="260" t="s">
        <v>2200</v>
      </c>
      <c r="B21" s="215" t="s">
        <v>2201</v>
      </c>
      <c r="C21" s="240">
        <f>F21</f>
        <v>0.02</v>
      </c>
      <c r="D21" s="241" t="s">
        <v>2202</v>
      </c>
      <c r="E21" s="237"/>
      <c r="F21" s="238">
        <f>'数据-取费表'!B38</f>
        <v>0.02</v>
      </c>
      <c r="G21" s="239" t="s">
        <v>2203</v>
      </c>
    </row>
    <row r="22" spans="1:7" s="219" customFormat="1" ht="13.5" customHeight="1">
      <c r="A22" s="260" t="s">
        <v>2204</v>
      </c>
      <c r="B22" s="215" t="s">
        <v>2205</v>
      </c>
      <c r="C22" s="1260">
        <f ca="1">ROUND(SUM(C23:C25),0)</f>
        <v>611457</v>
      </c>
      <c r="D22" s="240">
        <f ca="1">C26</f>
        <v>8.0000000000000004E-4</v>
      </c>
      <c r="E22" s="241" t="s">
        <v>2202</v>
      </c>
      <c r="F22" s="242">
        <f ca="1">'数据-取费表'!B40</f>
        <v>4.2000000000000003E-2</v>
      </c>
      <c r="G22" s="239" t="str">
        <f>IF('数据-取费表'!B22&lt;=1,"单利计息","复利计息")</f>
        <v>复利计息</v>
      </c>
    </row>
    <row r="23" spans="1:7" s="219" customFormat="1" ht="13.5" customHeight="1">
      <c r="A23" s="887" t="s">
        <v>2095</v>
      </c>
      <c r="B23" s="220" t="s">
        <v>2206</v>
      </c>
      <c r="C23" s="1261">
        <f ca="1">ROUND(IF('数据-取费表'!B22&lt;=1,C5*F22*'数据-取费表'!B22,C5*(POWER((1+F22),'数据-取费表'!B22)-1)),0)</f>
        <v>302763</v>
      </c>
      <c r="D23" s="243"/>
      <c r="E23" s="243"/>
      <c r="F23" s="244"/>
      <c r="G23" s="245" t="s">
        <v>2207</v>
      </c>
    </row>
    <row r="24" spans="1:7" s="219" customFormat="1" ht="13.5" customHeight="1">
      <c r="A24" s="887" t="s">
        <v>2097</v>
      </c>
      <c r="B24" s="220" t="s">
        <v>2208</v>
      </c>
      <c r="C24" s="1261">
        <f ca="1">ROUND(IF('数据-取费表'!B22&lt;=1,C19*F22*('数据-取费表'!B19/2+'数据-取费表'!B20),C19*(POWER((1+F22),('数据-取费表'!B19/2+'数据-取费表'!B20))-1)),0)</f>
        <v>302763</v>
      </c>
      <c r="D24" s="243"/>
      <c r="E24" s="243"/>
      <c r="F24" s="244"/>
      <c r="G24" s="245" t="s">
        <v>2209</v>
      </c>
    </row>
    <row r="25" spans="1:7" s="219" customFormat="1" ht="24">
      <c r="A25" s="887" t="s">
        <v>2099</v>
      </c>
      <c r="B25" s="220" t="s">
        <v>2210</v>
      </c>
      <c r="C25" s="1261">
        <f ca="1">ROUND(IF('数据-取费表'!B22&lt;=1,C20*F22*'数据-取费表'!B22/2,C20*(POWER((1+F22),'数据-取费表'!B22/2)-1)),0)</f>
        <v>5931</v>
      </c>
      <c r="D25" s="243"/>
      <c r="E25" s="246"/>
      <c r="F25" s="244"/>
      <c r="G25" s="247" t="s">
        <v>2211</v>
      </c>
    </row>
    <row r="26" spans="1:7" s="219" customFormat="1">
      <c r="A26" s="887" t="s">
        <v>795</v>
      </c>
      <c r="B26" s="220" t="s">
        <v>2134</v>
      </c>
      <c r="C26" s="243">
        <f ca="1">ROUND(IF('数据-取费表'!B22&lt;=1,F21*F22*'数据-取费表'!B22/2,F21*(POWER((1+F22),'数据-取费表'!B22/2)-1)),4)</f>
        <v>8.0000000000000004E-4</v>
      </c>
      <c r="D26" s="243"/>
      <c r="E26" s="246"/>
      <c r="F26" s="244"/>
      <c r="G26" s="248"/>
    </row>
    <row r="27" spans="1:7" s="219" customFormat="1" ht="26.4">
      <c r="A27" s="260" t="s">
        <v>2135</v>
      </c>
      <c r="B27" s="249" t="s">
        <v>2136</v>
      </c>
      <c r="C27" s="250">
        <f ca="1">C28</f>
        <v>1440314</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ROUND((C5+C19+C20)*F27,0)</f>
        <v>1440314</v>
      </c>
      <c r="D28" s="240"/>
      <c r="E28" s="241"/>
      <c r="F28" s="251"/>
      <c r="G28" s="252"/>
    </row>
    <row r="29" spans="1:7" s="219" customFormat="1" ht="13.5" customHeight="1">
      <c r="A29" s="887" t="s">
        <v>792</v>
      </c>
      <c r="B29" s="253" t="s">
        <v>2140</v>
      </c>
      <c r="C29" s="243">
        <f ca="1">ROUND(C21*F27,4)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10037251</v>
      </c>
      <c r="D31" s="235"/>
      <c r="E31" s="216"/>
      <c r="F31" s="255"/>
      <c r="G31" s="239" t="s">
        <v>2145</v>
      </c>
    </row>
    <row r="32" spans="1:7" s="213" customFormat="1" ht="16.2">
      <c r="A32" s="257" t="s">
        <v>2212</v>
      </c>
      <c r="B32" s="258"/>
      <c r="C32" s="258"/>
      <c r="D32" s="258"/>
      <c r="E32" s="258"/>
      <c r="F32" s="258"/>
      <c r="G32" s="259"/>
    </row>
    <row r="33" spans="1:7" s="219" customFormat="1" ht="13.5" customHeight="1">
      <c r="A33" s="260" t="s">
        <v>782</v>
      </c>
      <c r="B33" s="215" t="s">
        <v>2213</v>
      </c>
      <c r="C33" s="261">
        <f ca="1">SUM(C34:C38)</f>
        <v>58865785</v>
      </c>
      <c r="D33" s="237"/>
      <c r="E33" s="217"/>
      <c r="F33" s="246"/>
      <c r="G33" s="239"/>
    </row>
    <row r="34" spans="1:7" s="263" customFormat="1" ht="13.5" customHeight="1">
      <c r="A34" s="887" t="s">
        <v>791</v>
      </c>
      <c r="B34" s="220" t="s">
        <v>2148</v>
      </c>
      <c r="C34" s="225">
        <f ca="1">ROUND(IF(B1="",SUMPRODUCT('数据-取费表'!K6:K14,'数据-取费表'!L6:L14),INDIRECT("'数据-取费表'!l"&amp;$G$1)*INDIRECT("'数据-取费表'!k"&amp;$G$1)+'数据-取费表'!L14*INDIRECT("'数据-取费表'!S"&amp;$G$1)),0)</f>
        <v>52952730</v>
      </c>
      <c r="D34" s="222"/>
      <c r="E34" s="225"/>
      <c r="F34" s="262"/>
      <c r="G34" s="224"/>
    </row>
    <row r="35" spans="1:7" ht="13.5" customHeight="1">
      <c r="A35" s="887" t="s">
        <v>796</v>
      </c>
      <c r="B35" s="220" t="s">
        <v>2150</v>
      </c>
      <c r="C35" s="225">
        <f ca="1">ROUND(C34*F35,0)</f>
        <v>1588582</v>
      </c>
      <c r="D35" s="225"/>
      <c r="E35" s="225"/>
      <c r="F35" s="264">
        <f>'数据-取费表'!B33</f>
        <v>0.03</v>
      </c>
      <c r="G35" s="224" t="s">
        <v>2151</v>
      </c>
    </row>
    <row r="36" spans="1:7" ht="24">
      <c r="A36" s="887" t="s">
        <v>797</v>
      </c>
      <c r="B36" s="220" t="s">
        <v>2152</v>
      </c>
      <c r="C36" s="225">
        <f ca="1">ROUND(IF(B1="",SUM('数据-取费表'!AP6:AP13)*F36,IF(INDIRECT("'数据-取费表'!c"&amp;$G$1)="住宅",INDIRECT("'数据-取费表'!k"&amp;$G$1)*INDIRECT("'数据-取费表'!l"&amp;$G$1)*F36,0)),0)</f>
        <v>0</v>
      </c>
      <c r="D36" s="225"/>
      <c r="E36" s="225"/>
      <c r="F36" s="264">
        <f>'数据-取费表'!B34</f>
        <v>0</v>
      </c>
      <c r="G36" s="265" t="s">
        <v>2153</v>
      </c>
    </row>
    <row r="37" spans="1:7" s="263" customFormat="1" ht="13.5" customHeight="1">
      <c r="A37" s="887" t="s">
        <v>798</v>
      </c>
      <c r="B37" s="220" t="s">
        <v>2154</v>
      </c>
      <c r="C37" s="254">
        <f ca="1">ROUND(E37*D37,0)</f>
        <v>3530182</v>
      </c>
      <c r="D37" s="222">
        <f ca="1">D19</f>
        <v>17650.910000000003</v>
      </c>
      <c r="E37" s="254">
        <f>'数据-取费表'!B35</f>
        <v>200</v>
      </c>
      <c r="F37" s="264"/>
      <c r="G37" s="266"/>
    </row>
    <row r="38" spans="1:7" ht="13.5" customHeight="1">
      <c r="A38" s="887" t="s">
        <v>799</v>
      </c>
      <c r="B38" s="220" t="s">
        <v>2156</v>
      </c>
      <c r="C38" s="225">
        <f ca="1">ROUND(C34*F38,0)</f>
        <v>794291</v>
      </c>
      <c r="D38" s="225"/>
      <c r="E38" s="225"/>
      <c r="F38" s="264">
        <f>'数据-取费表'!B36</f>
        <v>1.4999999999999999E-2</v>
      </c>
      <c r="G38" s="224" t="s">
        <v>2151</v>
      </c>
    </row>
    <row r="39" spans="1:7" s="219" customFormat="1" ht="13.5" customHeight="1">
      <c r="A39" s="260" t="s">
        <v>2157</v>
      </c>
      <c r="B39" s="215" t="s">
        <v>2158</v>
      </c>
      <c r="C39" s="237">
        <f ca="1">ROUND(C33*F20,0)</f>
        <v>1177316</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2521810</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ROUND(IF('数据-取费表'!B22&lt;=1,C33*F22*'数据-取费表'!B20/2,C33*(POWER((1+F22),'数据-取费表'!B20/2)-1)),0)</f>
        <v>2472363</v>
      </c>
      <c r="D42" s="243"/>
      <c r="E42" s="243"/>
      <c r="F42" s="244"/>
      <c r="G42" s="3511" t="s">
        <v>2214</v>
      </c>
    </row>
    <row r="43" spans="1:7" ht="13.5" customHeight="1">
      <c r="A43" s="887" t="s">
        <v>792</v>
      </c>
      <c r="B43" s="220" t="s">
        <v>2168</v>
      </c>
      <c r="C43" s="243">
        <f ca="1">ROUND(IF('数据-取费表'!B22&lt;=1,C39*F22*'数据-取费表'!B20/2,C39*(POWER((1+F22),'数据-取费表'!B20/2)-1)),0)</f>
        <v>49447</v>
      </c>
      <c r="D43" s="243"/>
      <c r="E43" s="243"/>
      <c r="F43" s="244"/>
      <c r="G43" s="3512"/>
    </row>
    <row r="44" spans="1:7" ht="13.5" customHeight="1">
      <c r="A44" s="887" t="s">
        <v>793</v>
      </c>
      <c r="B44" s="220" t="s">
        <v>2169</v>
      </c>
      <c r="C44" s="243">
        <f ca="1">ROUND(IF('数据-取费表'!B22&lt;=1,C40*F22*'数据-取费表'!B20/2,C40*(POWER((1+F22),'数据-取费表'!B20/2)-1)),4)</f>
        <v>8.0000000000000004E-4</v>
      </c>
      <c r="D44" s="243"/>
      <c r="E44" s="243"/>
      <c r="F44" s="244"/>
      <c r="G44" s="3513"/>
    </row>
    <row r="45" spans="1:7" s="219" customFormat="1" ht="13.5" customHeight="1">
      <c r="A45" s="260" t="s">
        <v>2170</v>
      </c>
      <c r="B45" s="249" t="s">
        <v>2136</v>
      </c>
      <c r="C45" s="250">
        <f ca="1">C46</f>
        <v>12008620</v>
      </c>
      <c r="D45" s="240">
        <f ca="1">C47</f>
        <v>4.0000000000000001E-3</v>
      </c>
      <c r="E45" s="241" t="s">
        <v>2162</v>
      </c>
      <c r="F45" s="2506">
        <f ca="1">F27</f>
        <v>0.2</v>
      </c>
      <c r="G45" s="252" t="s">
        <v>2171</v>
      </c>
    </row>
    <row r="46" spans="1:7" s="219" customFormat="1" ht="13.5" customHeight="1">
      <c r="A46" s="887" t="s">
        <v>791</v>
      </c>
      <c r="B46" s="253" t="s">
        <v>2172</v>
      </c>
      <c r="C46" s="254">
        <f ca="1">ROUND((C33+C39)*F27,0)</f>
        <v>12008620</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267">
        <f>ROUND(F30/(1+'数据-取费表'!C42),4)</f>
        <v>5.33E-2</v>
      </c>
      <c r="D48" s="241" t="s">
        <v>2162</v>
      </c>
      <c r="E48" s="237"/>
      <c r="F48" s="2505">
        <f>F30</f>
        <v>5.6000000000000001E-2</v>
      </c>
      <c r="G48" s="239" t="s">
        <v>2175</v>
      </c>
    </row>
    <row r="49" spans="1:7" ht="16.5" customHeight="1">
      <c r="A49" s="260" t="s">
        <v>2141</v>
      </c>
      <c r="B49" s="215" t="s">
        <v>2215</v>
      </c>
      <c r="C49" s="237">
        <f ca="1">ROUND((C33+C39+C41+C45)/(1-C40-D41-D45-C48),0)</f>
        <v>80891128</v>
      </c>
      <c r="D49" s="237"/>
      <c r="E49" s="237"/>
      <c r="F49" s="269"/>
      <c r="G49" s="239" t="s">
        <v>2177</v>
      </c>
    </row>
    <row r="50" spans="1:7" s="263" customFormat="1">
      <c r="A50" s="260" t="s">
        <v>2178</v>
      </c>
      <c r="B50" s="215" t="s">
        <v>2179</v>
      </c>
      <c r="C50" s="237"/>
      <c r="D50" s="237"/>
      <c r="E50" s="237"/>
      <c r="F50" s="269">
        <f>IF('数据-取费表'!B24=0,'数据-取费表'!N16,1)</f>
        <v>0.98</v>
      </c>
      <c r="G50" s="252"/>
    </row>
    <row r="51" spans="1:7" ht="16.5" customHeight="1">
      <c r="A51" s="260" t="s">
        <v>2181</v>
      </c>
      <c r="B51" s="215" t="s">
        <v>2216</v>
      </c>
      <c r="C51" s="237">
        <f ca="1">ROUND(C49*F50,0)</f>
        <v>79273305</v>
      </c>
      <c r="D51" s="237"/>
      <c r="E51" s="237"/>
      <c r="F51" s="269"/>
      <c r="G51" s="239" t="s">
        <v>2183</v>
      </c>
    </row>
    <row r="52" spans="1:7" s="213" customFormat="1" ht="16.8" thickBot="1">
      <c r="A52" s="270" t="s">
        <v>2184</v>
      </c>
      <c r="B52" s="271"/>
      <c r="C52" s="272">
        <f ca="1">C31+C51</f>
        <v>89310556</v>
      </c>
      <c r="D52" s="271"/>
      <c r="E52" s="271"/>
      <c r="F52" s="271"/>
      <c r="G52" s="273"/>
    </row>
    <row r="55" spans="1:7" ht="15">
      <c r="B55" s="275" t="s">
        <v>2185</v>
      </c>
      <c r="C55" s="276"/>
    </row>
    <row r="56" spans="1:7">
      <c r="B56" s="278" t="s">
        <v>1415</v>
      </c>
      <c r="C56" s="280">
        <f ca="1">1-C57</f>
        <v>0.11199999999999999</v>
      </c>
    </row>
    <row r="57" spans="1:7">
      <c r="B57" s="278" t="s">
        <v>1416</v>
      </c>
      <c r="C57" s="279">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1" t="s">
        <v>2217</v>
      </c>
      <c r="B1" s="1324"/>
      <c r="C1" s="1325"/>
      <c r="D1" s="1323"/>
      <c r="E1" s="3004"/>
      <c r="F1" s="3004"/>
      <c r="G1" s="2867"/>
      <c r="H1" s="3004"/>
      <c r="I1" s="3004"/>
      <c r="J1" s="3004"/>
      <c r="K1" s="3005">
        <f>MATCH(C1,'数据-取费表'!A6:A16,0)+5</f>
        <v>9</v>
      </c>
    </row>
    <row r="2" spans="1:33" ht="18" customHeight="1">
      <c r="A2" s="206" t="s">
        <v>2085</v>
      </c>
      <c r="B2" s="209">
        <f ca="1">C32</f>
        <v>-72</v>
      </c>
      <c r="C2" s="281" t="s">
        <v>2218</v>
      </c>
      <c r="D2" s="281"/>
      <c r="E2" s="3004"/>
      <c r="F2" s="3004"/>
      <c r="G2" s="3004"/>
      <c r="H2" s="3004"/>
      <c r="I2" s="3004"/>
      <c r="J2" s="3004"/>
      <c r="K2" s="3004"/>
    </row>
    <row r="3" spans="1:33" ht="18" customHeight="1" thickBot="1">
      <c r="A3" s="208" t="s">
        <v>2087</v>
      </c>
      <c r="B3" s="209">
        <f ca="1">ROUND(B2*10000/IF(C1="",'数据-汇总表'!E3,INDIRECT("'数据-取费表'!K"&amp;$K$1)),0)</f>
        <v>-41</v>
      </c>
      <c r="C3" s="281" t="s">
        <v>2219</v>
      </c>
      <c r="D3" s="281"/>
      <c r="E3" s="3004"/>
      <c r="F3" s="3004"/>
      <c r="G3" s="3004"/>
      <c r="H3" s="3004"/>
      <c r="I3" s="3004"/>
      <c r="J3" s="3004"/>
      <c r="K3" s="3004"/>
    </row>
    <row r="4" spans="1:33" s="892" customFormat="1" ht="16.5" customHeight="1">
      <c r="A4" s="889" t="s">
        <v>2220</v>
      </c>
      <c r="B4" s="890"/>
      <c r="C4" s="932">
        <f>SUM(C8:K8)</f>
        <v>0</v>
      </c>
      <c r="D4" s="890"/>
      <c r="E4" s="890"/>
      <c r="F4" s="890"/>
      <c r="G4" s="890"/>
      <c r="H4" s="890"/>
      <c r="I4" s="890"/>
      <c r="J4" s="890"/>
      <c r="K4" s="891"/>
    </row>
    <row r="5" spans="1:33" s="896" customFormat="1" ht="25.2">
      <c r="A5" s="893" t="s">
        <v>2221</v>
      </c>
      <c r="B5" s="894" t="s">
        <v>2222</v>
      </c>
      <c r="C5" s="2015" t="s">
        <v>2223</v>
      </c>
      <c r="D5" s="2015" t="s">
        <v>2224</v>
      </c>
      <c r="E5" s="2015" t="s">
        <v>2225</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2227</v>
      </c>
      <c r="B7" s="135" t="s">
        <v>2228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2229</v>
      </c>
      <c r="B8" s="168" t="s">
        <v>2230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2231</v>
      </c>
      <c r="B9" s="890"/>
      <c r="C9" s="890"/>
      <c r="D9" s="890"/>
      <c r="E9" s="890"/>
      <c r="F9" s="890"/>
      <c r="G9" s="890"/>
      <c r="H9" s="890"/>
      <c r="I9" s="890"/>
      <c r="J9" s="890"/>
      <c r="K9" s="891"/>
    </row>
    <row r="10" spans="1:33" s="906" customFormat="1" ht="13.5" customHeight="1">
      <c r="A10" s="893" t="s">
        <v>2232</v>
      </c>
      <c r="B10" s="8" t="s">
        <v>2233</v>
      </c>
      <c r="C10" s="902" t="s">
        <v>2234</v>
      </c>
      <c r="D10" s="903" t="s">
        <v>2235</v>
      </c>
      <c r="E10" s="903" t="s">
        <v>2236</v>
      </c>
      <c r="F10" s="903" t="s">
        <v>2237</v>
      </c>
      <c r="G10" s="8"/>
      <c r="H10" s="904"/>
      <c r="I10" s="904"/>
      <c r="J10" s="904"/>
      <c r="K10" s="905"/>
    </row>
    <row r="11" spans="1:33" s="911" customFormat="1" ht="13.5" customHeight="1">
      <c r="A11" s="907" t="s">
        <v>1241</v>
      </c>
      <c r="B11" s="908" t="s">
        <v>2238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2239</v>
      </c>
      <c r="C12" s="23">
        <f ca="1">ROUND(C11*F12,0)</f>
        <v>0</v>
      </c>
      <c r="D12" s="909"/>
      <c r="E12" s="334"/>
      <c r="F12" s="912">
        <f>'数据-取费表'!B33</f>
        <v>0.03</v>
      </c>
      <c r="G12" s="8" t="s">
        <v>2240</v>
      </c>
      <c r="H12" s="904"/>
      <c r="I12" s="904"/>
      <c r="J12" s="904"/>
      <c r="K12" s="905"/>
    </row>
    <row r="13" spans="1:33" s="911" customFormat="1" ht="13.5" customHeight="1">
      <c r="A13" s="907" t="s">
        <v>1243</v>
      </c>
      <c r="B13" s="908" t="s">
        <v>2241</v>
      </c>
      <c r="C13" s="23">
        <f ca="1">ROUND(IF(C1="",SUMIF('数据-取费表'!C:C,"住宅",'数据-取费表'!P:P)*F13,IF(INDIRECT("'数据-取费表'!c"&amp;$K$1)="住宅",INDIRECT("'数据-取费表'!P"&amp;$K$1)*F13,0)),0)</f>
        <v>0</v>
      </c>
      <c r="D13" s="954"/>
      <c r="E13" s="334"/>
      <c r="F13" s="912">
        <f>'数据-取费表'!B34</f>
        <v>0</v>
      </c>
      <c r="G13" s="8" t="s">
        <v>2242</v>
      </c>
      <c r="H13" s="904"/>
      <c r="I13" s="904"/>
      <c r="J13" s="904"/>
      <c r="K13" s="905"/>
    </row>
    <row r="14" spans="1:33" s="913" customFormat="1" ht="13.5" customHeight="1">
      <c r="A14" s="907" t="s">
        <v>1244</v>
      </c>
      <c r="B14" s="908" t="s">
        <v>2243</v>
      </c>
      <c r="C14" s="23">
        <f ca="1">ROUND(D14*E14*F11/10000,0)</f>
        <v>0</v>
      </c>
      <c r="D14" s="954">
        <f ca="1">IF(C1="",'数据-汇总表'!E3,INDIRECT("'数据-取费表'!K"&amp;$K$1)+INDIRECT("'数据-取费表'!S"&amp;$K$1))</f>
        <v>17650.910000000003</v>
      </c>
      <c r="E14" s="23">
        <f>'数据-取费表'!B35</f>
        <v>200</v>
      </c>
      <c r="F14" s="912"/>
      <c r="G14" s="8" t="s">
        <v>2244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2245</v>
      </c>
      <c r="C15" s="919">
        <f ca="1">ROUND(C11*F15,0)</f>
        <v>0</v>
      </c>
      <c r="D15" s="914"/>
      <c r="E15" s="919"/>
      <c r="F15" s="920">
        <f>'数据-取费表'!B36</f>
        <v>1.4999999999999999E-2</v>
      </c>
      <c r="G15" s="135" t="s">
        <v>2246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2247</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2248</v>
      </c>
      <c r="C17" s="23">
        <f ca="1">ROUND(D17*E17/10000,0)</f>
        <v>0</v>
      </c>
      <c r="D17" s="954">
        <f ca="1">D14</f>
        <v>17650.910000000003</v>
      </c>
      <c r="E17" s="23">
        <f>'数据-取费表'!B32</f>
        <v>0</v>
      </c>
      <c r="F17" s="914"/>
      <c r="G17" s="135" t="s">
        <v>2249</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2250</v>
      </c>
      <c r="C18" s="23">
        <f ca="1">C19+C20-IF(C1="",'数据-取费表'!B29,IF(G18="已全部缴纳",C19+C20,H18))</f>
        <v>61</v>
      </c>
      <c r="D18" s="954"/>
      <c r="E18" s="23"/>
      <c r="F18" s="912"/>
      <c r="G18" s="2017"/>
      <c r="H18" s="1320"/>
      <c r="I18" s="2018" t="s">
        <v>2251</v>
      </c>
      <c r="J18" s="915"/>
      <c r="K18" s="916"/>
    </row>
    <row r="19" spans="1:33" s="911" customFormat="1" ht="13.5" customHeight="1">
      <c r="A19" s="907" t="s">
        <v>805</v>
      </c>
      <c r="B19" s="908" t="s">
        <v>2252</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2253</v>
      </c>
      <c r="C20" s="23">
        <f ca="1">ROUND(D20*E20/10000,0)</f>
        <v>353</v>
      </c>
      <c r="D20" s="954">
        <f ca="1">IF(C1="",'数据-汇总表'!E6,IF(INDIRECT("'数据-取费表'!c"&amp;$K$1)="住宅",INDIRECT("'数据-取费表'!s"&amp;$K$1),INDIRECT("'数据-取费表'!k"&amp;$K$1)+INDIRECT("'数据-取费表'!s"&amp;$K$1)))</f>
        <v>17650.910000000003</v>
      </c>
      <c r="E20" s="23">
        <f>'数据-取费表'!B28</f>
        <v>200</v>
      </c>
      <c r="F20" s="912"/>
      <c r="G20" s="14"/>
      <c r="H20" s="917"/>
      <c r="I20" s="917"/>
      <c r="J20" s="917"/>
      <c r="K20" s="918"/>
    </row>
    <row r="21" spans="1:33" s="911" customFormat="1" ht="13.5" customHeight="1">
      <c r="A21" s="897" t="s">
        <v>802</v>
      </c>
      <c r="B21" s="921" t="s">
        <v>2254</v>
      </c>
      <c r="C21" s="922">
        <f ca="1">C16+C17+C18</f>
        <v>61</v>
      </c>
      <c r="D21" s="923"/>
      <c r="E21" s="286"/>
      <c r="F21" s="286"/>
      <c r="G21" s="135" t="s">
        <v>2255</v>
      </c>
      <c r="H21" s="915"/>
      <c r="I21" s="915"/>
      <c r="J21" s="915"/>
      <c r="K21" s="916"/>
    </row>
    <row r="22" spans="1:33" s="911" customFormat="1" ht="13.5" customHeight="1">
      <c r="A22" s="897" t="s">
        <v>2227</v>
      </c>
      <c r="B22" s="921" t="s">
        <v>2256</v>
      </c>
      <c r="C22" s="922">
        <f ca="1">ROUND(C21*F22,0)</f>
        <v>1</v>
      </c>
      <c r="D22" s="286"/>
      <c r="E22" s="286"/>
      <c r="F22" s="924">
        <f>'数据-取费表'!B37</f>
        <v>0.02</v>
      </c>
      <c r="G22" s="8" t="s">
        <v>2257</v>
      </c>
      <c r="H22" s="904"/>
      <c r="I22" s="904"/>
      <c r="J22" s="904"/>
      <c r="K22" s="905"/>
    </row>
    <row r="23" spans="1:33" s="911" customFormat="1" ht="13.5" customHeight="1">
      <c r="A23" s="897" t="s">
        <v>2229</v>
      </c>
      <c r="B23" s="921" t="s">
        <v>2258</v>
      </c>
      <c r="C23" s="922">
        <f ca="1">ROUND(C4*F23*F11,0)</f>
        <v>0</v>
      </c>
      <c r="D23" s="286"/>
      <c r="E23" s="286"/>
      <c r="F23" s="924">
        <f>'数据-取费表'!B38</f>
        <v>0.02</v>
      </c>
      <c r="G23" s="8" t="s">
        <v>2259</v>
      </c>
      <c r="H23" s="904"/>
      <c r="I23" s="904"/>
      <c r="J23" s="904"/>
      <c r="K23" s="905"/>
    </row>
    <row r="24" spans="1:33" s="911" customFormat="1" ht="13.5" customHeight="1">
      <c r="A24" s="897" t="s">
        <v>2260</v>
      </c>
      <c r="B24" s="921" t="s">
        <v>2261</v>
      </c>
      <c r="C24" s="285">
        <f>ROUND(F24/(1+'数据-取费表'!C42),4)</f>
        <v>2.9000000000000001E-2</v>
      </c>
      <c r="D24" s="286" t="s">
        <v>15</v>
      </c>
      <c r="E24" s="286"/>
      <c r="F24" s="924">
        <f>IF(项目基本情况!B8="出让",0,'数据-取费表'!B48+'数据-取费表'!B49)</f>
        <v>3.0499999999999999E-2</v>
      </c>
      <c r="G24" s="8" t="s">
        <v>2262</v>
      </c>
      <c r="H24" s="926"/>
      <c r="I24" s="926"/>
      <c r="J24" s="926"/>
      <c r="K24" s="927"/>
    </row>
    <row r="25" spans="1:33" s="911" customFormat="1" ht="13.5" customHeight="1">
      <c r="A25" s="897" t="s">
        <v>2263</v>
      </c>
      <c r="B25" s="923" t="s">
        <v>2264</v>
      </c>
      <c r="C25" s="1237">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2265</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2266</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2267</v>
      </c>
      <c r="B28" s="2020" t="s">
        <v>2268</v>
      </c>
      <c r="C28" s="292">
        <f ca="1">C30</f>
        <v>12</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2269</v>
      </c>
      <c r="C29" s="289">
        <f ca="1">ROUND((1+C24)*F28*'数据-取费表'!B24/'数据-取费表'!B20,4)</f>
        <v>0</v>
      </c>
      <c r="D29" s="289"/>
      <c r="E29" s="290"/>
      <c r="F29" s="295"/>
      <c r="G29" s="135" t="s">
        <v>2270</v>
      </c>
      <c r="H29" s="915"/>
      <c r="I29" s="915"/>
      <c r="J29" s="915"/>
      <c r="K29" s="916"/>
    </row>
    <row r="30" spans="1:33" s="296" customFormat="1" ht="13.5" customHeight="1">
      <c r="A30" s="907" t="s">
        <v>804</v>
      </c>
      <c r="B30" s="930" t="s">
        <v>2271</v>
      </c>
      <c r="C30" s="297">
        <f ca="1">ROUND((C21+C22+C23)*F28,0)</f>
        <v>12</v>
      </c>
      <c r="D30" s="289"/>
      <c r="E30" s="290"/>
      <c r="F30" s="295"/>
      <c r="G30" s="135"/>
      <c r="H30" s="915"/>
      <c r="I30" s="915"/>
      <c r="J30" s="915"/>
      <c r="K30" s="916"/>
    </row>
    <row r="31" spans="1:33" s="911" customFormat="1" ht="13.5" customHeight="1" thickBot="1">
      <c r="A31" s="2021" t="s">
        <v>2272</v>
      </c>
      <c r="B31" s="941" t="s">
        <v>2273</v>
      </c>
      <c r="C31" s="942">
        <f>ROUND(C4*F31/(1+'数据-取费表'!C42),0)</f>
        <v>0</v>
      </c>
      <c r="D31" s="943"/>
      <c r="E31" s="944"/>
      <c r="F31" s="945">
        <f>'数据-取费表'!B41</f>
        <v>5.6000000000000001E-2</v>
      </c>
      <c r="G31" s="946" t="s">
        <v>2274</v>
      </c>
      <c r="H31" s="947"/>
      <c r="I31" s="947"/>
      <c r="J31" s="947"/>
      <c r="K31" s="948"/>
    </row>
    <row r="32" spans="1:33" s="906" customFormat="1" ht="13.5" customHeight="1" thickBot="1">
      <c r="A32" s="936" t="s">
        <v>2275</v>
      </c>
      <c r="B32" s="937"/>
      <c r="C32" s="938">
        <f ca="1">ROUND((C4-C21-C22-C23-C25-C28-C31)/(1+C24+D25+D28),0)</f>
        <v>-72</v>
      </c>
      <c r="D32" s="937"/>
      <c r="E32" s="937"/>
      <c r="F32" s="937"/>
      <c r="G32" s="939" t="s">
        <v>2276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35" sqref="I35"/>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5.44140625" style="263" customWidth="1"/>
    <col min="8" max="8" width="8.44140625" style="263" customWidth="1"/>
    <col min="9" max="9" width="21.21875" style="263" customWidth="1"/>
    <col min="10" max="10" width="12.21875" style="263" customWidth="1"/>
    <col min="11" max="11" width="45.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1491</v>
      </c>
      <c r="B1" s="721"/>
      <c r="C1" s="1532" t="s">
        <v>3227</v>
      </c>
      <c r="D1" s="1515" t="s">
        <v>70</v>
      </c>
      <c r="E1" s="1516" t="s">
        <v>1289</v>
      </c>
      <c r="F1" s="1192">
        <f ca="1">J53</f>
        <v>33.840000000000003</v>
      </c>
      <c r="G1" s="1531">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22631</v>
      </c>
      <c r="C2" s="1540" t="s">
        <v>1418</v>
      </c>
      <c r="D2" s="1540"/>
      <c r="E2" s="1541"/>
      <c r="F2" s="1542"/>
      <c r="G2" s="2902"/>
      <c r="H2" s="2891"/>
      <c r="I2" s="2891"/>
      <c r="J2" s="2891"/>
      <c r="K2" s="2892"/>
      <c r="L2" s="2891"/>
      <c r="M2" s="2891"/>
    </row>
    <row r="3" spans="1:37" ht="18" customHeight="1" thickBot="1">
      <c r="A3" s="1543" t="s">
        <v>1419</v>
      </c>
      <c r="B3" s="1544">
        <f ca="1">IF(ISERROR(B2*10000/F43),0,ROUND(B2*10000/F43,0))</f>
        <v>15515</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1364</v>
      </c>
      <c r="D5" s="1517" t="s">
        <v>1304</v>
      </c>
      <c r="E5" s="1202"/>
      <c r="F5" s="1203"/>
      <c r="G5" s="1537"/>
      <c r="H5" s="304">
        <v>1</v>
      </c>
      <c r="I5" s="305" t="s">
        <v>1303</v>
      </c>
      <c r="J5" s="1201">
        <f ca="1">J6+J10+J12</f>
        <v>0</v>
      </c>
      <c r="K5" s="1517" t="s">
        <v>1304</v>
      </c>
      <c r="L5" s="1202"/>
      <c r="M5" s="1203"/>
    </row>
    <row r="6" spans="1:37" ht="18" customHeight="1">
      <c r="A6" s="1200" t="s">
        <v>1003</v>
      </c>
      <c r="B6" s="3516" t="s">
        <v>1305</v>
      </c>
      <c r="C6" s="1205">
        <f ca="1">ROUND(F6*F8*F7*(1-F9)/10000,0)</f>
        <v>1361</v>
      </c>
      <c r="D6" s="159" t="s">
        <v>2786</v>
      </c>
      <c r="E6" s="307" t="s">
        <v>1307</v>
      </c>
      <c r="F6" s="308">
        <f ca="1">INDIRECT("'数据-取费表'!u"&amp;$G$1)</f>
        <v>2.84</v>
      </c>
      <c r="G6" s="1537"/>
      <c r="H6" s="1200" t="s">
        <v>1003</v>
      </c>
      <c r="I6" s="3516" t="s">
        <v>1305</v>
      </c>
      <c r="J6" s="306">
        <f ca="1">ROUND(M6*M8*M7*(1-M9)/10000,0)</f>
        <v>0</v>
      </c>
      <c r="K6" s="159" t="s">
        <v>2785</v>
      </c>
      <c r="L6" s="307" t="s">
        <v>1307</v>
      </c>
      <c r="M6" s="308">
        <f ca="1">INDIRECT("'数据-取费表'!z"&amp;$G$1)</f>
        <v>0</v>
      </c>
    </row>
    <row r="7" spans="1:37" ht="18" customHeight="1">
      <c r="A7" s="1204"/>
      <c r="B7" s="3517"/>
      <c r="C7" s="1206"/>
      <c r="D7" s="312"/>
      <c r="E7" s="1207" t="s">
        <v>1308</v>
      </c>
      <c r="F7" s="308">
        <f ca="1">IF(INDIRECT("'数据-取费表'!ah"&amp;$G$1)="",INDIRECT("'数据-取费表'!k"&amp;$G$1),INDIRECT("'数据-取费表'!ah"&amp;$G$1))</f>
        <v>14586.08</v>
      </c>
      <c r="G7" s="1537"/>
      <c r="H7" s="309"/>
      <c r="I7" s="3517"/>
      <c r="J7" s="311"/>
      <c r="K7" s="312"/>
      <c r="L7" s="307" t="s">
        <v>1308</v>
      </c>
      <c r="M7" s="308">
        <f ca="1">F7</f>
        <v>14586.08</v>
      </c>
    </row>
    <row r="8" spans="1:37" ht="18" customHeight="1">
      <c r="A8" s="309"/>
      <c r="B8" s="3517"/>
      <c r="C8" s="311"/>
      <c r="D8" s="312"/>
      <c r="E8" s="307" t="s">
        <v>1309</v>
      </c>
      <c r="F8" s="308">
        <f ca="1">INDIRECT("'数据-取费表'!ai"&amp;$G$1)</f>
        <v>365</v>
      </c>
      <c r="G8" s="1537"/>
      <c r="H8" s="309"/>
      <c r="I8" s="3517"/>
      <c r="J8" s="311"/>
      <c r="K8" s="312"/>
      <c r="L8" s="307" t="s">
        <v>1309</v>
      </c>
      <c r="M8" s="308">
        <f ca="1">INDIRECT("'数据-取费表'!ai"&amp;$G$1)</f>
        <v>365</v>
      </c>
    </row>
    <row r="9" spans="1:37" ht="18" customHeight="1">
      <c r="A9" s="309"/>
      <c r="B9" s="3518"/>
      <c r="C9" s="311"/>
      <c r="D9" s="312"/>
      <c r="E9" s="307" t="s">
        <v>1310</v>
      </c>
      <c r="F9" s="317">
        <f ca="1">INDIRECT("'数据-取费表'!w"&amp;$G$1)</f>
        <v>0.1</v>
      </c>
      <c r="G9" s="1537"/>
      <c r="H9" s="309"/>
      <c r="I9" s="3518"/>
      <c r="J9" s="311"/>
      <c r="K9" s="312"/>
      <c r="L9" s="318" t="s">
        <v>1310</v>
      </c>
      <c r="M9" s="319">
        <f ca="1">INDIRECT("'数据-取费表'!ab"&amp;$G$1)</f>
        <v>0</v>
      </c>
    </row>
    <row r="10" spans="1:37" ht="18" customHeight="1">
      <c r="A10" s="1200" t="s">
        <v>1007</v>
      </c>
      <c r="B10" s="1518" t="s">
        <v>1311</v>
      </c>
      <c r="C10" s="321">
        <f ca="1">ROUND(IF(F10="押一",C6/12*F11,IF(F10="押二",C6/12*2*F11,IF(F10="押三",C6/12*3*F11,C11*F11))),0)</f>
        <v>3</v>
      </c>
      <c r="D10" s="1519" t="s">
        <v>2794</v>
      </c>
      <c r="E10" s="318" t="s">
        <v>1312</v>
      </c>
      <c r="F10" s="1247"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6550</v>
      </c>
      <c r="D13" s="1212" t="s">
        <v>1317</v>
      </c>
      <c r="E13" s="1212"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4376</v>
      </c>
      <c r="D14" s="1498" t="s">
        <v>1320</v>
      </c>
      <c r="E14" s="1495"/>
      <c r="F14" s="324"/>
      <c r="G14" s="1537"/>
      <c r="H14" s="1112" t="s">
        <v>1003</v>
      </c>
      <c r="I14" s="307" t="s">
        <v>1321</v>
      </c>
      <c r="J14" s="23">
        <f ca="1">C29</f>
        <v>6684</v>
      </c>
      <c r="K14" s="14"/>
      <c r="L14" s="915"/>
      <c r="M14" s="916"/>
    </row>
    <row r="15" spans="1:37" s="1550" customFormat="1" ht="18" customHeight="1" thickBot="1">
      <c r="A15" s="1112" t="s">
        <v>1004</v>
      </c>
      <c r="B15" s="307" t="s">
        <v>1322</v>
      </c>
      <c r="C15" s="23">
        <f ca="1">ROUND(C14*F15,0)</f>
        <v>131</v>
      </c>
      <c r="D15" s="325" t="s">
        <v>1323</v>
      </c>
      <c r="E15" s="325"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158</v>
      </c>
      <c r="K16" s="1218" t="s">
        <v>1327</v>
      </c>
      <c r="L16" s="1219"/>
      <c r="M16" s="1203"/>
    </row>
    <row r="17" spans="1:37" s="1550" customFormat="1" ht="18" customHeight="1">
      <c r="A17" s="1112" t="s">
        <v>1292</v>
      </c>
      <c r="B17" s="307" t="s">
        <v>1328</v>
      </c>
      <c r="C17" s="23">
        <f ca="1">ROUND(F17*(F43+INDIRECT("'数据-取费表'!S"&amp;$G$1))/10000,0)</f>
        <v>292</v>
      </c>
      <c r="D17" s="307" t="s">
        <v>1329</v>
      </c>
      <c r="E17" s="307" t="s">
        <v>1330</v>
      </c>
      <c r="F17" s="25">
        <f>'数据-取费表'!B35</f>
        <v>200</v>
      </c>
      <c r="G17" s="1549"/>
      <c r="H17" s="1112" t="s">
        <v>1003</v>
      </c>
      <c r="I17" s="307" t="s">
        <v>1331</v>
      </c>
      <c r="J17" s="2503">
        <f ca="1">ROUND(IF(AND(项目基本情况!B11="自然人",项目基本情况!B10="北京市"),J6*M17/(1+'数据-取费表'!C42),J18+J19+J20),0)</f>
        <v>58</v>
      </c>
      <c r="K17" s="1498" t="s">
        <v>1332</v>
      </c>
      <c r="L17" s="1497"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66</v>
      </c>
      <c r="D18" s="307" t="s">
        <v>1323</v>
      </c>
      <c r="E18" s="307" t="s">
        <v>1324</v>
      </c>
      <c r="F18" s="327">
        <f>'数据-取费表'!B36</f>
        <v>1.4999999999999999E-2</v>
      </c>
      <c r="G18" s="1549"/>
      <c r="H18" s="1112" t="s">
        <v>1002</v>
      </c>
      <c r="I18" s="307" t="s">
        <v>1335</v>
      </c>
      <c r="J18" s="23">
        <f ca="1">ROUND(J6*M18/(1+'数据-取费表'!C42),2)</f>
        <v>0</v>
      </c>
      <c r="K18" s="1497"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4865</v>
      </c>
      <c r="D19" s="135" t="s">
        <v>1338</v>
      </c>
      <c r="E19" s="1513"/>
      <c r="F19" s="25"/>
      <c r="G19" s="1537"/>
      <c r="H19" s="1112" t="s">
        <v>1004</v>
      </c>
      <c r="I19" s="307" t="s">
        <v>1339</v>
      </c>
      <c r="J19" s="23">
        <f ca="1">IF(K19="按租金收入计税",ROUND(J6*M19/(1+'数据-取费表'!C42),2),ROUND(C29*M19*0.7,2))</f>
        <v>56.15</v>
      </c>
      <c r="K19" s="1523" t="s">
        <v>1340</v>
      </c>
      <c r="L19" s="307" t="s">
        <v>1324</v>
      </c>
      <c r="M19" s="327">
        <f>IF(K19="按租金收入计税",'数据-取费表'!B51,'数据-取费表'!B50)</f>
        <v>1.2E-2</v>
      </c>
    </row>
    <row r="20" spans="1:37" s="1550" customFormat="1" ht="18" customHeight="1">
      <c r="A20" s="1112" t="s">
        <v>1007</v>
      </c>
      <c r="B20" s="307" t="s">
        <v>1341</v>
      </c>
      <c r="C20" s="23">
        <f ca="1">ROUND(C19*F20,0)</f>
        <v>97</v>
      </c>
      <c r="D20" s="328" t="s">
        <v>1342</v>
      </c>
      <c r="E20" s="307" t="s">
        <v>1324</v>
      </c>
      <c r="F20" s="327">
        <f>'数据-取费表'!B37</f>
        <v>0.02</v>
      </c>
      <c r="G20" s="1549"/>
      <c r="H20" s="1112" t="s">
        <v>1291</v>
      </c>
      <c r="I20" s="159" t="s">
        <v>1343</v>
      </c>
      <c r="J20" s="24">
        <f ca="1">ROUND(M20*M21/10000,2)</f>
        <v>1.56</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5209.32</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1513"/>
      <c r="F22" s="25"/>
      <c r="G22" s="1537"/>
      <c r="H22" s="1112" t="s">
        <v>1007</v>
      </c>
      <c r="I22" s="307" t="s">
        <v>1351</v>
      </c>
      <c r="J22" s="23">
        <f ca="1">ROUND(J14*M22,1)</f>
        <v>100.3</v>
      </c>
      <c r="K22" s="1497"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208</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1497" t="s">
        <v>1356</v>
      </c>
      <c r="L23" s="307" t="s">
        <v>1357</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1295</v>
      </c>
      <c r="I24" s="1221" t="s">
        <v>1341</v>
      </c>
      <c r="J24" s="1222">
        <f ca="1">ROUND(J5*M24,1)</f>
        <v>0</v>
      </c>
      <c r="K24" s="1223" t="s">
        <v>1361</v>
      </c>
      <c r="L24" s="1221" t="s">
        <v>1357</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1513"/>
      <c r="F25" s="25"/>
      <c r="G25" s="1537"/>
      <c r="H25" s="1210" t="s">
        <v>999</v>
      </c>
      <c r="I25" s="1225" t="s">
        <v>1365</v>
      </c>
      <c r="J25" s="315">
        <f ca="1">J5-J16</f>
        <v>-158</v>
      </c>
      <c r="K25" s="1226" t="s">
        <v>1366</v>
      </c>
      <c r="L25" s="1227"/>
      <c r="M25" s="1228"/>
    </row>
    <row r="26" spans="1:37">
      <c r="A26" s="1112" t="s">
        <v>1002</v>
      </c>
      <c r="B26" s="307" t="s">
        <v>1367</v>
      </c>
      <c r="C26" s="23">
        <f ca="1">ROUND((C19+C20)*F26,0)</f>
        <v>992</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5"/>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6684</v>
      </c>
      <c r="D29" s="1223"/>
      <c r="E29" s="1221"/>
      <c r="F29" s="1224"/>
      <c r="G29" s="1549"/>
      <c r="H29" s="339" t="s">
        <v>1001</v>
      </c>
      <c r="I29" s="340" t="s">
        <v>1381</v>
      </c>
      <c r="J29" s="341">
        <f ca="1">ROUND(J26/(1+F40)^F41,0)</f>
        <v>0</v>
      </c>
      <c r="K29" s="342" t="s">
        <v>1382</v>
      </c>
      <c r="L29" s="343"/>
      <c r="M29" s="344">
        <f ca="1">INDIRECT("'数据-取费表'!k"&amp;$G$1)</f>
        <v>14586.08</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357</v>
      </c>
      <c r="D30" s="1218" t="s">
        <v>1327</v>
      </c>
      <c r="E30" s="1219"/>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230</v>
      </c>
      <c r="D31" s="1498" t="s">
        <v>1332</v>
      </c>
      <c r="E31" s="1497"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72.59</v>
      </c>
      <c r="D32" s="1497"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155.54</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1.56</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5209.32</v>
      </c>
      <c r="G35" s="1537"/>
      <c r="H35" s="2893"/>
      <c r="I35" s="1551"/>
      <c r="J35" s="1552"/>
      <c r="K35" s="2897"/>
      <c r="L35" s="2896"/>
      <c r="M35" s="2896"/>
    </row>
    <row r="36" spans="1:18" ht="18" customHeight="1">
      <c r="A36" s="1233" t="s">
        <v>1007</v>
      </c>
      <c r="B36" s="307" t="s">
        <v>1351</v>
      </c>
      <c r="C36" s="23">
        <f ca="1">ROUND(C29*F36,1)</f>
        <v>100.3</v>
      </c>
      <c r="D36" s="1497"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6.6</v>
      </c>
      <c r="D37" s="1497" t="s">
        <v>1356</v>
      </c>
      <c r="E37" s="307" t="s">
        <v>1357</v>
      </c>
      <c r="F37" s="335">
        <f ca="1">INDIRECT("'数据-取费表'!Al"&amp;$G$1)</f>
        <v>1E-3</v>
      </c>
      <c r="G37" s="1537"/>
      <c r="H37" s="2896"/>
      <c r="I37" s="1551"/>
      <c r="J37" s="1552"/>
      <c r="K37" s="2737"/>
      <c r="L37" s="2896"/>
      <c r="M37" s="2896"/>
    </row>
    <row r="38" spans="1:18" ht="18" customHeight="1" thickBot="1">
      <c r="A38" s="1220" t="s">
        <v>1295</v>
      </c>
      <c r="B38" s="1221" t="s">
        <v>1341</v>
      </c>
      <c r="C38" s="1222">
        <f ca="1">ROUND(C5*F38,1)</f>
        <v>20.5</v>
      </c>
      <c r="D38" s="1223" t="s">
        <v>1361</v>
      </c>
      <c r="E38" s="1221" t="s">
        <v>1357</v>
      </c>
      <c r="F38" s="1217">
        <f ca="1">INDIRECT("'数据-取费表'!Am"&amp;$G$1)</f>
        <v>1.4999999999999999E-2</v>
      </c>
      <c r="G38" s="1537"/>
      <c r="H38" s="2896"/>
      <c r="I38" s="1551"/>
      <c r="J38" s="1552"/>
      <c r="K38" s="2900"/>
      <c r="L38" s="2896"/>
      <c r="M38" s="2896"/>
    </row>
    <row r="39" spans="1:18" ht="24.6" customHeight="1" thickTop="1">
      <c r="A39" s="1210" t="s">
        <v>999</v>
      </c>
      <c r="B39" s="1225" t="s">
        <v>1385</v>
      </c>
      <c r="C39" s="315">
        <f ca="1">C5-C30</f>
        <v>1007</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22389</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15350</v>
      </c>
      <c r="D43" s="342" t="s">
        <v>1390</v>
      </c>
      <c r="E43" s="343" t="s">
        <v>1391</v>
      </c>
      <c r="F43" s="344">
        <f ca="1">INDIRECT("'数据-取费表'!k"&amp;$G$1)</f>
        <v>14586.08</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8" thickBot="1">
      <c r="A46" s="1557" t="s">
        <v>1422</v>
      </c>
      <c r="C46" s="1558">
        <f ca="1">C68-C40</f>
        <v>-32581</v>
      </c>
      <c r="D46" s="1559" t="str">
        <f>C2</f>
        <v>万元</v>
      </c>
      <c r="E46" s="1553"/>
      <c r="F46" s="1553"/>
      <c r="I46" s="1560" t="s">
        <v>1423</v>
      </c>
      <c r="J46" s="1561"/>
      <c r="K46" s="1562"/>
      <c r="L46" s="1563">
        <f ca="1">IF(M47="住宅",0,IF(L48&gt;J51,L60,J60))</f>
        <v>242</v>
      </c>
      <c r="O46" s="1564" t="s">
        <v>1424</v>
      </c>
      <c r="P46" s="1565" t="s">
        <v>1425</v>
      </c>
      <c r="Q46" s="1566" t="s">
        <v>1426</v>
      </c>
      <c r="R46" s="1566" t="s">
        <v>1427</v>
      </c>
    </row>
    <row r="47" spans="1:18" s="1537" customFormat="1" ht="13.8"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22389</v>
      </c>
      <c r="R47" s="1573" t="s">
        <v>1431</v>
      </c>
    </row>
    <row r="48" spans="1:18" s="1537" customFormat="1" ht="40.200000000000003" thickBot="1">
      <c r="A48" s="1241" t="s">
        <v>1044</v>
      </c>
      <c r="B48" s="305" t="s">
        <v>1303</v>
      </c>
      <c r="C48" s="1512">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242</v>
      </c>
      <c r="R48" s="1573" t="s">
        <v>1435</v>
      </c>
    </row>
    <row r="49" spans="1:18" s="1537" customFormat="1" ht="13.8"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6684</v>
      </c>
      <c r="R49" s="1573" t="s">
        <v>1431</v>
      </c>
    </row>
    <row r="50" spans="1:18" s="1537" customFormat="1" ht="13.8" thickBot="1">
      <c r="A50" s="1106"/>
      <c r="B50" s="1109"/>
      <c r="C50" s="1249"/>
      <c r="D50" s="1083"/>
      <c r="E50" s="1186" t="s">
        <v>1308</v>
      </c>
      <c r="F50" s="1187">
        <f ca="1">F7</f>
        <v>14586.08</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8"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10353</v>
      </c>
      <c r="M51" s="1589"/>
      <c r="O51" s="1581" t="s">
        <v>1012</v>
      </c>
      <c r="P51" s="1572" t="s">
        <v>1444</v>
      </c>
      <c r="Q51" s="1584">
        <f>J52</f>
        <v>7.4999999999999997E-2</v>
      </c>
      <c r="R51" s="1573"/>
    </row>
    <row r="52" spans="1:18" s="1537" customFormat="1" ht="13.8" thickBot="1">
      <c r="A52" s="1107"/>
      <c r="B52" s="1109"/>
      <c r="C52" s="1110"/>
      <c r="D52" s="1083"/>
      <c r="E52" s="1111" t="s">
        <v>1310</v>
      </c>
      <c r="F52" s="1184"/>
      <c r="I52" s="1590" t="s">
        <v>1445</v>
      </c>
      <c r="J52" s="3253">
        <f>'数据-取费表'!I6+2%</f>
        <v>7.4999999999999997E-2</v>
      </c>
      <c r="K52" s="1590" t="s">
        <v>1446</v>
      </c>
      <c r="L52" s="1591"/>
      <c r="O52" s="1581" t="s">
        <v>1013</v>
      </c>
      <c r="P52" s="1572" t="s">
        <v>1447</v>
      </c>
      <c r="Q52" s="1573">
        <f ca="1">J53</f>
        <v>33.840000000000003</v>
      </c>
      <c r="R52" s="1573" t="s">
        <v>1448</v>
      </c>
    </row>
    <row r="53" spans="1:18" s="1537" customFormat="1" ht="36.6"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14" t="s">
        <v>1450</v>
      </c>
      <c r="L53" s="3515"/>
      <c r="O53" s="1571" t="s">
        <v>1014</v>
      </c>
      <c r="P53" s="1572" t="s">
        <v>1451</v>
      </c>
      <c r="Q53" s="1573">
        <f ca="1">Q47+Q48</f>
        <v>22631</v>
      </c>
      <c r="R53" s="1573" t="s">
        <v>1015</v>
      </c>
    </row>
    <row r="54" spans="1:18" s="1537" customFormat="1" ht="24.6" thickBot="1">
      <c r="A54" s="1286"/>
      <c r="B54" s="1520" t="s">
        <v>1290</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8" thickBot="1">
      <c r="A55" s="1214" t="s">
        <v>1043</v>
      </c>
      <c r="B55" s="1522" t="s">
        <v>1315</v>
      </c>
      <c r="C55" s="1215"/>
      <c r="D55" s="1519"/>
      <c r="E55" s="1527"/>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37.200000000000003" thickTop="1" thickBot="1">
      <c r="A56" s="1087">
        <v>2</v>
      </c>
      <c r="B56" s="1088" t="s">
        <v>1316</v>
      </c>
      <c r="C56" s="237">
        <f ca="1">C13</f>
        <v>6550</v>
      </c>
      <c r="D56" s="1600"/>
      <c r="E56" s="1601"/>
      <c r="F56" s="1593"/>
      <c r="I56" s="1602" t="s">
        <v>1456</v>
      </c>
      <c r="J56" s="1603" t="s">
        <v>3125</v>
      </c>
      <c r="K56" s="1574" t="s">
        <v>1457</v>
      </c>
      <c r="L56" s="1577" t="str">
        <f ca="1">IF(L48&lt;J51,"——",L48-J53)</f>
        <v>——</v>
      </c>
      <c r="O56" s="1571" t="s">
        <v>1008</v>
      </c>
      <c r="P56" s="1572" t="s">
        <v>1430</v>
      </c>
      <c r="Q56" s="1573">
        <f ca="1">C40+J29</f>
        <v>22389</v>
      </c>
      <c r="R56" s="1573" t="s">
        <v>1431</v>
      </c>
    </row>
    <row r="57" spans="1:18" s="1537" customFormat="1" ht="24.6" thickBot="1">
      <c r="A57" s="1604"/>
      <c r="B57" s="1080" t="s">
        <v>1380</v>
      </c>
      <c r="C57" s="243">
        <f ca="1">C29</f>
        <v>6684</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6" thickBot="1">
      <c r="A58" s="320" t="s">
        <v>998</v>
      </c>
      <c r="B58" s="1088" t="s">
        <v>1326</v>
      </c>
      <c r="C58" s="321">
        <f ca="1">ROUND(C59+C64+C65+C66,0)</f>
        <v>670</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6" thickBot="1">
      <c r="A59" s="1112" t="s">
        <v>1003</v>
      </c>
      <c r="B59" s="1080" t="s">
        <v>1331</v>
      </c>
      <c r="C59" s="2503">
        <f ca="1">ROUND(IF(AND(项目基本情况!B11="自然人",项目基本情况!B10="北京市"),C49*F59/(1+'数据-取费表'!C42),C60+C61+C62),0)</f>
        <v>563</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2801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2"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242</v>
      </c>
      <c r="K60" s="1613" t="s">
        <v>1468</v>
      </c>
      <c r="L60" s="1612">
        <f ca="1">IF(OR(M47="住宅",L48&lt;J51),0,ROUND(L57*(L58/L59-1),0))</f>
        <v>0</v>
      </c>
      <c r="O60" s="1581" t="s">
        <v>1012</v>
      </c>
      <c r="P60" s="1572" t="s">
        <v>1469</v>
      </c>
      <c r="Q60" s="1573" t="e">
        <f ca="1">L58</f>
        <v>#DIV/0!</v>
      </c>
      <c r="R60" s="1573" t="s">
        <v>1470</v>
      </c>
    </row>
    <row r="61" spans="1:18" s="1537" customFormat="1" ht="13.8" thickBot="1">
      <c r="A61" s="1112" t="s">
        <v>1394</v>
      </c>
      <c r="B61" s="1080" t="s">
        <v>1395</v>
      </c>
      <c r="C61" s="23">
        <f ca="1">IF(项目基本情况!B11="自然人","——",IF(D61="按租金收入计税",ROUND(C49*F61/(1+'数据-取费表'!C42),2),IF(D61="按房产原值计税",ROUND(C57*F61*0.7,2),INDIRECT("'数据-取费表'!Aj"&amp;$G$1))))</f>
        <v>561.46</v>
      </c>
      <c r="D61" s="1523" t="s">
        <v>1340</v>
      </c>
      <c r="E61" s="1080" t="s">
        <v>1396</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8" thickBot="1">
      <c r="A62" s="1112" t="s">
        <v>1397</v>
      </c>
      <c r="B62" s="1079" t="s">
        <v>1398</v>
      </c>
      <c r="C62" s="24">
        <f ca="1">IF(项目基本情况!B11="自然人","——",ROUND(F62*F63/10000,2))</f>
        <v>1.56</v>
      </c>
      <c r="D62" s="1095" t="s">
        <v>1399</v>
      </c>
      <c r="E62" s="1080" t="s">
        <v>1400</v>
      </c>
      <c r="F62" s="330">
        <f t="shared" si="0"/>
        <v>3</v>
      </c>
      <c r="I62" s="1615" t="s">
        <v>1472</v>
      </c>
      <c r="J62" s="1616" t="s">
        <v>1473</v>
      </c>
      <c r="K62" s="1616" t="s">
        <v>1474</v>
      </c>
      <c r="L62" s="1616" t="s">
        <v>1475</v>
      </c>
      <c r="M62" s="1617" t="s">
        <v>1476</v>
      </c>
      <c r="O62" s="1571" t="s">
        <v>1014</v>
      </c>
      <c r="P62" s="1572" t="s">
        <v>1477</v>
      </c>
      <c r="Q62" s="1573">
        <f ca="1">Q56+Q57</f>
        <v>22389</v>
      </c>
      <c r="R62" s="1573" t="s">
        <v>1015</v>
      </c>
    </row>
    <row r="63" spans="1:18" s="1537" customFormat="1" ht="13.8" thickBot="1">
      <c r="A63" s="331"/>
      <c r="B63" s="1086"/>
      <c r="C63" s="28"/>
      <c r="D63" s="1096"/>
      <c r="E63" s="1080" t="s">
        <v>1401</v>
      </c>
      <c r="F63" s="308">
        <f t="shared" ca="1" si="0"/>
        <v>5209.32</v>
      </c>
      <c r="I63" s="1615" t="s">
        <v>1478</v>
      </c>
      <c r="J63" s="1616">
        <v>70</v>
      </c>
      <c r="K63" s="1616">
        <v>50</v>
      </c>
      <c r="L63" s="1616">
        <v>80</v>
      </c>
      <c r="M63" s="1618">
        <v>0.02</v>
      </c>
      <c r="O63" s="1556" t="s">
        <v>1479</v>
      </c>
      <c r="P63" s="1534"/>
      <c r="Q63" s="1534"/>
      <c r="R63" s="1534"/>
    </row>
    <row r="64" spans="1:18" s="1537" customFormat="1" ht="13.8" thickBot="1">
      <c r="A64" s="1112" t="s">
        <v>1402</v>
      </c>
      <c r="B64" s="1080" t="s">
        <v>1403</v>
      </c>
      <c r="C64" s="23">
        <f ca="1">ROUND(C57*F64,1)</f>
        <v>100.3</v>
      </c>
      <c r="D64" s="1094" t="s">
        <v>1404</v>
      </c>
      <c r="E64" s="1080" t="s">
        <v>1396</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8" thickBot="1">
      <c r="A65" s="1112" t="s">
        <v>1405</v>
      </c>
      <c r="B65" s="1080" t="s">
        <v>1355</v>
      </c>
      <c r="C65" s="23">
        <f ca="1">ROUND(C56*F65,1)</f>
        <v>6.6</v>
      </c>
      <c r="D65" s="1094" t="s">
        <v>1356</v>
      </c>
      <c r="E65" s="1080" t="s">
        <v>1357</v>
      </c>
      <c r="F65" s="335">
        <f t="shared" ca="1" si="0"/>
        <v>1E-3</v>
      </c>
      <c r="I65" s="1615" t="s">
        <v>1481</v>
      </c>
      <c r="J65" s="1616">
        <v>40</v>
      </c>
      <c r="K65" s="1616">
        <v>30</v>
      </c>
      <c r="L65" s="1616">
        <v>50</v>
      </c>
      <c r="M65" s="1618">
        <v>0.02</v>
      </c>
      <c r="O65" s="1571" t="s">
        <v>1008</v>
      </c>
      <c r="P65" s="1572" t="s">
        <v>1482</v>
      </c>
      <c r="Q65" s="1573">
        <f ca="1">C40+J29</f>
        <v>22389</v>
      </c>
      <c r="R65" s="1573" t="s">
        <v>1431</v>
      </c>
    </row>
    <row r="66" spans="1:18" s="1537" customFormat="1" ht="16.2" thickBot="1">
      <c r="A66" s="1112" t="s">
        <v>1406</v>
      </c>
      <c r="B66" s="1080" t="s">
        <v>1341</v>
      </c>
      <c r="C66" s="23">
        <f ca="1">ROUND(C48*F66,1)</f>
        <v>0</v>
      </c>
      <c r="D66" s="1094" t="s">
        <v>1407</v>
      </c>
      <c r="E66" s="1080" t="s">
        <v>1324</v>
      </c>
      <c r="F66" s="317">
        <f t="shared" ca="1" si="0"/>
        <v>1.4999999999999999E-2</v>
      </c>
      <c r="O66" s="1571" t="s">
        <v>1009</v>
      </c>
      <c r="P66" s="1572" t="s">
        <v>1460</v>
      </c>
      <c r="Q66" s="1573">
        <f ca="1">L60</f>
        <v>0</v>
      </c>
      <c r="R66" s="1573" t="s">
        <v>1483</v>
      </c>
    </row>
    <row r="67" spans="1:18" s="1537" customFormat="1" ht="24.6" thickBot="1">
      <c r="A67" s="1087" t="s">
        <v>999</v>
      </c>
      <c r="B67" s="1097" t="s">
        <v>1365</v>
      </c>
      <c r="C67" s="321">
        <f ca="1">C48-C58</f>
        <v>-670</v>
      </c>
      <c r="D67" s="1093" t="s">
        <v>1366</v>
      </c>
      <c r="E67" s="1098"/>
      <c r="F67" s="1099"/>
      <c r="O67" s="1581" t="s">
        <v>1010</v>
      </c>
      <c r="P67" s="1572" t="s">
        <v>1464</v>
      </c>
      <c r="Q67" s="1619">
        <f ca="1">L51</f>
        <v>10353</v>
      </c>
      <c r="R67" s="1573" t="s">
        <v>1484</v>
      </c>
    </row>
    <row r="68" spans="1:18" s="1537" customFormat="1" ht="16.2" thickBot="1">
      <c r="A68" s="1077" t="s">
        <v>1000</v>
      </c>
      <c r="B68" s="1078" t="s">
        <v>1387</v>
      </c>
      <c r="C68" s="306">
        <f ca="1">ROUND(C67*(1-((1+F70)/(1+F68))^F69)/(F68-F70),0)</f>
        <v>-10192</v>
      </c>
      <c r="D68" s="1095" t="s">
        <v>1371</v>
      </c>
      <c r="E68" s="1080" t="s">
        <v>1372</v>
      </c>
      <c r="F68" s="317">
        <f ca="1">F40</f>
        <v>5.5E-2</v>
      </c>
      <c r="O68" s="1581" t="s">
        <v>1011</v>
      </c>
      <c r="P68" s="1620" t="s">
        <v>1485</v>
      </c>
      <c r="Q68" s="1573">
        <f ca="1">ROUND(Q69-Q70*Q71,0)</f>
        <v>549</v>
      </c>
      <c r="R68" s="1573" t="s">
        <v>1019</v>
      </c>
    </row>
    <row r="69" spans="1:18" s="1537" customFormat="1" ht="13.8" thickBot="1">
      <c r="A69" s="1081"/>
      <c r="B69" s="1082"/>
      <c r="C69" s="311"/>
      <c r="D69" s="1100" t="s">
        <v>1375</v>
      </c>
      <c r="E69" s="1080" t="s">
        <v>1376</v>
      </c>
      <c r="F69" s="338">
        <f ca="1">F41</f>
        <v>33.840000000000003</v>
      </c>
      <c r="O69" s="1581" t="s">
        <v>1016</v>
      </c>
      <c r="P69" s="1620" t="s">
        <v>1486</v>
      </c>
      <c r="Q69" s="1573">
        <f ca="1">C39</f>
        <v>1007</v>
      </c>
      <c r="R69" s="1573" t="s">
        <v>1431</v>
      </c>
    </row>
    <row r="70" spans="1:18" s="1537" customFormat="1" ht="13.8" thickBot="1">
      <c r="A70" s="1084"/>
      <c r="B70" s="1085"/>
      <c r="C70" s="315"/>
      <c r="D70" s="1096"/>
      <c r="E70" s="1080" t="s">
        <v>1379</v>
      </c>
      <c r="F70" s="1184"/>
      <c r="O70" s="1581" t="s">
        <v>1017</v>
      </c>
      <c r="P70" s="1620" t="s">
        <v>1487</v>
      </c>
      <c r="Q70" s="1573">
        <f ca="1">C13</f>
        <v>6550</v>
      </c>
      <c r="R70" s="1573" t="s">
        <v>1431</v>
      </c>
    </row>
    <row r="71" spans="1:18" s="1537" customFormat="1" ht="13.8" thickBot="1">
      <c r="A71" s="1101" t="s">
        <v>1001</v>
      </c>
      <c r="B71" s="1102" t="s">
        <v>1389</v>
      </c>
      <c r="C71" s="341">
        <f ca="1">ROUND(C68*10000/F71,0)</f>
        <v>-6987</v>
      </c>
      <c r="D71" s="1103" t="s">
        <v>1390</v>
      </c>
      <c r="E71" s="1104" t="s">
        <v>1391</v>
      </c>
      <c r="F71" s="344">
        <f ca="1">F43</f>
        <v>14586.08</v>
      </c>
      <c r="O71" s="1581" t="s">
        <v>1018</v>
      </c>
      <c r="P71" s="1620" t="s">
        <v>1488</v>
      </c>
      <c r="Q71" s="1584">
        <f ca="1">C76</f>
        <v>7.0000000000000007E-2</v>
      </c>
      <c r="R71" s="1573"/>
    </row>
    <row r="72" spans="1:18" s="1537" customFormat="1" ht="13.8" thickBot="1">
      <c r="B72" s="734"/>
      <c r="C72" s="734"/>
      <c r="O72" s="1581" t="s">
        <v>1012</v>
      </c>
      <c r="P72" s="1572" t="s">
        <v>1466</v>
      </c>
      <c r="Q72" s="1584">
        <f>L52</f>
        <v>0</v>
      </c>
      <c r="R72" s="1573"/>
    </row>
    <row r="73" spans="1:18" ht="16.2" thickBot="1">
      <c r="A73" s="1537"/>
      <c r="B73" s="734"/>
      <c r="C73" s="734"/>
      <c r="D73" s="1537"/>
      <c r="E73" s="1537"/>
      <c r="F73" s="1537"/>
      <c r="O73" s="1581" t="s">
        <v>1013</v>
      </c>
      <c r="P73" s="1572" t="s">
        <v>1469</v>
      </c>
      <c r="Q73" s="1573" t="e">
        <f ca="1">L58</f>
        <v>#DIV/0!</v>
      </c>
      <c r="R73" s="1573" t="s">
        <v>1470</v>
      </c>
    </row>
    <row r="74" spans="1:18" ht="13.8"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8" thickBot="1">
      <c r="A75" s="1537"/>
      <c r="B75" s="345" t="s">
        <v>1408</v>
      </c>
      <c r="C75" s="346">
        <f ca="1">ROUND(C13*C76,0)</f>
        <v>459</v>
      </c>
      <c r="D75" s="1537"/>
      <c r="E75" s="1537"/>
      <c r="F75" s="1537"/>
      <c r="K75" s="1555"/>
      <c r="L75" s="1537"/>
      <c r="O75" s="1571" t="s">
        <v>1014</v>
      </c>
      <c r="P75" s="1572" t="s">
        <v>1451</v>
      </c>
      <c r="Q75" s="1573">
        <f ca="1">Q65+Q66</f>
        <v>22389</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0.54400000000000004</v>
      </c>
    </row>
    <row r="80" spans="1:18">
      <c r="B80" s="345" t="s">
        <v>1413</v>
      </c>
      <c r="C80" s="279">
        <f ca="1">ROUND(C75/C39,3)</f>
        <v>0.45600000000000002</v>
      </c>
    </row>
    <row r="81" spans="2:3">
      <c r="B81" s="275" t="s">
        <v>1414</v>
      </c>
      <c r="C81" s="243"/>
    </row>
    <row r="82" spans="2:3">
      <c r="B82" s="278" t="s">
        <v>1415</v>
      </c>
      <c r="C82" s="280">
        <f ca="1">1-C83</f>
        <v>0.70700000000000007</v>
      </c>
    </row>
    <row r="83" spans="2:3">
      <c r="B83" s="278" t="s">
        <v>1416</v>
      </c>
      <c r="C83" s="279">
        <f ca="1">ROUND(C13/C40,3)</f>
        <v>0.29299999999999998</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90" zoomScaleNormal="100" zoomScaleSheetLayoutView="90" zoomScalePageLayoutView="80" workbookViewId="0">
      <selection activeCell="C33" sqref="C33"/>
    </sheetView>
  </sheetViews>
  <sheetFormatPr defaultColWidth="12.6640625" defaultRowHeight="21.75" customHeight="1"/>
  <cols>
    <col min="1" max="2" width="12.6640625" style="1908"/>
    <col min="3" max="4" width="12.6640625" style="1908" customWidth="1"/>
    <col min="5" max="9" width="12.6640625" style="1908"/>
    <col min="10" max="11" width="12.6640625" style="733" customWidth="1"/>
    <col min="12" max="12" width="12.6640625" style="733"/>
    <col min="13" max="13" width="14.109375" style="733" bestFit="1" customWidth="1"/>
    <col min="14" max="26" width="12.6640625" style="733"/>
    <col min="27" max="35" width="12.6640625" style="1907"/>
    <col min="36" max="16384" width="12.6640625" style="1908"/>
  </cols>
  <sheetData>
    <row r="1" spans="1:12" ht="21.75" customHeight="1" thickBot="1">
      <c r="A1" s="1791" t="s">
        <v>1885</v>
      </c>
      <c r="B1" s="1902"/>
      <c r="C1" s="1903" t="s">
        <v>3236</v>
      </c>
      <c r="D1" s="1902"/>
      <c r="E1" s="1902"/>
      <c r="F1" s="1904" t="s">
        <v>1886</v>
      </c>
      <c r="G1" s="1715" t="s">
        <v>3127</v>
      </c>
      <c r="H1" s="1905" t="str">
        <f>IF(G1="现房","——","估价对象范围")</f>
        <v>——</v>
      </c>
      <c r="I1" s="1906"/>
    </row>
    <row r="2" spans="1:12" ht="21.75" customHeight="1" thickBot="1">
      <c r="A2" s="3484" t="str">
        <f>项目基本情况!S2</f>
        <v>北京市房地产</v>
      </c>
      <c r="B2" s="3485"/>
      <c r="C2" s="3485"/>
      <c r="D2" s="3485"/>
      <c r="E2" s="3485"/>
      <c r="F2" s="3485"/>
      <c r="G2" s="3485"/>
      <c r="H2" s="3485"/>
      <c r="I2" s="3486"/>
    </row>
    <row r="3" spans="1:12" ht="13.2">
      <c r="A3" s="3488" t="s">
        <v>1887</v>
      </c>
      <c r="B3" s="3489"/>
      <c r="C3" s="3489"/>
      <c r="D3" s="3489"/>
      <c r="E3" s="3489"/>
      <c r="F3" s="3489"/>
      <c r="G3" s="3489"/>
      <c r="H3" s="3489"/>
      <c r="I3" s="3489"/>
    </row>
    <row r="4" spans="1:12" ht="14.4">
      <c r="A4" s="1909" t="s">
        <v>1888</v>
      </c>
      <c r="B4" s="1910" t="s">
        <v>1889</v>
      </c>
      <c r="C4" s="1911" t="s">
        <v>3218</v>
      </c>
      <c r="D4" s="1911" t="s">
        <v>3217</v>
      </c>
      <c r="E4" s="3493" t="s">
        <v>1890</v>
      </c>
      <c r="F4" s="3494"/>
      <c r="G4" s="3494"/>
      <c r="H4" s="3494"/>
      <c r="I4" s="3495"/>
      <c r="K4" s="150" t="str">
        <f>IF(ISNUMBER(FIND("比较法",'结果表 (2)'!C4)),"比较法",IF(ISNUMBER(FIND("成本法",'结果表 (2)'!C4)),"成本法",IF(ISNUMBER(FIND("假设开发法",'结果表 (2)'!C4)),"假设开发法",IF(ISNUMBER(FIND("收益法",'结果表 (2)'!C4)),"收益法","基准地价系数修正法"))))</f>
        <v>成本法</v>
      </c>
      <c r="L4" s="150" t="str">
        <f>IF(ISNUMBER(FIND("比较法",'结果表 (2)'!D4)),"比较法",IF(ISNUMBER(FIND("成本法",'结果表 (2)'!D4)),"成本法",IF(ISNUMBER(FIND("假设开发法",'结果表 (2)'!D4)),"假设开发法",IF(ISNUMBER(FIND("收益法",'结果表 (2)'!D4)),"收益法","基准地价系数修正法"))))</f>
        <v>收益法</v>
      </c>
    </row>
    <row r="5" spans="1:12" ht="13.2">
      <c r="A5" s="3429" t="s">
        <v>1891</v>
      </c>
      <c r="B5" s="3487">
        <v>25</v>
      </c>
      <c r="C5" s="3490"/>
      <c r="D5" s="3478"/>
      <c r="E5" s="135" t="s">
        <v>1892</v>
      </c>
      <c r="F5" s="1912"/>
      <c r="G5" s="1912"/>
      <c r="H5" s="1912"/>
      <c r="I5" s="1526"/>
    </row>
    <row r="6" spans="1:12" ht="13.2">
      <c r="A6" s="3429"/>
      <c r="B6" s="3487"/>
      <c r="C6" s="3492"/>
      <c r="D6" s="3478"/>
      <c r="E6" s="135" t="s">
        <v>1893</v>
      </c>
      <c r="F6" s="1912"/>
      <c r="G6" s="1912"/>
      <c r="H6" s="1912"/>
      <c r="I6" s="1526"/>
    </row>
    <row r="7" spans="1:12" ht="13.2">
      <c r="A7" s="3429"/>
      <c r="B7" s="3487"/>
      <c r="C7" s="3491"/>
      <c r="D7" s="3478"/>
      <c r="E7" s="135" t="s">
        <v>1894</v>
      </c>
      <c r="F7" s="1912"/>
      <c r="G7" s="1912"/>
      <c r="H7" s="1912"/>
      <c r="I7" s="1526"/>
    </row>
    <row r="8" spans="1:12" ht="13.2">
      <c r="A8" s="3429" t="s">
        <v>1895</v>
      </c>
      <c r="B8" s="3487">
        <v>15</v>
      </c>
      <c r="C8" s="3490"/>
      <c r="D8" s="3478"/>
      <c r="E8" s="135" t="s">
        <v>1896</v>
      </c>
      <c r="F8" s="1912"/>
      <c r="G8" s="1912"/>
      <c r="H8" s="1912"/>
      <c r="I8" s="1526"/>
    </row>
    <row r="9" spans="1:12" ht="13.2">
      <c r="A9" s="3429"/>
      <c r="B9" s="3487"/>
      <c r="C9" s="3491"/>
      <c r="D9" s="3478"/>
      <c r="E9" s="135" t="s">
        <v>1897</v>
      </c>
      <c r="F9" s="1912"/>
      <c r="G9" s="1912"/>
      <c r="H9" s="1912"/>
      <c r="I9" s="1526"/>
    </row>
    <row r="10" spans="1:12" ht="13.2">
      <c r="A10" s="3429" t="s">
        <v>1898</v>
      </c>
      <c r="B10" s="3487">
        <v>15</v>
      </c>
      <c r="C10" s="3490"/>
      <c r="D10" s="3478"/>
      <c r="E10" s="135" t="s">
        <v>1899</v>
      </c>
      <c r="F10" s="1912"/>
      <c r="G10" s="1912"/>
      <c r="H10" s="1912"/>
      <c r="I10" s="1526"/>
    </row>
    <row r="11" spans="1:12" ht="13.2">
      <c r="A11" s="3429"/>
      <c r="B11" s="3487"/>
      <c r="C11" s="3491"/>
      <c r="D11" s="3478"/>
      <c r="E11" s="135" t="s">
        <v>1900</v>
      </c>
      <c r="F11" s="1912"/>
      <c r="G11" s="1912"/>
      <c r="H11" s="1912"/>
      <c r="I11" s="1526"/>
    </row>
    <row r="12" spans="1:12" ht="13.2">
      <c r="A12" s="3429" t="s">
        <v>1901</v>
      </c>
      <c r="B12" s="3487">
        <v>15</v>
      </c>
      <c r="C12" s="3490"/>
      <c r="D12" s="3478"/>
      <c r="E12" s="135" t="s">
        <v>1902</v>
      </c>
      <c r="F12" s="1912"/>
      <c r="G12" s="1912"/>
      <c r="H12" s="1912"/>
      <c r="I12" s="1526"/>
    </row>
    <row r="13" spans="1:12" ht="13.2">
      <c r="A13" s="3429"/>
      <c r="B13" s="3487"/>
      <c r="C13" s="3491"/>
      <c r="D13" s="3478"/>
      <c r="E13" s="135" t="s">
        <v>1903</v>
      </c>
      <c r="F13" s="1912"/>
      <c r="G13" s="1912"/>
      <c r="H13" s="1912"/>
      <c r="I13" s="1526"/>
    </row>
    <row r="14" spans="1:12" ht="13.2">
      <c r="A14" s="3429" t="s">
        <v>1904</v>
      </c>
      <c r="B14" s="3487">
        <v>30</v>
      </c>
      <c r="C14" s="3490">
        <v>5</v>
      </c>
      <c r="D14" s="3478">
        <v>5</v>
      </c>
      <c r="E14" s="135" t="s">
        <v>1905</v>
      </c>
      <c r="F14" s="1912"/>
      <c r="G14" s="1912"/>
      <c r="H14" s="1912"/>
      <c r="I14" s="1526"/>
    </row>
    <row r="15" spans="1:12" ht="13.2">
      <c r="A15" s="3429"/>
      <c r="B15" s="3487"/>
      <c r="C15" s="3492"/>
      <c r="D15" s="3478"/>
      <c r="E15" s="135" t="s">
        <v>1906</v>
      </c>
      <c r="F15" s="1912"/>
      <c r="G15" s="1912"/>
      <c r="H15" s="1912"/>
      <c r="I15" s="1526"/>
    </row>
    <row r="16" spans="1:12" ht="13.2">
      <c r="A16" s="3429"/>
      <c r="B16" s="3487"/>
      <c r="C16" s="3491"/>
      <c r="D16" s="3478"/>
      <c r="E16" s="135" t="s">
        <v>1907</v>
      </c>
      <c r="F16" s="1912"/>
      <c r="G16" s="1912"/>
      <c r="H16" s="1912"/>
      <c r="I16" s="1526"/>
    </row>
    <row r="17" spans="1:36" ht="14.4">
      <c r="A17" s="1913" t="s">
        <v>1908</v>
      </c>
      <c r="B17" s="59"/>
      <c r="C17" s="136">
        <f>SUM(C5:C16)</f>
        <v>5</v>
      </c>
      <c r="D17" s="136">
        <f>SUM(D5:D16)</f>
        <v>5</v>
      </c>
      <c r="E17" s="133"/>
      <c r="F17" s="133"/>
      <c r="G17" s="133"/>
      <c r="H17" s="133"/>
      <c r="I17" s="133"/>
      <c r="K17" s="307"/>
      <c r="L17" s="307" t="s">
        <v>1909</v>
      </c>
      <c r="M17" s="307" t="s">
        <v>1910</v>
      </c>
    </row>
    <row r="18" spans="1:36" ht="31.95" customHeight="1" thickBot="1">
      <c r="A18" s="1914" t="s">
        <v>1911</v>
      </c>
      <c r="B18" s="1915"/>
      <c r="C18" s="137">
        <f>ROUND(C17/SUM(C17:D17),2)</f>
        <v>0.5</v>
      </c>
      <c r="D18" s="137">
        <f>1-C18</f>
        <v>0.5</v>
      </c>
      <c r="E18" s="3509" t="s">
        <v>2809</v>
      </c>
      <c r="F18" s="3510"/>
      <c r="G18" s="3510"/>
      <c r="H18" s="3510"/>
      <c r="I18" s="3510"/>
      <c r="K18" s="307" t="s">
        <v>1912</v>
      </c>
      <c r="L18" s="307">
        <f>IF(C1="",'数据-汇总表'!E3,SUMIF(项目类型,C1,'数据-汇总表'!E17:E26)+SUMIF(项目类型,C1,'数据-汇总表'!I17:I26))</f>
        <v>2542.8199999999997</v>
      </c>
      <c r="M18" s="307">
        <f>IF(C1="",'数据-汇总表'!E3,SUMIF(项目类型,C1,'数据-汇总表'!E17:E26))</f>
        <v>2542.8199999999997</v>
      </c>
    </row>
    <row r="19" spans="1:36" ht="14.4">
      <c r="A19" s="1916" t="s">
        <v>1913</v>
      </c>
      <c r="B19" s="1917" t="s">
        <v>1914</v>
      </c>
      <c r="C19" s="138">
        <f ca="1">SUMIF(INDIRECT("'"&amp;C4&amp;"'"&amp;"!A:A"),'结果表 (2)'!B19,INDIRECT("'"&amp;C4&amp;"'"&amp;"!B:B"))</f>
        <v>8936</v>
      </c>
      <c r="D19" s="139">
        <f ca="1">SUMIF(INDIRECT("'"&amp;D4&amp;"'"&amp;"!A:A"),'结果表 (2)'!B19,INDIRECT("'"&amp;D4&amp;"'"&amp;"!B:B"))</f>
        <v>9164</v>
      </c>
      <c r="E19" s="1916" t="s">
        <v>1915</v>
      </c>
      <c r="F19" s="1917" t="s">
        <v>1914</v>
      </c>
      <c r="G19" s="140">
        <f ca="1">ROUND(C19*$C$18+D19*$D$18,0)</f>
        <v>9050</v>
      </c>
      <c r="H19" s="1918" t="s">
        <v>1916</v>
      </c>
      <c r="I19" s="133"/>
      <c r="K19" s="307" t="s">
        <v>1917</v>
      </c>
      <c r="L19" s="307">
        <f>IF(C1="",'数据-汇总表'!D3,SUMIF(项目类型,C1,'数据-汇总表'!D17:D26)+SUMIF(项目类型,C1,'数据-汇总表'!H17:H27))</f>
        <v>908.15</v>
      </c>
      <c r="M19" s="307">
        <f>IF(C1="",'数据-汇总表'!D3,SUMIF(项目类型,C1,'数据-汇总表'!D17:D26))</f>
        <v>908.15</v>
      </c>
    </row>
    <row r="20" spans="1:36" ht="14.4">
      <c r="A20" s="1919"/>
      <c r="B20" s="1156" t="s">
        <v>1918</v>
      </c>
      <c r="C20" s="141">
        <f ca="1">SUMIF(INDIRECT("'"&amp;C4&amp;"'"&amp;"!A:A"),'结果表 (2)'!B20,INDIRECT("'"&amp;C4&amp;"'"&amp;"!B:B"))</f>
        <v>35142</v>
      </c>
      <c r="D20" s="142">
        <f ca="1">SUMIF(INDIRECT("'"&amp;D4&amp;"'"&amp;"!A:A"),'结果表 (2)'!B20,INDIRECT("'"&amp;D4&amp;"'"&amp;"!B:B"))</f>
        <v>36039</v>
      </c>
      <c r="E20" s="1919"/>
      <c r="F20" s="1156" t="s">
        <v>1918</v>
      </c>
      <c r="G20" s="143">
        <f ca="1">ROUND(C20*$C$18+D20*$D$18,0)</f>
        <v>35591</v>
      </c>
      <c r="H20" s="916" t="s">
        <v>1919</v>
      </c>
      <c r="I20" s="133"/>
    </row>
    <row r="21" spans="1:36" ht="15" customHeight="1" thickBot="1">
      <c r="A21" s="936"/>
      <c r="B21" s="1920" t="s">
        <v>1920</v>
      </c>
      <c r="C21" s="727">
        <f ca="1">ROUND(C19*10000/L19,0)</f>
        <v>98398</v>
      </c>
      <c r="D21" s="728">
        <f ca="1">ROUND(D19*10000/L19,0)</f>
        <v>100908</v>
      </c>
      <c r="E21" s="936"/>
      <c r="F21" s="1920" t="s">
        <v>1920</v>
      </c>
      <c r="G21" s="144">
        <f ca="1">ROUND(G19*10000/L19,0)</f>
        <v>99653</v>
      </c>
      <c r="H21" s="1921" t="s">
        <v>1919</v>
      </c>
      <c r="I21" s="133"/>
    </row>
    <row r="22" spans="1:36" ht="15" thickBot="1">
      <c r="A22" s="1843" t="s">
        <v>1921</v>
      </c>
      <c r="B22" s="1922"/>
      <c r="C22" s="1923"/>
      <c r="D22" s="729">
        <f ca="1">IF(C19&lt;D19,D19/C19-1,C19/D19-1)</f>
        <v>2.5514771709937323E-2</v>
      </c>
      <c r="E22" s="133"/>
      <c r="F22" s="133"/>
      <c r="G22" s="133"/>
      <c r="H22" s="133"/>
      <c r="I22" s="133"/>
    </row>
    <row r="23" spans="1:36" ht="13.8" thickBot="1">
      <c r="A23" s="1902"/>
      <c r="B23" s="1902"/>
      <c r="C23" s="1902"/>
      <c r="D23" s="1902"/>
      <c r="E23" s="133"/>
      <c r="F23" s="133"/>
      <c r="G23" s="133"/>
      <c r="H23" s="133"/>
      <c r="I23" s="133"/>
    </row>
    <row r="24" spans="1:36" ht="14.4">
      <c r="A24" s="3502" t="s">
        <v>1922</v>
      </c>
      <c r="B24" s="1917" t="s">
        <v>1914</v>
      </c>
      <c r="C24" s="140">
        <f>IF(B30=0,0,D30)</f>
        <v>0</v>
      </c>
      <c r="D24" s="1924"/>
      <c r="E24" s="133"/>
      <c r="F24" s="133"/>
      <c r="G24" s="133"/>
      <c r="H24" s="133"/>
      <c r="I24" s="133"/>
    </row>
    <row r="25" spans="1:36" ht="14.4">
      <c r="A25" s="350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3.8">
      <c r="A27" s="1926"/>
      <c r="B27" s="146">
        <v>0</v>
      </c>
      <c r="C27" s="146">
        <v>0</v>
      </c>
      <c r="D27" s="147">
        <f>ROUND(C27*B27/10000,0)</f>
        <v>0</v>
      </c>
      <c r="E27" s="133"/>
      <c r="F27" s="133"/>
      <c r="G27" s="133"/>
      <c r="H27" s="133"/>
      <c r="I27" s="133"/>
    </row>
    <row r="28" spans="1:36" ht="13.8">
      <c r="A28" s="1926"/>
      <c r="B28" s="146"/>
      <c r="C28" s="146"/>
      <c r="D28" s="147"/>
      <c r="E28" s="133"/>
      <c r="F28" s="133"/>
      <c r="G28" s="133"/>
      <c r="H28" s="133"/>
      <c r="I28" s="133"/>
    </row>
    <row r="29" spans="1:36" ht="13.8">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1928</v>
      </c>
      <c r="B32" s="1929"/>
      <c r="C32" s="148">
        <f ca="1">IF(D32="总价",G19-C24,G20-C25)</f>
        <v>9050</v>
      </c>
      <c r="D32" s="1930" t="s">
        <v>3141</v>
      </c>
      <c r="E32" s="133"/>
      <c r="F32" s="133"/>
      <c r="G32" s="133"/>
      <c r="H32" s="133"/>
      <c r="I32" s="133"/>
    </row>
    <row r="33" spans="1:15" ht="14.4">
      <c r="A33" s="893" t="s">
        <v>1929</v>
      </c>
      <c r="B33" s="1931"/>
      <c r="C33" s="1932" t="s">
        <v>3142</v>
      </c>
      <c r="D33" s="1933" t="s">
        <v>3139</v>
      </c>
      <c r="E33" s="1934" t="s">
        <v>1930</v>
      </c>
      <c r="F33" s="1935" t="str">
        <f>IF(D32="楼面单价","取值（单价）","取值（总价）")</f>
        <v>取值（总价）</v>
      </c>
      <c r="G33" s="133"/>
      <c r="H33" s="133"/>
      <c r="I33" s="133"/>
    </row>
    <row r="34" spans="1:15" ht="14.4">
      <c r="A34" s="1936"/>
      <c r="B34" s="1937" t="s">
        <v>1931</v>
      </c>
      <c r="C34" s="152">
        <f ca="1">IF(C33="自定义",F34,C32-C35)</f>
        <v>7910</v>
      </c>
      <c r="D34" s="969">
        <f ca="1">IF(C33="自定义",ROUND(C34/C32,3),IF(C33="收益比率",SUMIF(INDIRECT("'"&amp;D33&amp;"'"&amp;"!b:b"),"土地收益比率",INDIRECT("'"&amp;D33&amp;"'"&amp;"!c:c")),SUMIF(INDIRECT("'"&amp;D33&amp;"'"&amp;"!b:b"),"土地成本比率",INDIRECT("'"&amp;D33&amp;"'"&amp;"!c:c"))))</f>
        <v>0.874</v>
      </c>
      <c r="E34" s="1938" t="s">
        <v>1932</v>
      </c>
      <c r="F34" s="1469">
        <f ca="1">G19-F35</f>
        <v>7907</v>
      </c>
      <c r="G34" s="133"/>
      <c r="H34" s="133"/>
      <c r="I34" s="133"/>
    </row>
    <row r="35" spans="1:15" ht="15" thickBot="1">
      <c r="A35" s="1939"/>
      <c r="B35" s="1940" t="s">
        <v>1933</v>
      </c>
      <c r="C35" s="1303">
        <f ca="1">IF(C33="自定义",F35,ROUND(C32*D35,0))</f>
        <v>1140</v>
      </c>
      <c r="D35" s="1304">
        <f ca="1">IF(C33="自定义",ROUND(C35/C32,3),IF(C33="收益比率",SUMIF(INDIRECT("'"&amp;D33&amp;"'"&amp;"!b:b"),"建筑物收益比率",INDIRECT("'"&amp;D33&amp;"'"&amp;"!c:c")),SUMIF(INDIRECT("'"&amp;D33&amp;"'"&amp;"!b:b"),"建筑物成本比率",INDIRECT("'"&amp;D33&amp;"'"&amp;"!c:c"))))</f>
        <v>0.126</v>
      </c>
      <c r="E35" s="1941" t="s">
        <v>1934</v>
      </c>
      <c r="F35" s="158">
        <f ca="1">'成本法 (2)'!C51</f>
        <v>1143</v>
      </c>
      <c r="G35" s="133"/>
      <c r="H35" s="133"/>
      <c r="I35" s="133"/>
    </row>
    <row r="36" spans="1:15" ht="15" thickBot="1">
      <c r="A36" s="3479" t="s">
        <v>1935</v>
      </c>
      <c r="B36" s="1942" t="s">
        <v>1936</v>
      </c>
      <c r="C36" s="149"/>
      <c r="D36" s="1943"/>
      <c r="E36" s="1944"/>
      <c r="F36" s="1945"/>
      <c r="G36" s="133"/>
      <c r="H36" s="133"/>
      <c r="I36" s="133"/>
    </row>
    <row r="37" spans="1:15" ht="15" thickBot="1">
      <c r="A37" s="3480"/>
      <c r="B37" s="1829" t="s">
        <v>1937</v>
      </c>
      <c r="C37" s="151"/>
      <c r="D37" s="1272"/>
      <c r="E37" s="1272"/>
      <c r="F37" s="1945"/>
      <c r="G37" s="133"/>
      <c r="H37" s="133"/>
      <c r="I37" s="133"/>
    </row>
    <row r="38" spans="1:15" ht="15" thickBot="1">
      <c r="A38" s="3481"/>
      <c r="B38" s="1946" t="s">
        <v>1938</v>
      </c>
      <c r="C38" s="682"/>
      <c r="D38" s="1947" t="s">
        <v>1939</v>
      </c>
      <c r="E38" s="1272"/>
      <c r="F38" s="1945"/>
      <c r="G38" s="133"/>
      <c r="H38" s="133"/>
      <c r="I38" s="133"/>
    </row>
    <row r="39" spans="1:15" ht="14.4">
      <c r="A39" s="1919" t="s">
        <v>1940</v>
      </c>
      <c r="B39" s="1948" t="s">
        <v>1941</v>
      </c>
      <c r="C39" s="1949" t="s">
        <v>1942</v>
      </c>
      <c r="D39" s="1949" t="s">
        <v>1943</v>
      </c>
      <c r="E39" s="1950" t="s">
        <v>1944</v>
      </c>
      <c r="F39" s="1945"/>
      <c r="G39" s="133"/>
      <c r="H39" s="133"/>
      <c r="I39" s="133"/>
    </row>
    <row r="40" spans="1:15" ht="13.8">
      <c r="A40" s="1951" t="s">
        <v>1945</v>
      </c>
      <c r="B40" s="153"/>
      <c r="C40" s="154"/>
      <c r="D40" s="154"/>
      <c r="E40" s="155"/>
      <c r="F40" s="1945"/>
      <c r="G40" s="133"/>
      <c r="H40" s="133"/>
      <c r="I40" s="133"/>
    </row>
    <row r="41" spans="1:15" ht="13.8">
      <c r="A41" s="1951" t="s">
        <v>1946</v>
      </c>
      <c r="B41" s="153"/>
      <c r="C41" s="154"/>
      <c r="D41" s="154"/>
      <c r="E41" s="155"/>
      <c r="F41" s="1945"/>
      <c r="G41" s="133"/>
      <c r="H41" s="133"/>
      <c r="I41" s="133"/>
    </row>
    <row r="42" spans="1:15" ht="14.4" thickBot="1">
      <c r="A42" s="1952"/>
      <c r="B42" s="156"/>
      <c r="C42" s="157"/>
      <c r="D42" s="157"/>
      <c r="E42" s="158"/>
      <c r="F42" s="1945"/>
      <c r="G42" s="133"/>
      <c r="H42" s="133"/>
      <c r="I42" s="133"/>
    </row>
    <row r="43" spans="1:15" ht="13.2">
      <c r="A43" s="1731"/>
      <c r="B43" s="1731"/>
      <c r="C43" s="1731"/>
      <c r="D43" s="1731"/>
      <c r="E43" s="1731"/>
      <c r="F43" s="1953"/>
      <c r="G43" s="1953"/>
      <c r="H43" s="1953"/>
      <c r="I43" s="1954"/>
    </row>
    <row r="44" spans="1:15" ht="17.399999999999999">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99" t="s">
        <v>1949</v>
      </c>
      <c r="B45" s="3500"/>
      <c r="C45" s="3501"/>
      <c r="D45" s="159">
        <f ca="1">ROUND(H101*F45,0)</f>
        <v>9050</v>
      </c>
      <c r="E45" s="160" t="s">
        <v>1950</v>
      </c>
      <c r="F45" s="161">
        <v>1</v>
      </c>
      <c r="G45" s="162" t="s">
        <v>1951</v>
      </c>
      <c r="H45" s="133"/>
      <c r="I45" s="133"/>
      <c r="J45" s="3416" t="s">
        <v>1952</v>
      </c>
      <c r="K45" s="3416"/>
      <c r="L45" s="3416"/>
      <c r="M45" s="3416"/>
      <c r="N45" s="3416"/>
      <c r="O45" s="3416"/>
    </row>
    <row r="46" spans="1:15" ht="14.25" customHeight="1">
      <c r="A46" s="3496" t="s">
        <v>1953</v>
      </c>
      <c r="B46" s="3497"/>
      <c r="C46" s="3497"/>
      <c r="D46" s="3497"/>
      <c r="E46" s="3497"/>
      <c r="F46" s="3497"/>
      <c r="G46" s="3498"/>
      <c r="H46" s="1961"/>
      <c r="I46" s="163"/>
      <c r="J46" s="3225">
        <v>1</v>
      </c>
      <c r="K46" s="3417" t="s">
        <v>1954</v>
      </c>
      <c r="L46" s="3417"/>
      <c r="M46" s="3418"/>
      <c r="N46" s="3418"/>
      <c r="O46" s="3418"/>
    </row>
    <row r="47" spans="1:15" ht="12" customHeight="1">
      <c r="A47" s="164" t="s">
        <v>1955</v>
      </c>
      <c r="B47" s="165"/>
      <c r="C47" s="166"/>
      <c r="D47" s="1218" t="s">
        <v>1956</v>
      </c>
      <c r="E47" s="307" t="s">
        <v>1957</v>
      </c>
      <c r="F47" s="167" t="s">
        <v>1958</v>
      </c>
      <c r="G47" s="2739" t="s">
        <v>1959</v>
      </c>
      <c r="H47" s="2740"/>
      <c r="I47" s="163"/>
      <c r="J47" s="3225">
        <v>2</v>
      </c>
      <c r="K47" s="3417" t="s">
        <v>1960</v>
      </c>
      <c r="L47" s="3417"/>
      <c r="M47" s="3419">
        <f>'数据-取费表'!B2</f>
        <v>44610</v>
      </c>
      <c r="N47" s="3419"/>
      <c r="O47" s="3419"/>
    </row>
    <row r="48" spans="1:15" ht="26.4">
      <c r="A48" s="3482" t="s">
        <v>1961</v>
      </c>
      <c r="B48" s="3483"/>
      <c r="C48" s="3483"/>
      <c r="D48" s="3220" t="b">
        <f>IF(H48="情况1",0,IF(H48="情况2",D52,IF(H48="情况3",D53,IF(H48="情况4",D54))))</f>
        <v>0</v>
      </c>
      <c r="E48" s="3235" t="str">
        <f>IF(H48="情况4","(销售额-原购置价)×税（费）率","销售额×税（费）率")</f>
        <v>销售额×税（费）率</v>
      </c>
      <c r="F48" s="2741">
        <f>IF(H48="情况1","免征",'数据-取费表'!B41)</f>
        <v>5.6000000000000001E-2</v>
      </c>
      <c r="G48" s="2742" t="s">
        <v>1962</v>
      </c>
      <c r="H48" s="2743"/>
      <c r="I48" s="1961"/>
      <c r="J48" s="3225">
        <v>3</v>
      </c>
      <c r="K48" s="3417" t="s">
        <v>1963</v>
      </c>
      <c r="L48" s="3417"/>
      <c r="M48" s="3420">
        <f ca="1">H101</f>
        <v>9050</v>
      </c>
      <c r="N48" s="3420"/>
      <c r="O48" s="3420"/>
    </row>
    <row r="49" spans="1:35" ht="25.5" customHeight="1">
      <c r="A49" s="3234" t="s">
        <v>1964</v>
      </c>
      <c r="B49" s="3465" t="s">
        <v>1965</v>
      </c>
      <c r="C49" s="3465"/>
      <c r="D49" s="1744">
        <v>0</v>
      </c>
      <c r="E49" s="329" t="s">
        <v>1966</v>
      </c>
      <c r="F49" s="3217" t="s">
        <v>34</v>
      </c>
      <c r="G49" s="3448"/>
      <c r="H49" s="2497" t="s">
        <v>2812</v>
      </c>
      <c r="I49" s="2498"/>
      <c r="J49" s="3225">
        <v>4</v>
      </c>
      <c r="K49" s="3417" t="str">
        <f>IF(项目基本情况!E8="房地产抵押价值","房地产抵押价值","抵押担保权已注销时的房地产抵押价值")</f>
        <v>房地产抵押价值</v>
      </c>
      <c r="L49" s="3417"/>
      <c r="M49" s="3420">
        <f ca="1">IF(项目基本情况!E8="房地产抵押价值",H107,H109)</f>
        <v>9050</v>
      </c>
      <c r="N49" s="3420"/>
      <c r="O49" s="3420"/>
    </row>
    <row r="50" spans="1:35" ht="25.5" customHeight="1">
      <c r="A50" s="2744"/>
      <c r="B50" s="3465" t="s">
        <v>1967</v>
      </c>
      <c r="C50" s="3465"/>
      <c r="D50" s="2745"/>
      <c r="E50" s="337"/>
      <c r="F50" s="3217"/>
      <c r="G50" s="3449"/>
      <c r="H50" s="2499" t="s">
        <v>2813</v>
      </c>
      <c r="I50" s="2498"/>
      <c r="J50" s="3416" t="s">
        <v>1968</v>
      </c>
      <c r="K50" s="3416"/>
      <c r="L50" s="3416"/>
      <c r="M50" s="3416"/>
      <c r="N50" s="3416"/>
      <c r="O50" s="3416"/>
    </row>
    <row r="51" spans="1:35" ht="20.399999999999999" customHeight="1">
      <c r="A51" s="2746"/>
      <c r="B51" s="3465" t="s">
        <v>1969</v>
      </c>
      <c r="C51" s="3465"/>
      <c r="D51" s="1218"/>
      <c r="E51" s="332"/>
      <c r="F51" s="3217"/>
      <c r="G51" s="3450"/>
      <c r="H51" s="2499" t="s">
        <v>2814</v>
      </c>
      <c r="I51" s="2498"/>
      <c r="J51" s="3219" t="s">
        <v>1970</v>
      </c>
      <c r="K51" s="3417" t="s">
        <v>1971</v>
      </c>
      <c r="L51" s="3417"/>
      <c r="M51" s="3219" t="s">
        <v>1972</v>
      </c>
      <c r="N51" s="3219" t="s">
        <v>1973</v>
      </c>
      <c r="O51" s="3219" t="s">
        <v>1974</v>
      </c>
    </row>
    <row r="52" spans="1:35" ht="24" customHeight="1">
      <c r="A52" s="3237" t="s">
        <v>1975</v>
      </c>
      <c r="B52" s="3465" t="s">
        <v>1976</v>
      </c>
      <c r="C52" s="3465"/>
      <c r="D52" s="1218">
        <f ca="1">ROUND(D45*'数据-取费表'!B41/(1+'数据-取费表'!C42),0)</f>
        <v>483</v>
      </c>
      <c r="E52" s="3235" t="s">
        <v>1977</v>
      </c>
      <c r="F52" s="2747">
        <f>'数据-取费表'!B41</f>
        <v>5.6000000000000001E-2</v>
      </c>
      <c r="G52" s="2748"/>
      <c r="H52" s="2737"/>
      <c r="I52" s="1962"/>
      <c r="J52" s="3225">
        <v>1</v>
      </c>
      <c r="K52" s="3442" t="s">
        <v>1978</v>
      </c>
      <c r="L52" s="3442"/>
      <c r="M52" s="2718" t="b">
        <f>D48</f>
        <v>0</v>
      </c>
      <c r="N52" s="3225" t="str">
        <f>E48</f>
        <v>销售额×税（费）率</v>
      </c>
      <c r="O52" s="2719">
        <f>F48</f>
        <v>5.6000000000000001E-2</v>
      </c>
    </row>
    <row r="53" spans="1:35" ht="12" customHeight="1">
      <c r="A53" s="3237" t="s">
        <v>1979</v>
      </c>
      <c r="B53" s="3466" t="s">
        <v>2967</v>
      </c>
      <c r="C53" s="3467"/>
      <c r="D53" s="1218">
        <f ca="1">ROUND(D45*'数据-取费表'!B41/(1+'数据-取费表'!C42),0)</f>
        <v>483</v>
      </c>
      <c r="E53" s="3235" t="s">
        <v>1977</v>
      </c>
      <c r="F53" s="2747">
        <f>'数据-取费表'!B41</f>
        <v>5.6000000000000001E-2</v>
      </c>
      <c r="G53" s="2748"/>
      <c r="H53" s="2737"/>
      <c r="I53" s="1962"/>
      <c r="J53" s="3225">
        <v>2</v>
      </c>
      <c r="K53" s="3442" t="s">
        <v>1980</v>
      </c>
      <c r="L53" s="3442"/>
      <c r="M53" s="2718">
        <f t="shared" ref="M53:O54" ca="1" si="0">D55</f>
        <v>5</v>
      </c>
      <c r="N53" s="3225" t="str">
        <f t="shared" si="0"/>
        <v>销售额×税（费）率</v>
      </c>
      <c r="O53" s="2719" t="str">
        <f t="shared" si="0"/>
        <v>免征</v>
      </c>
    </row>
    <row r="54" spans="1:35" ht="12" customHeight="1">
      <c r="A54" s="3237" t="s">
        <v>1981</v>
      </c>
      <c r="B54" s="3466" t="s">
        <v>2968</v>
      </c>
      <c r="C54" s="3467"/>
      <c r="D54" s="1218">
        <f ca="1">C68</f>
        <v>483</v>
      </c>
      <c r="E54" s="332" t="s">
        <v>1982</v>
      </c>
      <c r="F54" s="2747">
        <f>'数据-取费表'!B41</f>
        <v>5.6000000000000001E-2</v>
      </c>
      <c r="G54" s="2748"/>
      <c r="H54" s="2749"/>
      <c r="I54" s="1962"/>
      <c r="J54" s="3225">
        <v>3</v>
      </c>
      <c r="K54" s="3442" t="s">
        <v>1983</v>
      </c>
      <c r="L54" s="3442"/>
      <c r="M54" s="2718">
        <f t="shared" ca="1" si="0"/>
        <v>5122</v>
      </c>
      <c r="N54" s="3225" t="str">
        <f t="shared" si="0"/>
        <v>增值额×税（费）率</v>
      </c>
      <c r="O54" s="2720" t="str">
        <f t="shared" si="0"/>
        <v>免征</v>
      </c>
    </row>
    <row r="55" spans="1:35" ht="24" customHeight="1">
      <c r="A55" s="3505" t="s">
        <v>1984</v>
      </c>
      <c r="B55" s="3483"/>
      <c r="C55" s="3483"/>
      <c r="D55" s="3220">
        <f ca="1">IF(H55="个人住宅",0,ROUND(D45*I55,0))</f>
        <v>5</v>
      </c>
      <c r="E55" s="3235" t="s">
        <v>1985</v>
      </c>
      <c r="F55" s="2747" t="str">
        <f>IF(H55="正常",I55,"免征")</f>
        <v>免征</v>
      </c>
      <c r="G55" s="2748"/>
      <c r="H55" s="2743"/>
      <c r="I55" s="169">
        <f>'数据-取费表'!B49</f>
        <v>5.0000000000000001E-4</v>
      </c>
      <c r="J55" s="3225">
        <f>IF(H59="非个人房产","",4)</f>
        <v>4</v>
      </c>
      <c r="K55" s="3442" t="str">
        <f>IF(H59="非个人房产","——","个人所得税")</f>
        <v>个人所得税</v>
      </c>
      <c r="L55" s="3442"/>
      <c r="M55" s="2721">
        <f ca="1">D59</f>
        <v>86</v>
      </c>
      <c r="N55" s="3226" t="str">
        <f>E59</f>
        <v>差额计税</v>
      </c>
      <c r="O55" s="2722">
        <f>F59</f>
        <v>0.01</v>
      </c>
    </row>
    <row r="56" spans="1:35" ht="25.2">
      <c r="A56" s="3505" t="s">
        <v>1986</v>
      </c>
      <c r="B56" s="3483"/>
      <c r="C56" s="3483"/>
      <c r="D56" s="3220">
        <f ca="1">IF(H56="个人住宅",D57,D58)</f>
        <v>5122</v>
      </c>
      <c r="E56" s="3235" t="s">
        <v>1987</v>
      </c>
      <c r="F56" s="2747" t="str">
        <f>IF(H56="正常",F58,"免征")</f>
        <v>免征</v>
      </c>
      <c r="G56" s="2750" t="s">
        <v>1988</v>
      </c>
      <c r="H56" s="2751"/>
      <c r="I56" s="1963"/>
      <c r="J56" s="3225" t="str">
        <f>IF(项目基本情况!K6="上海银行",IF(J55="",4,J55+1),"")</f>
        <v/>
      </c>
      <c r="K56" s="3423" t="str">
        <f>IF(项目基本情况!K6="上海银行","其他处置费用","")</f>
        <v/>
      </c>
      <c r="L56" s="3424"/>
      <c r="M56" s="2718" t="str">
        <f>IF(项目基本情况!K6="上海银行",M69,"")</f>
        <v/>
      </c>
      <c r="N56" s="3423" t="str">
        <f>IF(项目基本情况!K6="上海银行","包含处置中涉及的律师、诉讼、拍卖、评估等费用","")</f>
        <v/>
      </c>
      <c r="O56" s="3426"/>
    </row>
    <row r="57" spans="1:35" ht="13.2">
      <c r="A57" s="3237" t="s">
        <v>1964</v>
      </c>
      <c r="B57" s="3466" t="s">
        <v>1989</v>
      </c>
      <c r="C57" s="3467"/>
      <c r="D57" s="1744">
        <v>0</v>
      </c>
      <c r="E57" s="329" t="s">
        <v>1966</v>
      </c>
      <c r="F57" s="307"/>
      <c r="G57" s="2748"/>
      <c r="H57" s="2752"/>
      <c r="I57" s="1963"/>
      <c r="J57" s="3442">
        <f>IF(AND(J55="",J56=""),4,IF(项目基本情况!K6="上海银行",'结果表 (2)'!J56+1,'结果表 (2)'!J55+1))</f>
        <v>5</v>
      </c>
      <c r="K57" s="3442" t="s">
        <v>1990</v>
      </c>
      <c r="L57" s="2723" t="s">
        <v>1991</v>
      </c>
      <c r="M57" s="2724"/>
      <c r="N57" s="2725">
        <f ca="1">SUMIF(M52:M56,"&lt;9e307")</f>
        <v>5213</v>
      </c>
      <c r="O57" s="2726"/>
      <c r="P57" s="2886">
        <f ca="1">N57/M49</f>
        <v>0.57602209944751381</v>
      </c>
    </row>
    <row r="58" spans="1:35" ht="25.2">
      <c r="A58" s="3237" t="s">
        <v>1975</v>
      </c>
      <c r="B58" s="3466" t="s">
        <v>1992</v>
      </c>
      <c r="C58" s="3465"/>
      <c r="D58" s="3220">
        <f ca="1">IF(H58="转让取得",C81,C97)</f>
        <v>5122</v>
      </c>
      <c r="E58" s="3235" t="s">
        <v>1987</v>
      </c>
      <c r="F58" s="307" t="s">
        <v>34</v>
      </c>
      <c r="G58" s="2748"/>
      <c r="H58" s="2751"/>
      <c r="I58" s="1963"/>
      <c r="J58" s="3442"/>
      <c r="K58" s="3442"/>
      <c r="L58" s="2723" t="s">
        <v>1993</v>
      </c>
      <c r="M58" s="2727"/>
      <c r="N58" s="2728" t="str">
        <f ca="1">NUMBERSTRING(INT(N57*10000),2)&amp;"元整"</f>
        <v>伍仟贰佰壹拾叁万元整</v>
      </c>
      <c r="O58" s="2729"/>
    </row>
    <row r="59" spans="1:35" ht="24.6" thickBot="1">
      <c r="A59" s="3446" t="s">
        <v>1994</v>
      </c>
      <c r="B59" s="3447"/>
      <c r="C59" s="3447"/>
      <c r="D59" s="2753">
        <f ca="1">IF(H59="非个人房产","——",IF(H59="个人住宅（满五唯一有凭证）",0,IF(H59="个人其他（无凭证）",ROUND(D45*F59,0),ROUND(C67*F59,0))))</f>
        <v>86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44">
        <f>J57+1</f>
        <v>6</v>
      </c>
      <c r="K59" s="3442" t="s">
        <v>1995</v>
      </c>
      <c r="L59" s="3225" t="s">
        <v>1991</v>
      </c>
      <c r="M59" s="2730"/>
      <c r="N59" s="2731">
        <f ca="1">M49-N57</f>
        <v>3837</v>
      </c>
      <c r="O59" s="2732"/>
    </row>
    <row r="60" spans="1:35" ht="12" customHeight="1">
      <c r="A60" s="1964"/>
      <c r="B60" s="1902"/>
      <c r="C60" s="1902"/>
      <c r="D60" s="1902"/>
      <c r="E60" s="1732"/>
      <c r="F60" s="1963"/>
      <c r="G60" s="1963"/>
      <c r="H60" s="1965"/>
      <c r="I60" s="133"/>
      <c r="J60" s="3445"/>
      <c r="K60" s="3442"/>
      <c r="L60" s="2723" t="s">
        <v>1993</v>
      </c>
      <c r="M60" s="2727"/>
      <c r="N60" s="2728" t="str">
        <f ca="1">NUMBERSTRING(INT(N59*10000),2)&amp;"元整"</f>
        <v>叁仟捌佰叁拾柒万元整</v>
      </c>
      <c r="O60" s="2729"/>
    </row>
    <row r="61" spans="1:35" ht="13.8" thickBot="1">
      <c r="A61" s="3504" t="s">
        <v>1996</v>
      </c>
      <c r="B61" s="3504"/>
      <c r="C61" s="3504"/>
      <c r="D61" s="3504"/>
      <c r="E61" s="3504"/>
      <c r="F61" s="1963"/>
      <c r="G61" s="1963"/>
      <c r="H61" s="1965"/>
      <c r="I61" s="133"/>
      <c r="J61" s="3225">
        <f>J59+1</f>
        <v>7</v>
      </c>
      <c r="K61" s="3442" t="s">
        <v>1997</v>
      </c>
      <c r="L61" s="3442"/>
      <c r="M61" s="2733"/>
      <c r="N61" s="2734">
        <f ca="1">ROUND(N59*10000/'数据-汇总表'!E3,0)</f>
        <v>2174</v>
      </c>
      <c r="O61" s="2735"/>
    </row>
    <row r="62" spans="1:35" ht="13.2">
      <c r="A62" s="3461" t="s">
        <v>1998</v>
      </c>
      <c r="B62" s="3462"/>
      <c r="C62" s="3230"/>
      <c r="D62" s="3230" t="s">
        <v>1999</v>
      </c>
      <c r="E62" s="170" t="s">
        <v>2000</v>
      </c>
      <c r="F62" s="1963"/>
      <c r="G62" s="1963"/>
      <c r="H62" s="1965"/>
      <c r="I62" s="133"/>
    </row>
    <row r="63" spans="1:35" ht="13.2">
      <c r="A63" s="177" t="s">
        <v>775</v>
      </c>
      <c r="B63" s="171" t="s">
        <v>2001</v>
      </c>
      <c r="C63" s="2757">
        <f ca="1">ROUND((C64+C65)/(1+'数据-取费表'!C42),0)</f>
        <v>8619</v>
      </c>
      <c r="D63" s="171"/>
      <c r="E63" s="172"/>
      <c r="F63" s="1963"/>
      <c r="G63" s="1963"/>
      <c r="H63" s="1965"/>
      <c r="I63" s="133"/>
      <c r="J63" s="3425" t="s">
        <v>2002</v>
      </c>
      <c r="K63" s="3221" t="s">
        <v>2003</v>
      </c>
      <c r="L63" s="3221">
        <f ca="1">IF(M49&gt;10000,M49*0.5%,IF(AND(M49&gt;1000,M49&lt;=10000),M49*1%,IF(AND(M49&gt;100,M49&lt;=1000),M49*3%,IF(AND(M49&gt;10,M49&lt;=100),M49*5%,M49*8%))))</f>
        <v>90.5</v>
      </c>
      <c r="M63" s="307">
        <f ca="1">ROUND(L63,1)</f>
        <v>90.5</v>
      </c>
      <c r="N63" s="2736"/>
      <c r="Z63" s="1907"/>
      <c r="AI63" s="1908"/>
    </row>
    <row r="64" spans="1:35" ht="14.25" customHeight="1">
      <c r="A64" s="173" t="s">
        <v>770</v>
      </c>
      <c r="B64" s="174" t="s">
        <v>2004</v>
      </c>
      <c r="C64" s="2758">
        <f ca="1">D45</f>
        <v>9050</v>
      </c>
      <c r="D64" s="174" t="s">
        <v>32</v>
      </c>
      <c r="E64" s="176"/>
      <c r="F64" s="1963"/>
      <c r="G64" s="1963"/>
      <c r="H64" s="1965"/>
      <c r="I64" s="133"/>
      <c r="J64" s="3425"/>
      <c r="K64" s="3221" t="s">
        <v>2005</v>
      </c>
      <c r="L64" s="3221">
        <f ca="1">IF(M49&gt;2000,M49*0.5%,IF(AND(M49&gt;1000,M49&lt;=2000),M49*0.6%,IF(AND(M49&gt;500,M49&lt;=1000),M49*0.7%,IF(AND(M49&gt;200,M49&lt;=500),M49*0.8%,IF(AND(M49&gt;100,M49&lt;=200),M49*0.9%,IF(AND(M49&gt;50,M49&lt;=100),M49*1%,IF(AND(M49&gt;20,M49&lt;=50),M49*1.5%,IF(AND(M49&gt;10,M49&lt;=20),M49*2%,IF(AND(M49&gt;1,M49&lt;=10),M49*2.5%)))))))))</f>
        <v>45.25</v>
      </c>
      <c r="M64" s="307">
        <f t="shared" ref="M64:M65" ca="1" si="1">ROUND(L64,1)</f>
        <v>45.3</v>
      </c>
      <c r="N64" s="2737" t="s">
        <v>2006</v>
      </c>
      <c r="Z64" s="1907"/>
      <c r="AI64" s="1908"/>
    </row>
    <row r="65" spans="1:35" ht="14.25" customHeight="1">
      <c r="A65" s="173" t="s">
        <v>771</v>
      </c>
      <c r="B65" s="174" t="s">
        <v>2007</v>
      </c>
      <c r="C65" s="2759"/>
      <c r="D65" s="174"/>
      <c r="E65" s="176"/>
      <c r="F65" s="1963"/>
      <c r="G65" s="1963"/>
      <c r="H65" s="1965"/>
      <c r="I65" s="133"/>
      <c r="J65" s="3425"/>
      <c r="K65" s="3221" t="s">
        <v>2008</v>
      </c>
      <c r="L65" s="3221">
        <f ca="1">IF(M49&gt;1000,M49*0.1%,IF(AND(M49&gt;500,M49&lt;=1000),M49*0.5%,IF(AND(M49&gt;50,M49&lt;=500),M49*1%,IF(AND(M49&gt;1,M49&lt;=50),M49*1.5%))))</f>
        <v>9.0500000000000007</v>
      </c>
      <c r="M65" s="307">
        <f t="shared" ca="1" si="1"/>
        <v>9.1</v>
      </c>
      <c r="N65" s="2737" t="s">
        <v>2006</v>
      </c>
      <c r="Z65" s="1907"/>
      <c r="AI65" s="1908"/>
    </row>
    <row r="66" spans="1:35" ht="14.25" customHeight="1">
      <c r="A66" s="177" t="s">
        <v>772</v>
      </c>
      <c r="B66" s="178" t="s">
        <v>2009</v>
      </c>
      <c r="C66" s="2760"/>
      <c r="D66" s="178" t="s">
        <v>32</v>
      </c>
      <c r="E66" s="1478" t="s">
        <v>1274</v>
      </c>
      <c r="F66" s="1963"/>
      <c r="G66" s="1963"/>
      <c r="H66" s="1965"/>
      <c r="I66" s="133"/>
      <c r="J66" s="3425"/>
      <c r="K66" s="3221" t="s">
        <v>2010</v>
      </c>
      <c r="L66" s="3221">
        <f ca="1">M49*0.5%</f>
        <v>45.25</v>
      </c>
      <c r="M66" s="307">
        <f ca="1">IF(L66&gt;0.5,0.5,ROUND(L66,0))</f>
        <v>0.5</v>
      </c>
      <c r="N66" s="2737" t="s">
        <v>2011</v>
      </c>
      <c r="Z66" s="1907"/>
      <c r="AI66" s="1908"/>
    </row>
    <row r="67" spans="1:35" ht="14.25" customHeight="1">
      <c r="A67" s="177" t="s">
        <v>773</v>
      </c>
      <c r="B67" s="178" t="s">
        <v>2012</v>
      </c>
      <c r="C67" s="2761">
        <f ca="1">C63-C66</f>
        <v>8619</v>
      </c>
      <c r="D67" s="174" t="s">
        <v>32</v>
      </c>
      <c r="E67" s="176"/>
      <c r="F67" s="1963"/>
      <c r="G67" s="1963"/>
      <c r="H67" s="1965"/>
      <c r="I67" s="133"/>
      <c r="J67" s="3425"/>
      <c r="K67" s="3221" t="s">
        <v>2013</v>
      </c>
      <c r="L67" s="3221">
        <f ca="1">IF(M49&gt;=10000,(8.25+(M49-10000)*0.01%),IF(AND(M49&gt;=8000,M49&lt;10000),(7.85+(M49-8000)*0.02%),IF(AND(M49&gt;=5000,M49&lt;8000),(6.65+(M49-5000)*0.04%),IF(AND(M49&gt;=2000,M49&lt;5000),(4.25+(PM49-2000)*0.08%),IF(AND(M49&gt;=1000,M49&lt;2000),(2.75+(M49-1000)*0.15%),IF(AND(M49&gt;=100,M49&lt;1000),(0.5+(M49-100)*0.25%),IF(AND(M49&gt;0,M49&lt;100),M49*0.5%)))))))</f>
        <v>8.06</v>
      </c>
      <c r="M67" s="307">
        <f ca="1">ROUND(L67*0.9,1)</f>
        <v>7.3</v>
      </c>
      <c r="N67" s="2736"/>
      <c r="Z67" s="1907"/>
      <c r="AI67" s="1908"/>
    </row>
    <row r="68" spans="1:35" ht="14.25" customHeight="1" thickBot="1">
      <c r="A68" s="180" t="s">
        <v>774</v>
      </c>
      <c r="B68" s="181" t="s">
        <v>2014</v>
      </c>
      <c r="C68" s="2762">
        <f ca="1">IF(C67&lt;=0,0,ROUND(C67*D68,0))</f>
        <v>483</v>
      </c>
      <c r="D68" s="2763">
        <f>'数据-取费表'!B41</f>
        <v>5.6000000000000001E-2</v>
      </c>
      <c r="E68" s="183"/>
      <c r="F68" s="1963"/>
      <c r="G68" s="1963"/>
      <c r="H68" s="1965"/>
      <c r="I68" s="133"/>
      <c r="J68" s="3425"/>
      <c r="K68" s="3221" t="s">
        <v>2015</v>
      </c>
      <c r="L68" s="3221">
        <f ca="1">IF(M49&gt;10000,M49*0.5%,IF(AND(M49&gt;5000,M49&lt;=10000),M49*1%,IF(AND(M49&gt;1000,M49&lt;=5000),M49*2%,IF(AND(M49&gt;200,M49&lt;=1000),M49*3%,M49*5%))))</f>
        <v>90.5</v>
      </c>
      <c r="M68" s="307">
        <f ca="1">ROUND(L68,1)</f>
        <v>90.5</v>
      </c>
      <c r="N68" s="2736"/>
      <c r="Z68" s="1907"/>
      <c r="AI68" s="1908"/>
    </row>
    <row r="69" spans="1:35" s="1927" customFormat="1" ht="16.5" customHeight="1">
      <c r="A69" s="1966"/>
      <c r="B69" s="1967"/>
      <c r="C69" s="1968"/>
      <c r="D69" s="1969"/>
      <c r="E69" s="1970"/>
      <c r="F69" s="1732"/>
      <c r="G69" s="1732"/>
      <c r="H69" s="1731"/>
      <c r="I69" s="1902"/>
      <c r="J69" s="3425"/>
      <c r="K69" s="3221" t="s">
        <v>2016</v>
      </c>
      <c r="L69" s="3221"/>
      <c r="M69" s="307">
        <f ca="1">ROUND(SUM(M63:M68),0)</f>
        <v>243</v>
      </c>
      <c r="N69" s="2738">
        <f ca="1">M69/M49</f>
        <v>2.6850828729281767E-2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4.4" thickBot="1">
      <c r="A70" s="3469" t="s">
        <v>2017</v>
      </c>
      <c r="B70" s="3470"/>
      <c r="C70" s="3470"/>
      <c r="D70" s="3470"/>
      <c r="E70" s="3470"/>
      <c r="F70" s="3470"/>
      <c r="G70" s="3470"/>
      <c r="H70" s="3470"/>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461" t="s">
        <v>1998</v>
      </c>
      <c r="B71" s="3462"/>
      <c r="C71" s="3230"/>
      <c r="D71" s="3230"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7" t="s">
        <v>775</v>
      </c>
      <c r="B72" s="178" t="s">
        <v>2018</v>
      </c>
      <c r="C72" s="2761">
        <f ca="1">ROUND(D45/(1+'数据-取费表'!C42),0)</f>
        <v>8619</v>
      </c>
      <c r="D72" s="174" t="s">
        <v>32</v>
      </c>
      <c r="E72" s="3232"/>
      <c r="F72" s="3231"/>
      <c r="G72" s="3231"/>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7" t="s">
        <v>772</v>
      </c>
      <c r="B73" s="167" t="s">
        <v>2019</v>
      </c>
      <c r="C73" s="2761">
        <f ca="1">C74+C78</f>
        <v>52</v>
      </c>
      <c r="D73" s="174" t="s">
        <v>32</v>
      </c>
      <c r="E73" s="3232"/>
      <c r="F73" s="3231"/>
      <c r="G73" s="323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3232"/>
      <c r="F74" s="3231"/>
      <c r="G74" s="323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66" t="s">
        <v>2025</v>
      </c>
      <c r="F76" s="3465"/>
      <c r="G76" s="3465"/>
      <c r="H76" s="34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3220" t="s">
        <v>2027</v>
      </c>
      <c r="F77" s="191"/>
      <c r="G77" s="1977"/>
      <c r="H77" s="323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52</v>
      </c>
      <c r="D78" s="2770">
        <f>'数据-取费表'!B43</f>
        <v>6.000000000000001E-3</v>
      </c>
      <c r="E78" s="3458" t="s">
        <v>2029</v>
      </c>
      <c r="F78" s="3459"/>
      <c r="G78" s="3459"/>
      <c r="H78" s="346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7" t="s">
        <v>779</v>
      </c>
      <c r="B79" s="178" t="s">
        <v>2030</v>
      </c>
      <c r="C79" s="2761">
        <f ca="1">C72-C73</f>
        <v>8567</v>
      </c>
      <c r="D79" s="174" t="s">
        <v>32</v>
      </c>
      <c r="E79" s="3232"/>
      <c r="F79" s="3231"/>
      <c r="G79" s="323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164.75</v>
      </c>
      <c r="D80" s="174" t="s">
        <v>32</v>
      </c>
      <c r="E80" s="3220" t="str">
        <f ca="1">IF(C80&gt;=200%,"增值额超过扣除项目金额200%",IF(C80&gt;=100%,"增值额超过扣除项目金额100%，未超过200%",IF(C80&gt;=50%,"增值额超过扣除项目金额50%，未超过100%",IF(C80&lt;50%,"增值额未超过扣除项目金额50%"))))</f>
        <v>增值额超过扣除项目金额200%</v>
      </c>
      <c r="F80" s="3231"/>
      <c r="G80" s="323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0" t="s">
        <v>781</v>
      </c>
      <c r="B81" s="181" t="s">
        <v>2032</v>
      </c>
      <c r="C81" s="2772">
        <f ca="1">ROUND(IF(C79&lt;=0,0,IF(C80&gt;=200%,C79*60%-C73*35%,IF(C80&gt;=100%,C79*50%-C73*15%,IF(C80&gt;=50%,C79*40%-C73*5%,IF(C80&lt;50%,C79*30%,0))))),0)</f>
        <v>5122</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469" t="s">
        <v>2033</v>
      </c>
      <c r="B83" s="3470"/>
      <c r="C83" s="3470"/>
      <c r="D83" s="3470"/>
      <c r="E83" s="3470"/>
      <c r="F83" s="3470"/>
      <c r="G83" s="3470"/>
      <c r="H83" s="34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461" t="s">
        <v>1998</v>
      </c>
      <c r="B84" s="3462"/>
      <c r="C84" s="3230"/>
      <c r="D84" s="3230"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7" t="s">
        <v>775</v>
      </c>
      <c r="B85" s="178" t="s">
        <v>2018</v>
      </c>
      <c r="C85" s="2761">
        <f ca="1">ROUND(D45/(1+'数据-取费表'!C42),0)</f>
        <v>8619</v>
      </c>
      <c r="D85" s="174" t="s">
        <v>32</v>
      </c>
      <c r="E85" s="3232"/>
      <c r="F85" s="3231"/>
      <c r="G85" s="323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7" t="s">
        <v>772</v>
      </c>
      <c r="B86" s="167" t="s">
        <v>2019</v>
      </c>
      <c r="C86" s="2761">
        <f ca="1">IF(H88="仅含出让金",C87+C90+C91+C92+C93+C94,C87+C91+C92+C93+C94)</f>
        <v>52</v>
      </c>
      <c r="D86" s="2774"/>
      <c r="E86" s="3232"/>
      <c r="F86" s="3231"/>
      <c r="G86" s="323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3" t="s">
        <v>770</v>
      </c>
      <c r="B87" s="174" t="s">
        <v>2034</v>
      </c>
      <c r="C87" s="2769">
        <f>C88+C89</f>
        <v>0</v>
      </c>
      <c r="D87" s="2770"/>
      <c r="E87" s="3227"/>
      <c r="F87" s="3228"/>
      <c r="G87" s="3228"/>
      <c r="H87" s="322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3" t="s">
        <v>776</v>
      </c>
      <c r="B88" s="174" t="s">
        <v>2035</v>
      </c>
      <c r="C88" s="2775"/>
      <c r="D88" s="2770"/>
      <c r="E88" s="198" t="s">
        <v>2036</v>
      </c>
      <c r="F88" s="3228"/>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3" t="s">
        <v>777</v>
      </c>
      <c r="B89" s="174" t="s">
        <v>2026</v>
      </c>
      <c r="C89" s="2769">
        <f>ROUND(C88*D89,0)</f>
        <v>0</v>
      </c>
      <c r="D89" s="2770">
        <f>'数据-取费表'!B48+'数据-取费表'!B49</f>
        <v>3.0499999999999999E-2</v>
      </c>
      <c r="E89" s="198" t="s">
        <v>2038</v>
      </c>
      <c r="F89" s="3228"/>
      <c r="G89" s="3228"/>
      <c r="H89" s="322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3" t="s">
        <v>771</v>
      </c>
      <c r="B90" s="174" t="s">
        <v>2039</v>
      </c>
      <c r="C90" s="2775"/>
      <c r="D90" s="2770"/>
      <c r="E90" s="198" t="str">
        <f>IF(H88="-","土地取得成本中已包含该笔费用"," ")</f>
        <v xml:space="preserve"> </v>
      </c>
      <c r="F90" s="3228"/>
      <c r="G90" s="3427" t="s">
        <v>2807</v>
      </c>
      <c r="H90" s="3428"/>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58" t="s">
        <v>2042</v>
      </c>
      <c r="F91" s="3459"/>
      <c r="G91" s="345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58" t="s">
        <v>2045</v>
      </c>
      <c r="F92" s="3459"/>
      <c r="G92" s="3459"/>
      <c r="H92" s="3460"/>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52</v>
      </c>
      <c r="D93" s="2770">
        <f>'数据-取费表'!B43</f>
        <v>6.000000000000001E-3</v>
      </c>
      <c r="E93" s="3458" t="s">
        <v>2029</v>
      </c>
      <c r="F93" s="3459"/>
      <c r="G93" s="3459"/>
      <c r="H93" s="346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506" t="s">
        <v>2049</v>
      </c>
      <c r="F94" s="3507"/>
      <c r="G94" s="3507"/>
      <c r="H94" s="350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7" t="s">
        <v>779</v>
      </c>
      <c r="B95" s="178" t="s">
        <v>2030</v>
      </c>
      <c r="C95" s="2761">
        <f ca="1">ROUND(C85-C86,0)</f>
        <v>8567</v>
      </c>
      <c r="D95" s="174" t="s">
        <v>32</v>
      </c>
      <c r="E95" s="3232"/>
      <c r="F95" s="3231"/>
      <c r="G95" s="323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164.75</v>
      </c>
      <c r="D96" s="174" t="s">
        <v>32</v>
      </c>
      <c r="E96" s="3220" t="str">
        <f ca="1">IF(C96&gt;=200%,"增值额超过扣除项目金额200%",IF(C96&gt;=100%,"增值额超过扣除项目金额100%，未超过200%",IF(C96&gt;=50%,"增值额超过扣除项目金额50%，未超过100%",IF(C96&lt;50%,"增值额未超过扣除项目金额50%"))))</f>
        <v>增值额超过扣除项目金额200%</v>
      </c>
      <c r="F96" s="3231"/>
      <c r="G96" s="323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0" t="s">
        <v>781</v>
      </c>
      <c r="B97" s="181" t="s">
        <v>2032</v>
      </c>
      <c r="C97" s="2772">
        <f ca="1">ROUND(IF(C95&lt;=0,0,IF(C96&gt;=200%,C95*60%-C86*35%,IF(C96&gt;=100%,C95*50%-C86*15%,IF(C96&gt;=50%,C95*40%-C86*5%,IF(C96&lt;50%,C95*30%,0))))),0)</f>
        <v>5122</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82" t="s">
        <v>2051</v>
      </c>
      <c r="B100" s="3383"/>
      <c r="C100" s="3383"/>
      <c r="D100" s="3443"/>
      <c r="E100" s="3383" t="s">
        <v>2052</v>
      </c>
      <c r="F100" s="3383"/>
      <c r="G100" s="3383"/>
      <c r="H100" s="3443"/>
      <c r="I100" s="133"/>
    </row>
    <row r="101" spans="1:35" ht="18.75" customHeight="1">
      <c r="A101" s="3451" t="s">
        <v>2053</v>
      </c>
      <c r="B101" s="3452"/>
      <c r="C101" s="2778" t="str">
        <f>C4</f>
        <v>成本法 (2)</v>
      </c>
      <c r="D101" s="2779" t="str">
        <f>D4</f>
        <v>收益法 (2)</v>
      </c>
      <c r="E101" s="3421" t="s">
        <v>2054</v>
      </c>
      <c r="F101" s="3422"/>
      <c r="G101" s="1982" t="s">
        <v>2055</v>
      </c>
      <c r="H101" s="2788">
        <f ca="1">H118</f>
        <v>9050</v>
      </c>
      <c r="I101" s="133"/>
    </row>
    <row r="102" spans="1:35" ht="18.75" customHeight="1">
      <c r="A102" s="3453" t="s">
        <v>2056</v>
      </c>
      <c r="B102" s="2777" t="s">
        <v>2055</v>
      </c>
      <c r="C102" s="2778">
        <f ca="1">C19</f>
        <v>8936</v>
      </c>
      <c r="D102" s="2779">
        <f ca="1">D19</f>
        <v>9164</v>
      </c>
      <c r="E102" s="3421"/>
      <c r="F102" s="3422"/>
      <c r="G102" s="1982" t="s">
        <v>2057</v>
      </c>
      <c r="H102" s="2748">
        <f ca="1">I118</f>
        <v>35590</v>
      </c>
      <c r="I102" s="133"/>
    </row>
    <row r="103" spans="1:35" ht="42.75" customHeight="1">
      <c r="A103" s="3453"/>
      <c r="B103" s="2777" t="s">
        <v>2057</v>
      </c>
      <c r="C103" s="2780">
        <f ca="1">C20</f>
        <v>35142</v>
      </c>
      <c r="D103" s="2781">
        <f ca="1">D20</f>
        <v>36039</v>
      </c>
      <c r="E103" s="3414" t="s">
        <v>2058</v>
      </c>
      <c r="F103" s="3415"/>
      <c r="G103" s="1983" t="s">
        <v>2059</v>
      </c>
      <c r="H103" s="2788">
        <f>IF(D36="正常操作",H104+H105+H106,H105+H106)</f>
        <v>0</v>
      </c>
      <c r="I103" s="133"/>
    </row>
    <row r="104" spans="1:35" ht="18.75" customHeight="1">
      <c r="A104" s="3453" t="s">
        <v>2060</v>
      </c>
      <c r="B104" s="2782" t="s">
        <v>2055</v>
      </c>
      <c r="C104" s="2783">
        <f ca="1">H118</f>
        <v>9050</v>
      </c>
      <c r="D104" s="2784"/>
      <c r="E104" s="1829" t="s">
        <v>2061</v>
      </c>
      <c r="F104" s="1820"/>
      <c r="G104" s="1983" t="s">
        <v>2059</v>
      </c>
      <c r="H104" s="2789">
        <f>IF(D36="同一抵押权人同一抵押物续贷",C36&amp;"（续贷，未扣减，详见特别提示）",C36)</f>
        <v>0</v>
      </c>
      <c r="I104" s="133"/>
    </row>
    <row r="105" spans="1:35" ht="18.75" customHeight="1" thickBot="1">
      <c r="A105" s="3463"/>
      <c r="B105" s="2785" t="s">
        <v>2057</v>
      </c>
      <c r="C105" s="2786">
        <f ca="1">I118</f>
        <v>35590</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54" t="str">
        <f>IF(项目基本情况!E8="已注销","——","3.房地产抵押价值")</f>
        <v>3.房地产抵押价值</v>
      </c>
      <c r="F107" s="3422"/>
      <c r="G107" s="1982" t="s">
        <v>2055</v>
      </c>
      <c r="H107" s="2788">
        <f ca="1">IF(E107="——","——",H101-H103)</f>
        <v>9050</v>
      </c>
      <c r="I107" s="133"/>
    </row>
    <row r="108" spans="1:35" ht="18.75" customHeight="1">
      <c r="A108" s="133"/>
      <c r="B108" s="133"/>
      <c r="C108" s="133"/>
      <c r="D108" s="133"/>
      <c r="E108" s="3454"/>
      <c r="F108" s="3422"/>
      <c r="G108" s="1982" t="s">
        <v>2057</v>
      </c>
      <c r="H108" s="2748">
        <f ca="1">ROUND(H107*10000/'数据-汇总表'!E3,0)</f>
        <v>5127</v>
      </c>
      <c r="I108" s="133"/>
    </row>
    <row r="109" spans="1:35" ht="18.75" customHeight="1">
      <c r="A109" s="133"/>
      <c r="B109" s="133"/>
      <c r="C109" s="133"/>
      <c r="D109" s="133"/>
      <c r="E109" s="3454" t="str">
        <f>IF(项目基本情况!E8="已注销及未注销","4.抵押担保权已注销时的房地产抵押价值",IF(项目基本情况!E8="已注销","3.抵押担保权已注销时的房地产抵押价值","——"))</f>
        <v>——</v>
      </c>
      <c r="F109" s="3422"/>
      <c r="G109" s="1982" t="s">
        <v>2055</v>
      </c>
      <c r="H109" s="2791" t="str">
        <f>IF(E109="——","——",H101-H105-H106)</f>
        <v>——</v>
      </c>
      <c r="I109" s="133"/>
    </row>
    <row r="110" spans="1:35" ht="18.75" customHeight="1">
      <c r="A110" s="133"/>
      <c r="B110" s="133"/>
      <c r="C110" s="133"/>
      <c r="D110" s="133"/>
      <c r="E110" s="3454"/>
      <c r="F110" s="3422"/>
      <c r="G110" s="1982" t="s">
        <v>2057</v>
      </c>
      <c r="H110" s="2748" t="str">
        <f>IF(H109="——","——",ROUND(H109*10000/'数据-汇总表'!E3,0))</f>
        <v>——</v>
      </c>
      <c r="I110" s="133"/>
    </row>
    <row r="111" spans="1:35" ht="18.75" customHeight="1">
      <c r="A111" s="133"/>
      <c r="B111" s="133"/>
      <c r="C111" s="133"/>
      <c r="D111" s="133"/>
      <c r="E111" s="3455" t="str">
        <f>IF(项目基本情况!E9="抵押净值",IF(OR(项目基本情况!E8="已注销",项目基本情况!E8="房地产抵押价值"),"4.抵押净值","5.抵押净值"),"——")</f>
        <v>——</v>
      </c>
      <c r="F111" s="3441"/>
      <c r="G111" s="1982" t="s">
        <v>2055</v>
      </c>
      <c r="H111" s="2788" t="str">
        <f>IF(E111="——","——",N59)</f>
        <v>——</v>
      </c>
      <c r="I111" s="133"/>
    </row>
    <row r="112" spans="1:35" ht="18.75" customHeight="1" thickBot="1">
      <c r="A112" s="133"/>
      <c r="B112" s="133"/>
      <c r="C112" s="133"/>
      <c r="D112" s="133"/>
      <c r="E112" s="3456"/>
      <c r="F112" s="3457"/>
      <c r="G112" s="1985" t="s">
        <v>2057</v>
      </c>
      <c r="H112" s="2792" t="str">
        <f>IF(E111="——","——",N61)</f>
        <v>——</v>
      </c>
      <c r="I112" s="133"/>
    </row>
    <row r="113" spans="1:27" ht="18.75" customHeight="1">
      <c r="A113" s="133"/>
      <c r="B113" s="133"/>
      <c r="C113" s="133"/>
      <c r="D113" s="133"/>
      <c r="E113" s="3464" t="s">
        <v>2063</v>
      </c>
      <c r="F113" s="3464"/>
      <c r="G113" s="3464"/>
      <c r="H113" s="3464"/>
      <c r="I113" s="133"/>
    </row>
    <row r="114" spans="1:27" ht="3.75" customHeight="1">
      <c r="A114" s="1902"/>
      <c r="B114" s="1902"/>
      <c r="C114" s="1902"/>
      <c r="D114" s="1902"/>
      <c r="E114" s="1964"/>
      <c r="F114" s="1964"/>
      <c r="G114" s="1964"/>
      <c r="H114" s="1964"/>
      <c r="I114" s="1902"/>
    </row>
    <row r="115" spans="1:27" ht="18.75" customHeight="1">
      <c r="A115" s="3475" t="s">
        <v>2065</v>
      </c>
      <c r="B115" s="3476"/>
      <c r="C115" s="3476"/>
      <c r="D115" s="3476"/>
      <c r="E115" s="3476"/>
      <c r="F115" s="3476"/>
      <c r="G115" s="3476"/>
      <c r="H115" s="3476"/>
      <c r="I115" s="3477"/>
    </row>
    <row r="116" spans="1:27" ht="27" customHeight="1">
      <c r="A116" s="3429" t="s">
        <v>2066</v>
      </c>
      <c r="B116" s="3433" t="s">
        <v>2067</v>
      </c>
      <c r="C116" s="3433" t="s">
        <v>2068</v>
      </c>
      <c r="D116" s="3439" t="s">
        <v>2069</v>
      </c>
      <c r="E116" s="3440"/>
      <c r="F116" s="3471" t="s">
        <v>2070</v>
      </c>
      <c r="G116" s="3471"/>
      <c r="H116" s="3429" t="s">
        <v>2071</v>
      </c>
      <c r="I116" s="3429"/>
    </row>
    <row r="117" spans="1:27" ht="18.75" customHeight="1">
      <c r="A117" s="3429"/>
      <c r="B117" s="3434"/>
      <c r="C117" s="3434"/>
      <c r="D117" s="3223" t="s">
        <v>2072</v>
      </c>
      <c r="E117" s="3223" t="s">
        <v>2073</v>
      </c>
      <c r="F117" s="3223" t="s">
        <v>2072</v>
      </c>
      <c r="G117" s="3223" t="s">
        <v>2074</v>
      </c>
      <c r="H117" s="3223" t="s">
        <v>2072</v>
      </c>
      <c r="I117" s="3223" t="s">
        <v>2074</v>
      </c>
    </row>
    <row r="118" spans="1:27" ht="24.75" customHeight="1">
      <c r="A118" s="2793" t="str">
        <f>项目基本情况!S2</f>
        <v>北京市房地产</v>
      </c>
      <c r="B118" s="3223">
        <f>M18</f>
        <v>2542.8199999999997</v>
      </c>
      <c r="C118" s="3223">
        <f>M19</f>
        <v>908.15</v>
      </c>
      <c r="D118" s="3223">
        <f ca="1">ROUND(IF(D32="总价",C34,E118*B118/10000),0)</f>
        <v>7910</v>
      </c>
      <c r="E118" s="3223">
        <f ca="1">ROUND(IF(C33="自定义",IF(D32="楼面单价",C34,D118*10000/B118),I118-G118),0)</f>
        <v>31107</v>
      </c>
      <c r="F118" s="3223">
        <f ca="1">ROUND(IF(D32="总价",C35,G118*B118/10000),0)</f>
        <v>1140</v>
      </c>
      <c r="G118" s="3223">
        <f ca="1">ROUND(IF(D32="楼面单价",C35,F118*10000/B118),0)</f>
        <v>4483</v>
      </c>
      <c r="H118" s="3223">
        <f ca="1">ROUND(IF(D32="总价",C32,I118*B118/10000),0)</f>
        <v>9050</v>
      </c>
      <c r="I118" s="3223">
        <f ca="1">ROUND(IF(D32="楼面单价",C32,H118*10000/B118),0)</f>
        <v>35590</v>
      </c>
    </row>
    <row r="119" spans="1:27" ht="18.75" customHeight="1">
      <c r="A119" s="3429" t="s">
        <v>2075</v>
      </c>
      <c r="B119" s="3429"/>
      <c r="C119" s="3429"/>
      <c r="D119" s="3435" t="str">
        <f ca="1">NUMBERSTRING(INT(D118*10000),2)&amp;"元整"</f>
        <v>柒仟玖佰壹拾万元整</v>
      </c>
      <c r="E119" s="3436"/>
      <c r="F119" s="3435" t="str">
        <f ca="1">NUMBERSTRING(INT(F118*10000),2)&amp;"元整"</f>
        <v>壹仟壹佰肆拾万元整</v>
      </c>
      <c r="G119" s="3436"/>
      <c r="H119" s="3435" t="str">
        <f ca="1">NUMBERSTRING(INT(H118*10000),2)&amp;"元整"</f>
        <v>玖仟零伍拾万元整</v>
      </c>
      <c r="I119" s="3436"/>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72" t="s">
        <v>2075</v>
      </c>
      <c r="B121" s="3473"/>
      <c r="C121" s="3474"/>
      <c r="D121" s="3435" t="str">
        <f>IF(D120=0,"零元整",NUMBERSTRING(INT(D120*10000),2)&amp;"元整")</f>
        <v>零元整</v>
      </c>
      <c r="E121" s="3437"/>
      <c r="F121" s="3437"/>
      <c r="G121" s="3437"/>
      <c r="H121" s="3437"/>
      <c r="I121" s="3436"/>
      <c r="AA121" s="733"/>
    </row>
    <row r="122" spans="1:27" ht="18.75" customHeight="1">
      <c r="A122" s="3441" t="str">
        <f>IF(项目基本情况!B9="房地产市场价值","",MID(E107,3,LEN(E107)-2))</f>
        <v>房地产抵押价值</v>
      </c>
      <c r="B122" s="3441"/>
      <c r="C122" s="3441"/>
      <c r="D122" s="3430">
        <f ca="1">H107</f>
        <v>9050</v>
      </c>
      <c r="E122" s="3431"/>
      <c r="F122" s="3431"/>
      <c r="G122" s="3431"/>
      <c r="H122" s="3431"/>
      <c r="I122" s="3432"/>
      <c r="AA122" s="733"/>
    </row>
    <row r="123" spans="1:27" ht="18.75" customHeight="1">
      <c r="A123" s="3429" t="s">
        <v>2075</v>
      </c>
      <c r="B123" s="3429"/>
      <c r="C123" s="3429"/>
      <c r="D123" s="3435" t="str">
        <f ca="1">NUMBERSTRING(INT(D122*10000),2)&amp;"元整"</f>
        <v>玖仟零伍拾万元整</v>
      </c>
      <c r="E123" s="3437"/>
      <c r="F123" s="3437"/>
      <c r="G123" s="3437"/>
      <c r="H123" s="3437"/>
      <c r="I123" s="3436"/>
      <c r="AA123" s="733"/>
    </row>
    <row r="124" spans="1:27" ht="18.75" customHeight="1">
      <c r="A124" s="3441" t="str">
        <f>IF(项目基本情况!B9="房地产市场价值","",MID(E109,3,LEN(E109)-2))</f>
        <v/>
      </c>
      <c r="B124" s="3441"/>
      <c r="C124" s="3441"/>
      <c r="D124" s="3430" t="str">
        <f>H109</f>
        <v>——</v>
      </c>
      <c r="E124" s="3431"/>
      <c r="F124" s="3431"/>
      <c r="G124" s="3431"/>
      <c r="H124" s="3431"/>
      <c r="I124" s="3432"/>
      <c r="AA124" s="733"/>
    </row>
    <row r="125" spans="1:27" ht="18.75" customHeight="1">
      <c r="A125" s="3429" t="s">
        <v>2075</v>
      </c>
      <c r="B125" s="3429"/>
      <c r="C125" s="3429"/>
      <c r="D125" s="3435" t="e">
        <f>NUMBERSTRING(INT(D124*10000),2)&amp;"元整"</f>
        <v>#VALUE!</v>
      </c>
      <c r="E125" s="3437"/>
      <c r="F125" s="3437"/>
      <c r="G125" s="3437"/>
      <c r="H125" s="3437"/>
      <c r="I125" s="3436"/>
      <c r="AA125" s="733"/>
    </row>
    <row r="126" spans="1:27" ht="18.75" customHeight="1">
      <c r="A126" s="3441" t="str">
        <f>IF(项目基本情况!B9="房地产市场价值","",MID(E111,3,LEN(E111)-2))</f>
        <v/>
      </c>
      <c r="B126" s="3441"/>
      <c r="C126" s="3441"/>
      <c r="D126" s="3430" t="str">
        <f>H111</f>
        <v>——</v>
      </c>
      <c r="E126" s="3431"/>
      <c r="F126" s="3431"/>
      <c r="G126" s="3431"/>
      <c r="H126" s="3431"/>
      <c r="I126" s="3432"/>
      <c r="AA126" s="733"/>
    </row>
    <row r="127" spans="1:27" ht="18.75" customHeight="1">
      <c r="A127" s="3429" t="s">
        <v>2075</v>
      </c>
      <c r="B127" s="3429"/>
      <c r="C127" s="3429"/>
      <c r="D127" s="3435" t="e">
        <f>NUMBERSTRING(INT(D126*10000),2)&amp;"元整"</f>
        <v>#VALUE!</v>
      </c>
      <c r="E127" s="3437"/>
      <c r="F127" s="3437"/>
      <c r="G127" s="3437"/>
      <c r="H127" s="3437"/>
      <c r="I127" s="3436"/>
      <c r="AA127" s="733"/>
    </row>
    <row r="128" spans="1:27" ht="21.75" customHeight="1">
      <c r="A128" s="3438" t="s">
        <v>2076</v>
      </c>
      <c r="B128" s="3438"/>
      <c r="C128" s="3438"/>
      <c r="D128" s="3438"/>
      <c r="E128" s="3438"/>
      <c r="F128" s="3438"/>
      <c r="G128" s="3438"/>
      <c r="H128" s="3438"/>
      <c r="I128" s="343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7" sqref="C7"/>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2084</v>
      </c>
      <c r="B1" s="1623" t="s">
        <v>3236</v>
      </c>
      <c r="C1" s="203"/>
      <c r="D1" s="203"/>
      <c r="E1" s="203"/>
      <c r="F1" s="203"/>
      <c r="G1" s="1259">
        <f>MATCH(B1,'数据-取费表'!A6:A16,0)+5</f>
        <v>7</v>
      </c>
    </row>
    <row r="2" spans="1:9" s="205" customFormat="1" ht="18" customHeight="1">
      <c r="A2" s="206" t="s">
        <v>2085</v>
      </c>
      <c r="B2" s="207">
        <f ca="1">IF(D2="——",C52,C52-E2)</f>
        <v>8936</v>
      </c>
      <c r="C2" s="204" t="s">
        <v>2086</v>
      </c>
      <c r="D2" s="2008" t="s">
        <v>70</v>
      </c>
      <c r="E2" s="1302" t="e">
        <f ca="1">SUMIF(INDIRECT("'"&amp;G2&amp;"'"&amp;"!A:A"),"承租人权益价值",INDIRECT("'"&amp;G2&amp;"'"&amp;"!c:c"))</f>
        <v>#REF!</v>
      </c>
      <c r="F2" s="2009" t="s">
        <v>2086</v>
      </c>
      <c r="G2" s="2010"/>
    </row>
    <row r="3" spans="1:9" s="205" customFormat="1" ht="18" customHeight="1" thickBot="1">
      <c r="A3" s="208" t="s">
        <v>1297</v>
      </c>
      <c r="B3" s="209">
        <f ca="1">ROUND(B2*10000/(IF(B1="",'数据-汇总表'!E3,INDIRECT("'数据-取费表'!k"&amp;$G$1))),0)</f>
        <v>35142</v>
      </c>
      <c r="C3" s="204" t="s">
        <v>2088</v>
      </c>
      <c r="D3" s="204"/>
      <c r="E3" s="204"/>
      <c r="F3" s="204"/>
      <c r="G3" s="204"/>
    </row>
    <row r="4" spans="1:9" s="213" customFormat="1" ht="16.2">
      <c r="A4" s="210" t="s">
        <v>2089</v>
      </c>
      <c r="B4" s="211"/>
      <c r="C4" s="211"/>
      <c r="D4" s="211"/>
      <c r="E4" s="211"/>
      <c r="F4" s="211"/>
      <c r="G4" s="212"/>
    </row>
    <row r="5" spans="1:9" s="219" customFormat="1" ht="13.5" customHeight="1">
      <c r="A5" s="260" t="s">
        <v>2090</v>
      </c>
      <c r="B5" s="215" t="s">
        <v>2091</v>
      </c>
      <c r="C5" s="216">
        <f ca="1">C6+C7+C8</f>
        <v>5481</v>
      </c>
      <c r="D5" s="216" t="s">
        <v>2092</v>
      </c>
      <c r="E5" s="217" t="s">
        <v>2093</v>
      </c>
      <c r="F5" s="217" t="s">
        <v>2094</v>
      </c>
      <c r="G5" s="218"/>
    </row>
    <row r="6" spans="1:9" s="219" customFormat="1" ht="13.5" customHeight="1">
      <c r="A6" s="885" t="s">
        <v>794</v>
      </c>
      <c r="B6" s="220" t="s">
        <v>2096</v>
      </c>
      <c r="C6" s="221">
        <f>信息!L23</f>
        <v>5269</v>
      </c>
      <c r="D6" s="222"/>
      <c r="E6" s="223"/>
      <c r="F6" s="223"/>
      <c r="G6" s="224"/>
    </row>
    <row r="7" spans="1:9" s="219" customFormat="1" ht="13.5" customHeight="1">
      <c r="A7" s="885" t="s">
        <v>2097</v>
      </c>
      <c r="B7" s="220" t="s">
        <v>2098</v>
      </c>
      <c r="C7" s="225">
        <f>ROUND(C6*F7,0)</f>
        <v>161</v>
      </c>
      <c r="D7" s="225"/>
      <c r="E7" s="223"/>
      <c r="F7" s="226">
        <f>IF(项目基本情况!B8="出让",0,'数据-取费表'!B48+'数据-取费表'!B49)</f>
        <v>3.0499999999999999E-2</v>
      </c>
      <c r="G7" s="224"/>
    </row>
    <row r="8" spans="1:9" s="228" customFormat="1">
      <c r="A8" s="885" t="s">
        <v>793</v>
      </c>
      <c r="B8" s="220" t="s">
        <v>2100</v>
      </c>
      <c r="C8" s="225">
        <f ca="1">IF(G8="已包含在土地购买价格中","0",IF(B1="",'数据-取费表'!B29,IF(G9="全部缴纳",C9+C10,H9)))</f>
        <v>51</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51</v>
      </c>
      <c r="D10" s="953">
        <f ca="1">IF(B1="",'数据-汇总表'!E6,IF(INDIRECT("'数据-取费表'!c"&amp;$G$1)="住宅",INDIRECT("'数据-取费表'!s"&amp;$G$1),INDIRECT("'数据-取费表'!k"&amp;$G$1)+INDIRECT("'数据-取费表'!s"&amp;$G$1)))</f>
        <v>2542.8199999999997</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2542.8199999999997</v>
      </c>
      <c r="E19" s="216">
        <f>'数据-取费表'!B31</f>
        <v>200</v>
      </c>
      <c r="F19" s="236"/>
      <c r="G19" s="2011" t="s">
        <v>3192</v>
      </c>
    </row>
    <row r="20" spans="1:7" s="219" customFormat="1" ht="13.5" customHeight="1">
      <c r="A20" s="260" t="s">
        <v>2116</v>
      </c>
      <c r="B20" s="215" t="s">
        <v>2117</v>
      </c>
      <c r="C20" s="237">
        <f ca="1">ROUND((C5+C19)*F20,0)</f>
        <v>110</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475</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470</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793</v>
      </c>
      <c r="B25" s="220" t="s">
        <v>2132</v>
      </c>
      <c r="C25" s="1236">
        <f ca="1">ROUND(IF('数据-取费表'!B22&lt;=1,C20*F22*'数据-取费表'!B23/2,C20*(POWER((1+F22),'数据-取费表'!B23/2)-1)),0)</f>
        <v>5</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6.4">
      <c r="A27" s="260" t="s">
        <v>2135</v>
      </c>
      <c r="B27" s="249" t="s">
        <v>2136</v>
      </c>
      <c r="C27" s="250">
        <f ca="1">C28</f>
        <v>1118</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1118</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7793</v>
      </c>
      <c r="D31" s="235"/>
      <c r="E31" s="216"/>
      <c r="F31" s="255"/>
      <c r="G31" s="239" t="s">
        <v>2145</v>
      </c>
    </row>
    <row r="32" spans="1:7" s="213" customFormat="1" ht="16.2">
      <c r="A32" s="257" t="s">
        <v>2146</v>
      </c>
      <c r="B32" s="258"/>
      <c r="C32" s="258"/>
      <c r="D32" s="258"/>
      <c r="E32" s="258"/>
      <c r="F32" s="258"/>
      <c r="G32" s="259"/>
    </row>
    <row r="33" spans="1:7" s="219" customFormat="1" ht="13.5" customHeight="1">
      <c r="A33" s="260" t="s">
        <v>782</v>
      </c>
      <c r="B33" s="215" t="s">
        <v>2147</v>
      </c>
      <c r="C33" s="261">
        <f ca="1">SUM(C34:C38)</f>
        <v>848</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763</v>
      </c>
      <c r="D34" s="222"/>
      <c r="E34" s="225"/>
      <c r="F34" s="262">
        <f ca="1">IF('数据-取费表'!B24=0,1,IF(B1="",'数据-取费表'!N16,INDIRECT("'数据-取费表'!n"&amp;$G$1)))</f>
        <v>1</v>
      </c>
      <c r="G34" s="224" t="s">
        <v>2149</v>
      </c>
    </row>
    <row r="35" spans="1:7" ht="13.5" customHeight="1">
      <c r="A35" s="887" t="s">
        <v>796</v>
      </c>
      <c r="B35" s="220" t="s">
        <v>2150</v>
      </c>
      <c r="C35" s="225">
        <f ca="1">ROUND(C34*F35,0)</f>
        <v>23</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51</v>
      </c>
      <c r="D37" s="222">
        <f ca="1">D19</f>
        <v>2542.8199999999997</v>
      </c>
      <c r="E37" s="254">
        <f>'数据-取费表'!B35</f>
        <v>200</v>
      </c>
      <c r="F37" s="264"/>
      <c r="G37" s="266" t="s">
        <v>2155</v>
      </c>
    </row>
    <row r="38" spans="1:7" ht="13.5" customHeight="1">
      <c r="A38" s="887" t="s">
        <v>799</v>
      </c>
      <c r="B38" s="220" t="s">
        <v>2156</v>
      </c>
      <c r="C38" s="225">
        <f ca="1">ROUND(C34*F38,0)</f>
        <v>11</v>
      </c>
      <c r="D38" s="225"/>
      <c r="E38" s="225"/>
      <c r="F38" s="264">
        <f>'数据-取费表'!B36</f>
        <v>1.4999999999999999E-2</v>
      </c>
      <c r="G38" s="224" t="s">
        <v>2151</v>
      </c>
    </row>
    <row r="39" spans="1:7" s="219" customFormat="1" ht="13.5" customHeight="1">
      <c r="A39" s="260" t="s">
        <v>2157</v>
      </c>
      <c r="B39" s="215" t="s">
        <v>2158</v>
      </c>
      <c r="C39" s="237">
        <f ca="1">ROUND(C33*F20,0)</f>
        <v>17</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37</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36</v>
      </c>
      <c r="D42" s="243"/>
      <c r="E42" s="243"/>
      <c r="F42" s="244"/>
      <c r="G42" s="3511" t="s">
        <v>2167</v>
      </c>
    </row>
    <row r="43" spans="1:7" ht="13.5" customHeight="1">
      <c r="A43" s="887" t="s">
        <v>792</v>
      </c>
      <c r="B43" s="220" t="s">
        <v>2168</v>
      </c>
      <c r="C43" s="243">
        <f ca="1">ROUND(IF('数据-取费表'!B22&lt;=1,C39*F22*'数据-取费表'!B21/2,C39*(POWER((1+F22),'数据-取费表'!B21/2)-1)),0)</f>
        <v>1</v>
      </c>
      <c r="D43" s="243"/>
      <c r="E43" s="243"/>
      <c r="F43" s="244"/>
      <c r="G43" s="3512"/>
    </row>
    <row r="44" spans="1:7" ht="13.5" customHeight="1">
      <c r="A44" s="887" t="s">
        <v>793</v>
      </c>
      <c r="B44" s="220" t="s">
        <v>2169</v>
      </c>
      <c r="C44" s="243">
        <f ca="1">ROUND(IF('数据-取费表'!B22&lt;=1,C40*F22*'数据-取费表'!B21/2,C40*(POWER((1+F22),'数据-取费表'!B21/2)-1)),4)</f>
        <v>8.0000000000000004E-4</v>
      </c>
      <c r="D44" s="243"/>
      <c r="E44" s="243"/>
      <c r="F44" s="244"/>
      <c r="G44" s="3513"/>
    </row>
    <row r="45" spans="1:7" s="219" customFormat="1" ht="13.5" customHeight="1">
      <c r="A45" s="260" t="s">
        <v>2170</v>
      </c>
      <c r="B45" s="249" t="s">
        <v>2136</v>
      </c>
      <c r="C45" s="250">
        <f ca="1">C46</f>
        <v>173</v>
      </c>
      <c r="D45" s="240">
        <f ca="1">C47</f>
        <v>4.0000000000000001E-3</v>
      </c>
      <c r="E45" s="241" t="s">
        <v>2162</v>
      </c>
      <c r="F45" s="2506">
        <f ca="1">F27</f>
        <v>0.2</v>
      </c>
      <c r="G45" s="252" t="s">
        <v>2171</v>
      </c>
    </row>
    <row r="46" spans="1:7" s="219" customFormat="1" ht="13.5" customHeight="1">
      <c r="A46" s="887" t="s">
        <v>791</v>
      </c>
      <c r="B46" s="253" t="s">
        <v>2172</v>
      </c>
      <c r="C46" s="254">
        <f ca="1">ROUND((C33+C39)*F27,0)</f>
        <v>173</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1166</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1143</v>
      </c>
      <c r="D51" s="237"/>
      <c r="E51" s="237"/>
      <c r="F51" s="269"/>
      <c r="G51" s="239" t="s">
        <v>2183</v>
      </c>
    </row>
    <row r="52" spans="1:7" s="213" customFormat="1" ht="16.8" thickBot="1">
      <c r="A52" s="270" t="s">
        <v>2184</v>
      </c>
      <c r="B52" s="271"/>
      <c r="C52" s="272">
        <f ca="1">C31+C51</f>
        <v>8936</v>
      </c>
      <c r="D52" s="271"/>
      <c r="E52" s="271"/>
      <c r="F52" s="271"/>
      <c r="G52" s="273"/>
    </row>
    <row r="55" spans="1:7" ht="15">
      <c r="B55" s="275" t="s">
        <v>2185</v>
      </c>
      <c r="C55" s="276"/>
    </row>
    <row r="56" spans="1:7">
      <c r="B56" s="278" t="s">
        <v>1415</v>
      </c>
      <c r="C56" s="280">
        <f ca="1">1-C57</f>
        <v>0.872</v>
      </c>
    </row>
    <row r="57" spans="1:7">
      <c r="B57" s="278" t="s">
        <v>1416</v>
      </c>
      <c r="C57" s="279">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10" sqref="F1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5.44140625" style="263" customWidth="1"/>
    <col min="8" max="8" width="8.44140625" style="263" customWidth="1"/>
    <col min="9" max="9" width="21.21875" style="263" customWidth="1"/>
    <col min="10" max="10" width="12.21875" style="263" customWidth="1"/>
    <col min="11" max="11" width="45.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1491</v>
      </c>
      <c r="B1" s="721"/>
      <c r="C1" s="1532" t="s">
        <v>3236</v>
      </c>
      <c r="D1" s="1515" t="s">
        <v>70</v>
      </c>
      <c r="E1" s="1516" t="s">
        <v>1289</v>
      </c>
      <c r="F1" s="1192">
        <f ca="1">J53</f>
        <v>33.840000000000003</v>
      </c>
      <c r="G1" s="1531">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9164</v>
      </c>
      <c r="C2" s="1540" t="s">
        <v>1418</v>
      </c>
      <c r="D2" s="1540"/>
      <c r="E2" s="1541"/>
      <c r="F2" s="1542"/>
      <c r="G2" s="2902"/>
      <c r="H2" s="2891"/>
      <c r="I2" s="2891"/>
      <c r="J2" s="2891"/>
      <c r="K2" s="2892"/>
      <c r="L2" s="2891"/>
      <c r="M2" s="2891"/>
    </row>
    <row r="3" spans="1:37" ht="18" customHeight="1" thickBot="1">
      <c r="A3" s="1543" t="s">
        <v>1419</v>
      </c>
      <c r="B3" s="1544">
        <f ca="1">IF(ISERROR(B2*10000/F43),0,ROUND(B2*10000/F43,0))</f>
        <v>36039</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501</v>
      </c>
      <c r="D5" s="1517" t="s">
        <v>1304</v>
      </c>
      <c r="E5" s="1202"/>
      <c r="F5" s="1203"/>
      <c r="G5" s="1537"/>
      <c r="H5" s="304">
        <v>1</v>
      </c>
      <c r="I5" s="305" t="s">
        <v>1303</v>
      </c>
      <c r="J5" s="1201">
        <f ca="1">J6+J10+J12</f>
        <v>0</v>
      </c>
      <c r="K5" s="1517" t="s">
        <v>1304</v>
      </c>
      <c r="L5" s="1202"/>
      <c r="M5" s="1203"/>
    </row>
    <row r="6" spans="1:37" ht="18" customHeight="1">
      <c r="A6" s="1200" t="s">
        <v>1003</v>
      </c>
      <c r="B6" s="3516" t="s">
        <v>1305</v>
      </c>
      <c r="C6" s="1205">
        <f ca="1">ROUND(F6*F8*F7*(1-F9)/10000,0)</f>
        <v>500</v>
      </c>
      <c r="D6" s="159" t="s">
        <v>2786</v>
      </c>
      <c r="E6" s="307" t="s">
        <v>1307</v>
      </c>
      <c r="F6" s="308">
        <f ca="1">INDIRECT("'数据-取费表'!u"&amp;$G$1)</f>
        <v>5.99</v>
      </c>
      <c r="G6" s="1537"/>
      <c r="H6" s="1200" t="s">
        <v>1003</v>
      </c>
      <c r="I6" s="3516" t="s">
        <v>1305</v>
      </c>
      <c r="J6" s="306">
        <f ca="1">ROUND(M6*M8*M7*(1-M9)/10000,0)</f>
        <v>0</v>
      </c>
      <c r="K6" s="159" t="s">
        <v>2785</v>
      </c>
      <c r="L6" s="307" t="s">
        <v>1307</v>
      </c>
      <c r="M6" s="308">
        <f ca="1">INDIRECT("'数据-取费表'!z"&amp;$G$1)</f>
        <v>0</v>
      </c>
    </row>
    <row r="7" spans="1:37" ht="18" customHeight="1">
      <c r="A7" s="1204"/>
      <c r="B7" s="3517"/>
      <c r="C7" s="1206"/>
      <c r="D7" s="312"/>
      <c r="E7" s="3222" t="s">
        <v>1308</v>
      </c>
      <c r="F7" s="308">
        <f ca="1">IF(INDIRECT("'数据-取费表'!ah"&amp;$G$1)="",INDIRECT("'数据-取费表'!k"&amp;$G$1),INDIRECT("'数据-取费表'!ah"&amp;$G$1))</f>
        <v>2542.8199999999997</v>
      </c>
      <c r="G7" s="1537"/>
      <c r="H7" s="309"/>
      <c r="I7" s="3517"/>
      <c r="J7" s="311"/>
      <c r="K7" s="312"/>
      <c r="L7" s="307" t="s">
        <v>1308</v>
      </c>
      <c r="M7" s="308">
        <f ca="1">F7</f>
        <v>2542.8199999999997</v>
      </c>
    </row>
    <row r="8" spans="1:37" ht="18" customHeight="1">
      <c r="A8" s="309"/>
      <c r="B8" s="3517"/>
      <c r="C8" s="311"/>
      <c r="D8" s="312"/>
      <c r="E8" s="307" t="s">
        <v>1309</v>
      </c>
      <c r="F8" s="308">
        <f ca="1">INDIRECT("'数据-取费表'!ai"&amp;$G$1)</f>
        <v>365</v>
      </c>
      <c r="G8" s="1537"/>
      <c r="H8" s="309"/>
      <c r="I8" s="3517"/>
      <c r="J8" s="311"/>
      <c r="K8" s="312"/>
      <c r="L8" s="307" t="s">
        <v>1309</v>
      </c>
      <c r="M8" s="308">
        <f ca="1">INDIRECT("'数据-取费表'!ai"&amp;$G$1)</f>
        <v>365</v>
      </c>
    </row>
    <row r="9" spans="1:37" ht="18" customHeight="1">
      <c r="A9" s="309"/>
      <c r="B9" s="3518"/>
      <c r="C9" s="311"/>
      <c r="D9" s="312"/>
      <c r="E9" s="307" t="s">
        <v>1310</v>
      </c>
      <c r="F9" s="317">
        <f ca="1">INDIRECT("'数据-取费表'!w"&amp;$G$1)</f>
        <v>0.1</v>
      </c>
      <c r="G9" s="1537"/>
      <c r="H9" s="309"/>
      <c r="I9" s="3518"/>
      <c r="J9" s="311"/>
      <c r="K9" s="312"/>
      <c r="L9" s="318" t="s">
        <v>1310</v>
      </c>
      <c r="M9" s="319">
        <f ca="1">INDIRECT("'数据-取费表'!ab"&amp;$G$1)</f>
        <v>0</v>
      </c>
    </row>
    <row r="10" spans="1:37" ht="18" customHeight="1">
      <c r="A10" s="1200" t="s">
        <v>1007</v>
      </c>
      <c r="B10" s="1518" t="s">
        <v>1311</v>
      </c>
      <c r="C10" s="321">
        <f ca="1">ROUND(IF(F10="押一",C6/12*F11,IF(F10="押二",C6/12*2*F11,IF(F10="押三",C6/12*3*F11,C11*F11))),0)</f>
        <v>1</v>
      </c>
      <c r="D10" s="1519" t="s">
        <v>2794</v>
      </c>
      <c r="E10" s="318" t="s">
        <v>1312</v>
      </c>
      <c r="F10" s="1247"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1143</v>
      </c>
      <c r="D13" s="3215" t="s">
        <v>1317</v>
      </c>
      <c r="E13" s="3215"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763</v>
      </c>
      <c r="D14" s="3232" t="s">
        <v>1320</v>
      </c>
      <c r="E14" s="3231"/>
      <c r="F14" s="324"/>
      <c r="G14" s="1537"/>
      <c r="H14" s="1112" t="s">
        <v>1003</v>
      </c>
      <c r="I14" s="307" t="s">
        <v>1321</v>
      </c>
      <c r="J14" s="23">
        <f ca="1">C29</f>
        <v>1166</v>
      </c>
      <c r="K14" s="3220"/>
      <c r="L14" s="915"/>
      <c r="M14" s="916"/>
    </row>
    <row r="15" spans="1:37" s="1550" customFormat="1" ht="18" customHeight="1" thickBot="1">
      <c r="A15" s="1112" t="s">
        <v>1004</v>
      </c>
      <c r="B15" s="307" t="s">
        <v>1322</v>
      </c>
      <c r="C15" s="23">
        <f ca="1">ROUND(C14*F15,0)</f>
        <v>23</v>
      </c>
      <c r="D15" s="3216" t="s">
        <v>1323</v>
      </c>
      <c r="E15" s="3216"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28</v>
      </c>
      <c r="K16" s="1218" t="s">
        <v>1327</v>
      </c>
      <c r="L16" s="3236"/>
      <c r="M16" s="1203"/>
    </row>
    <row r="17" spans="1:37" s="1550" customFormat="1" ht="18" customHeight="1">
      <c r="A17" s="1112" t="s">
        <v>1292</v>
      </c>
      <c r="B17" s="307" t="s">
        <v>1328</v>
      </c>
      <c r="C17" s="23">
        <f ca="1">ROUND(F17*(F43+INDIRECT("'数据-取费表'!S"&amp;$G$1))/10000,0)</f>
        <v>51</v>
      </c>
      <c r="D17" s="307" t="s">
        <v>1329</v>
      </c>
      <c r="E17" s="307" t="s">
        <v>1330</v>
      </c>
      <c r="F17" s="25">
        <f>'数据-取费表'!B35</f>
        <v>200</v>
      </c>
      <c r="G17" s="1549"/>
      <c r="H17" s="1112" t="s">
        <v>1003</v>
      </c>
      <c r="I17" s="307" t="s">
        <v>1331</v>
      </c>
      <c r="J17" s="2503">
        <f ca="1">ROUND(IF(AND(项目基本情况!B11="自然人",项目基本情况!B10="北京市"),J6*M17/(1+'数据-取费表'!C42),J18+J19+J20),0)</f>
        <v>10</v>
      </c>
      <c r="K17" s="3232" t="s">
        <v>1332</v>
      </c>
      <c r="L17" s="3235"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11</v>
      </c>
      <c r="D18" s="307" t="s">
        <v>1323</v>
      </c>
      <c r="E18" s="307" t="s">
        <v>1324</v>
      </c>
      <c r="F18" s="327">
        <f>'数据-取费表'!B36</f>
        <v>1.4999999999999999E-2</v>
      </c>
      <c r="G18" s="1549"/>
      <c r="H18" s="1112" t="s">
        <v>1002</v>
      </c>
      <c r="I18" s="307" t="s">
        <v>1335</v>
      </c>
      <c r="J18" s="23">
        <f ca="1">ROUND(J6*M18/(1+'数据-取费表'!C42),2)</f>
        <v>0</v>
      </c>
      <c r="K18" s="3235"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848</v>
      </c>
      <c r="D19" s="135" t="s">
        <v>1338</v>
      </c>
      <c r="E19" s="3239"/>
      <c r="F19" s="25"/>
      <c r="G19" s="1537"/>
      <c r="H19" s="1112" t="s">
        <v>1004</v>
      </c>
      <c r="I19" s="307" t="s">
        <v>1339</v>
      </c>
      <c r="J19" s="23">
        <f ca="1">IF(K19="按租金收入计税",ROUND(J6*M19/(1+'数据-取费表'!C42),2),ROUND(C29*M19*0.7,2))</f>
        <v>9.7899999999999991</v>
      </c>
      <c r="K19" s="1523" t="s">
        <v>1340</v>
      </c>
      <c r="L19" s="307" t="s">
        <v>1324</v>
      </c>
      <c r="M19" s="327">
        <f>IF(K19="按租金收入计税",'数据-取费表'!B51,'数据-取费表'!B50)</f>
        <v>1.2E-2</v>
      </c>
    </row>
    <row r="20" spans="1:37" s="1550" customFormat="1" ht="18" customHeight="1">
      <c r="A20" s="1112" t="s">
        <v>1007</v>
      </c>
      <c r="B20" s="307" t="s">
        <v>1341</v>
      </c>
      <c r="C20" s="23">
        <f ca="1">ROUND(C19*F20,0)</f>
        <v>17</v>
      </c>
      <c r="D20" s="328" t="s">
        <v>1342</v>
      </c>
      <c r="E20" s="307" t="s">
        <v>1324</v>
      </c>
      <c r="F20" s="327">
        <f>'数据-取费表'!B37</f>
        <v>0.02</v>
      </c>
      <c r="G20" s="1549"/>
      <c r="H20" s="1112" t="s">
        <v>1291</v>
      </c>
      <c r="I20" s="159" t="s">
        <v>1343</v>
      </c>
      <c r="J20" s="24">
        <f ca="1">ROUND(M20*M21/10000,2)</f>
        <v>0.27</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908.15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3239"/>
      <c r="F22" s="25"/>
      <c r="G22" s="1537"/>
      <c r="H22" s="1112" t="s">
        <v>1007</v>
      </c>
      <c r="I22" s="307" t="s">
        <v>1351</v>
      </c>
      <c r="J22" s="23">
        <f ca="1">ROUND(J14*M22,1)</f>
        <v>17.5</v>
      </c>
      <c r="K22" s="3235"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37</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3235" t="s">
        <v>1356</v>
      </c>
      <c r="L23" s="307" t="s">
        <v>1324</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1294</v>
      </c>
      <c r="I24" s="1221" t="s">
        <v>1341</v>
      </c>
      <c r="J24" s="1222">
        <f ca="1">ROUND(J5*M24,1)</f>
        <v>0</v>
      </c>
      <c r="K24" s="1223" t="s">
        <v>1361</v>
      </c>
      <c r="L24" s="1221" t="s">
        <v>1324</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3239"/>
      <c r="F25" s="25"/>
      <c r="G25" s="1537"/>
      <c r="H25" s="1210" t="s">
        <v>999</v>
      </c>
      <c r="I25" s="1225" t="s">
        <v>1365</v>
      </c>
      <c r="J25" s="315">
        <f ca="1">J5-J16</f>
        <v>-28</v>
      </c>
      <c r="K25" s="1226" t="s">
        <v>1366</v>
      </c>
      <c r="L25" s="1227"/>
      <c r="M25" s="1228"/>
    </row>
    <row r="26" spans="1:37">
      <c r="A26" s="1112" t="s">
        <v>1002</v>
      </c>
      <c r="B26" s="307" t="s">
        <v>1367</v>
      </c>
      <c r="C26" s="23">
        <f ca="1">ROUND((C19+C20)*F26,0)</f>
        <v>173</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16"/>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1166</v>
      </c>
      <c r="D29" s="1223"/>
      <c r="E29" s="1221"/>
      <c r="F29" s="1224"/>
      <c r="G29" s="1549"/>
      <c r="H29" s="339" t="s">
        <v>1001</v>
      </c>
      <c r="I29" s="340" t="s">
        <v>1381</v>
      </c>
      <c r="J29" s="341">
        <f ca="1">ROUND(J26/(1+F40)^F41,0)</f>
        <v>0</v>
      </c>
      <c r="K29" s="342" t="s">
        <v>1382</v>
      </c>
      <c r="L29" s="343"/>
      <c r="M29" s="344">
        <f ca="1">INDIRECT("'数据-取费表'!k"&amp;$G$1)</f>
        <v>2542.8199999999997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110</v>
      </c>
      <c r="D30" s="1218" t="s">
        <v>1327</v>
      </c>
      <c r="E30" s="3236"/>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84</v>
      </c>
      <c r="D31" s="3232" t="s">
        <v>1332</v>
      </c>
      <c r="E31" s="3235"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26.67</v>
      </c>
      <c r="D32" s="3235"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57.14</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0.27</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908.15</v>
      </c>
      <c r="G35" s="1537"/>
      <c r="H35" s="2893"/>
      <c r="I35" s="1551"/>
      <c r="J35" s="1552"/>
      <c r="K35" s="2897"/>
      <c r="L35" s="2896"/>
      <c r="M35" s="2896"/>
    </row>
    <row r="36" spans="1:18" ht="18" customHeight="1">
      <c r="A36" s="1233" t="s">
        <v>1007</v>
      </c>
      <c r="B36" s="307" t="s">
        <v>1351</v>
      </c>
      <c r="C36" s="23">
        <f ca="1">ROUND(C29*F36,1)</f>
        <v>17.5</v>
      </c>
      <c r="D36" s="3235"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1.1000000000000001</v>
      </c>
      <c r="D37" s="3235" t="s">
        <v>1356</v>
      </c>
      <c r="E37" s="307" t="s">
        <v>1324</v>
      </c>
      <c r="F37" s="335">
        <f ca="1">INDIRECT("'数据-取费表'!Al"&amp;$G$1)</f>
        <v>1E-3</v>
      </c>
      <c r="G37" s="1537"/>
      <c r="H37" s="2896"/>
      <c r="I37" s="1551"/>
      <c r="J37" s="1552"/>
      <c r="K37" s="2737"/>
      <c r="L37" s="2896"/>
      <c r="M37" s="2896"/>
    </row>
    <row r="38" spans="1:18" ht="18" customHeight="1" thickBot="1">
      <c r="A38" s="1220" t="s">
        <v>1294</v>
      </c>
      <c r="B38" s="1221" t="s">
        <v>1341</v>
      </c>
      <c r="C38" s="1222">
        <f ca="1">ROUND(C5*F38,1)</f>
        <v>7.5</v>
      </c>
      <c r="D38" s="1223" t="s">
        <v>1361</v>
      </c>
      <c r="E38" s="1221" t="s">
        <v>1324</v>
      </c>
      <c r="F38" s="1217">
        <f ca="1">INDIRECT("'数据-取费表'!Am"&amp;$G$1)</f>
        <v>1.4999999999999999E-2</v>
      </c>
      <c r="G38" s="1537"/>
      <c r="H38" s="2896"/>
      <c r="I38" s="1551"/>
      <c r="J38" s="1552"/>
      <c r="K38" s="2900"/>
      <c r="L38" s="2896"/>
      <c r="M38" s="2896"/>
    </row>
    <row r="39" spans="1:18" ht="24.6" customHeight="1" thickTop="1">
      <c r="A39" s="1210" t="s">
        <v>999</v>
      </c>
      <c r="B39" s="1225" t="s">
        <v>1365</v>
      </c>
      <c r="C39" s="315">
        <f ca="1">C5-C30</f>
        <v>391</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8693</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34186</v>
      </c>
      <c r="D43" s="342" t="s">
        <v>1390</v>
      </c>
      <c r="E43" s="343" t="s">
        <v>1391</v>
      </c>
      <c r="F43" s="344">
        <f ca="1">INDIRECT("'数据-取费表'!k"&amp;$G$1)</f>
        <v>2542.8199999999997</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8" thickBot="1">
      <c r="A46" s="1557" t="s">
        <v>1422</v>
      </c>
      <c r="C46" s="1558">
        <f ca="1">C68-C40</f>
        <v>-10473</v>
      </c>
      <c r="D46" s="1559" t="str">
        <f>C2</f>
        <v>万元</v>
      </c>
      <c r="E46" s="1553"/>
      <c r="F46" s="1553"/>
      <c r="I46" s="1560" t="s">
        <v>1423</v>
      </c>
      <c r="J46" s="1561"/>
      <c r="K46" s="1562"/>
      <c r="L46" s="1563">
        <f ca="1">IF(M47="住宅",0,IF(L48&gt;J51,L60,J60))</f>
        <v>471</v>
      </c>
      <c r="O46" s="1564" t="s">
        <v>1424</v>
      </c>
      <c r="P46" s="1565" t="s">
        <v>1425</v>
      </c>
      <c r="Q46" s="1566" t="s">
        <v>1426</v>
      </c>
      <c r="R46" s="1566" t="s">
        <v>1427</v>
      </c>
    </row>
    <row r="47" spans="1:18" s="1537" customFormat="1" ht="13.8"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8693</v>
      </c>
      <c r="R47" s="1573" t="s">
        <v>1431</v>
      </c>
    </row>
    <row r="48" spans="1:18" s="1537" customFormat="1" ht="40.200000000000003" thickBot="1">
      <c r="A48" s="1241" t="s">
        <v>1044</v>
      </c>
      <c r="B48" s="305" t="s">
        <v>1303</v>
      </c>
      <c r="C48" s="3238">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471</v>
      </c>
      <c r="R48" s="1573" t="s">
        <v>1435</v>
      </c>
    </row>
    <row r="49" spans="1:18" s="1537" customFormat="1" ht="13.8"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1166</v>
      </c>
      <c r="R49" s="1573" t="s">
        <v>1431</v>
      </c>
    </row>
    <row r="50" spans="1:18" s="1537" customFormat="1" ht="13.8" thickBot="1">
      <c r="A50" s="1106"/>
      <c r="B50" s="1109"/>
      <c r="C50" s="1249"/>
      <c r="D50" s="1083"/>
      <c r="E50" s="1186" t="s">
        <v>1308</v>
      </c>
      <c r="F50" s="1187">
        <f ca="1">F7</f>
        <v>2542.8199999999997</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8"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5870</v>
      </c>
      <c r="M51" s="1589"/>
      <c r="O51" s="1581" t="s">
        <v>1012</v>
      </c>
      <c r="P51" s="1572" t="s">
        <v>1444</v>
      </c>
      <c r="Q51" s="1584">
        <f>J52</f>
        <v>1.1000000000000001E-3</v>
      </c>
      <c r="R51" s="1573"/>
    </row>
    <row r="52" spans="1:18" s="1537" customFormat="1" ht="13.8" thickBot="1">
      <c r="A52" s="1107"/>
      <c r="B52" s="1109"/>
      <c r="C52" s="1110"/>
      <c r="D52" s="1083"/>
      <c r="E52" s="1111" t="s">
        <v>1310</v>
      </c>
      <c r="F52" s="1184"/>
      <c r="I52" s="1590" t="s">
        <v>1445</v>
      </c>
      <c r="J52" s="1591">
        <f>'数据-取费表'!I7*2%</f>
        <v>1.1000000000000001E-3</v>
      </c>
      <c r="K52" s="1590" t="s">
        <v>1446</v>
      </c>
      <c r="L52" s="1591"/>
      <c r="O52" s="1581" t="s">
        <v>1013</v>
      </c>
      <c r="P52" s="1572" t="s">
        <v>1447</v>
      </c>
      <c r="Q52" s="1573">
        <f ca="1">J53</f>
        <v>33.840000000000003</v>
      </c>
      <c r="R52" s="1573" t="s">
        <v>1448</v>
      </c>
    </row>
    <row r="53" spans="1:18" s="1537" customFormat="1" ht="36.6"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14" t="s">
        <v>1450</v>
      </c>
      <c r="L53" s="3515"/>
      <c r="O53" s="1571" t="s">
        <v>1014</v>
      </c>
      <c r="P53" s="1572" t="s">
        <v>1451</v>
      </c>
      <c r="Q53" s="1573">
        <f ca="1">Q47+Q48</f>
        <v>9164</v>
      </c>
      <c r="R53" s="1573" t="s">
        <v>1015</v>
      </c>
    </row>
    <row r="54" spans="1:18" s="1537" customFormat="1" ht="24.6" thickBot="1">
      <c r="A54" s="1286"/>
      <c r="B54" s="1520" t="s">
        <v>1290</v>
      </c>
      <c r="C54" s="1089"/>
      <c r="D54" s="1519"/>
      <c r="E54" s="322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8" thickBot="1">
      <c r="A55" s="1214" t="s">
        <v>1043</v>
      </c>
      <c r="B55" s="1522" t="s">
        <v>1315</v>
      </c>
      <c r="C55" s="1215"/>
      <c r="D55" s="1519"/>
      <c r="E55" s="3224"/>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37.200000000000003" thickTop="1" thickBot="1">
      <c r="A56" s="1087">
        <v>2</v>
      </c>
      <c r="B56" s="1088" t="s">
        <v>1316</v>
      </c>
      <c r="C56" s="237">
        <f ca="1">C13</f>
        <v>1143</v>
      </c>
      <c r="D56" s="1600"/>
      <c r="E56" s="1601"/>
      <c r="F56" s="1593"/>
      <c r="I56" s="1602" t="s">
        <v>1456</v>
      </c>
      <c r="J56" s="1603" t="s">
        <v>3125</v>
      </c>
      <c r="K56" s="1574" t="s">
        <v>1457</v>
      </c>
      <c r="L56" s="1577" t="str">
        <f ca="1">IF(L48&lt;J51,"——",L48-J53)</f>
        <v>——</v>
      </c>
      <c r="O56" s="1571" t="s">
        <v>1008</v>
      </c>
      <c r="P56" s="1572" t="s">
        <v>1430</v>
      </c>
      <c r="Q56" s="1573">
        <f ca="1">C40+J29</f>
        <v>8693</v>
      </c>
      <c r="R56" s="1573" t="s">
        <v>1431</v>
      </c>
    </row>
    <row r="57" spans="1:18" s="1537" customFormat="1" ht="24.6" thickBot="1">
      <c r="A57" s="1604"/>
      <c r="B57" s="1080" t="s">
        <v>1380</v>
      </c>
      <c r="C57" s="243">
        <f ca="1">C29</f>
        <v>1166</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6" thickBot="1">
      <c r="A58" s="320" t="s">
        <v>998</v>
      </c>
      <c r="B58" s="1088" t="s">
        <v>1326</v>
      </c>
      <c r="C58" s="321">
        <f ca="1">ROUND(C59+C64+C65+C66,0)</f>
        <v>117</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6" thickBot="1">
      <c r="A59" s="1112" t="s">
        <v>1003</v>
      </c>
      <c r="B59" s="1080" t="s">
        <v>1331</v>
      </c>
      <c r="C59" s="2503">
        <f ca="1">ROUND(IF(AND(项目基本情况!B11="自然人",项目基本情况!B10="北京市"),C49*F59/(1+'数据-取费表'!C42),C60+C61+C62),0)</f>
        <v>98</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489</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2"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471</v>
      </c>
      <c r="K60" s="1613" t="s">
        <v>1468</v>
      </c>
      <c r="L60" s="1612">
        <f ca="1">IF(OR(M47="住宅",L48&lt;J51),0,ROUND(L57*(L58/L59-1),0))</f>
        <v>0</v>
      </c>
      <c r="O60" s="1581" t="s">
        <v>1012</v>
      </c>
      <c r="P60" s="1572" t="s">
        <v>1469</v>
      </c>
      <c r="Q60" s="1573" t="e">
        <f ca="1">L58</f>
        <v>#DIV/0!</v>
      </c>
      <c r="R60" s="1573" t="s">
        <v>1470</v>
      </c>
    </row>
    <row r="61" spans="1:18" s="1537" customFormat="1" ht="13.8" thickBot="1">
      <c r="A61" s="1112" t="s">
        <v>1394</v>
      </c>
      <c r="B61" s="1080" t="s">
        <v>1339</v>
      </c>
      <c r="C61" s="23">
        <f ca="1">IF(项目基本情况!B11="自然人","——",IF(D61="按租金收入计税",ROUND(C49*F61/(1+'数据-取费表'!C42),2),IF(D61="按房产原值计税",ROUND(C57*F61*0.7,2),INDIRECT("'数据-取费表'!Aj"&amp;$G$1))))</f>
        <v>97.94</v>
      </c>
      <c r="D61" s="1523" t="s">
        <v>1340</v>
      </c>
      <c r="E61" s="1080" t="s">
        <v>1324</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8" thickBot="1">
      <c r="A62" s="1112" t="s">
        <v>1397</v>
      </c>
      <c r="B62" s="1079" t="s">
        <v>1343</v>
      </c>
      <c r="C62" s="24">
        <f ca="1">IF(项目基本情况!B11="自然人","——",ROUND(F62*F63/10000,2))</f>
        <v>0.27</v>
      </c>
      <c r="D62" s="1095" t="s">
        <v>1344</v>
      </c>
      <c r="E62" s="1080" t="s">
        <v>1345</v>
      </c>
      <c r="F62" s="330">
        <f t="shared" si="0"/>
        <v>3</v>
      </c>
      <c r="I62" s="1615" t="s">
        <v>1472</v>
      </c>
      <c r="J62" s="1616" t="s">
        <v>1473</v>
      </c>
      <c r="K62" s="1616" t="s">
        <v>1474</v>
      </c>
      <c r="L62" s="1616" t="s">
        <v>1475</v>
      </c>
      <c r="M62" s="1617" t="s">
        <v>1476</v>
      </c>
      <c r="O62" s="1571" t="s">
        <v>1014</v>
      </c>
      <c r="P62" s="1572" t="s">
        <v>1451</v>
      </c>
      <c r="Q62" s="1573">
        <f ca="1">Q56+Q57</f>
        <v>8693</v>
      </c>
      <c r="R62" s="1573" t="s">
        <v>1015</v>
      </c>
    </row>
    <row r="63" spans="1:18" s="1537" customFormat="1" ht="13.8" thickBot="1">
      <c r="A63" s="331"/>
      <c r="B63" s="1086"/>
      <c r="C63" s="28"/>
      <c r="D63" s="1096"/>
      <c r="E63" s="1080" t="s">
        <v>1349</v>
      </c>
      <c r="F63" s="308">
        <f t="shared" ca="1" si="0"/>
        <v>908.15</v>
      </c>
      <c r="I63" s="1615" t="s">
        <v>1478</v>
      </c>
      <c r="J63" s="1616">
        <v>70</v>
      </c>
      <c r="K63" s="1616">
        <v>50</v>
      </c>
      <c r="L63" s="1616">
        <v>80</v>
      </c>
      <c r="M63" s="1618">
        <v>0.02</v>
      </c>
      <c r="O63" s="1556" t="s">
        <v>1479</v>
      </c>
      <c r="P63" s="1534"/>
      <c r="Q63" s="1534"/>
      <c r="R63" s="1534"/>
    </row>
    <row r="64" spans="1:18" s="1537" customFormat="1" ht="13.8" thickBot="1">
      <c r="A64" s="1112" t="s">
        <v>1402</v>
      </c>
      <c r="B64" s="1080" t="s">
        <v>1351</v>
      </c>
      <c r="C64" s="23">
        <f ca="1">ROUND(C57*F64,1)</f>
        <v>17.5</v>
      </c>
      <c r="D64" s="1094" t="s">
        <v>1384</v>
      </c>
      <c r="E64" s="1080" t="s">
        <v>1324</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8" thickBot="1">
      <c r="A65" s="1112" t="s">
        <v>1405</v>
      </c>
      <c r="B65" s="1080" t="s">
        <v>1355</v>
      </c>
      <c r="C65" s="23">
        <f ca="1">ROUND(C56*F65,1)</f>
        <v>1.1000000000000001</v>
      </c>
      <c r="D65" s="1094" t="s">
        <v>1356</v>
      </c>
      <c r="E65" s="1080" t="s">
        <v>1324</v>
      </c>
      <c r="F65" s="335">
        <f t="shared" ca="1" si="0"/>
        <v>1E-3</v>
      </c>
      <c r="I65" s="1615" t="s">
        <v>1481</v>
      </c>
      <c r="J65" s="1616">
        <v>40</v>
      </c>
      <c r="K65" s="1616">
        <v>30</v>
      </c>
      <c r="L65" s="1616">
        <v>50</v>
      </c>
      <c r="M65" s="1618">
        <v>0.02</v>
      </c>
      <c r="O65" s="1571" t="s">
        <v>1008</v>
      </c>
      <c r="P65" s="1572" t="s">
        <v>1430</v>
      </c>
      <c r="Q65" s="1573">
        <f ca="1">C40+J29</f>
        <v>8693</v>
      </c>
      <c r="R65" s="1573" t="s">
        <v>1431</v>
      </c>
    </row>
    <row r="66" spans="1:18" s="1537" customFormat="1" ht="16.2" thickBot="1">
      <c r="A66" s="1112" t="s">
        <v>1406</v>
      </c>
      <c r="B66" s="1080" t="s">
        <v>1341</v>
      </c>
      <c r="C66" s="23">
        <f ca="1">ROUND(C48*F66,1)</f>
        <v>0</v>
      </c>
      <c r="D66" s="1094" t="s">
        <v>1361</v>
      </c>
      <c r="E66" s="1080" t="s">
        <v>1324</v>
      </c>
      <c r="F66" s="317">
        <f t="shared" ca="1" si="0"/>
        <v>1.4999999999999999E-2</v>
      </c>
      <c r="O66" s="1571" t="s">
        <v>1009</v>
      </c>
      <c r="P66" s="1572" t="s">
        <v>1460</v>
      </c>
      <c r="Q66" s="1573">
        <f ca="1">L60</f>
        <v>0</v>
      </c>
      <c r="R66" s="1573" t="s">
        <v>1483</v>
      </c>
    </row>
    <row r="67" spans="1:18" s="1537" customFormat="1" ht="24.6" thickBot="1">
      <c r="A67" s="1087" t="s">
        <v>999</v>
      </c>
      <c r="B67" s="1097" t="s">
        <v>1365</v>
      </c>
      <c r="C67" s="321">
        <f ca="1">C48-C58</f>
        <v>-117</v>
      </c>
      <c r="D67" s="1093" t="s">
        <v>1366</v>
      </c>
      <c r="E67" s="1098"/>
      <c r="F67" s="1099"/>
      <c r="O67" s="1581" t="s">
        <v>1010</v>
      </c>
      <c r="P67" s="1572" t="s">
        <v>1464</v>
      </c>
      <c r="Q67" s="1619">
        <f ca="1">L51</f>
        <v>5870</v>
      </c>
      <c r="R67" s="1573" t="s">
        <v>1484</v>
      </c>
    </row>
    <row r="68" spans="1:18" s="1537" customFormat="1" ht="16.2" thickBot="1">
      <c r="A68" s="1077" t="s">
        <v>1000</v>
      </c>
      <c r="B68" s="1078" t="s">
        <v>1387</v>
      </c>
      <c r="C68" s="306">
        <f ca="1">ROUND(C67*(1-((1+F70)/(1+F68))^F69)/(F68-F70),0)</f>
        <v>-1780</v>
      </c>
      <c r="D68" s="1095" t="s">
        <v>1371</v>
      </c>
      <c r="E68" s="1080" t="s">
        <v>1372</v>
      </c>
      <c r="F68" s="317">
        <f ca="1">F40</f>
        <v>5.5E-2</v>
      </c>
      <c r="O68" s="1581" t="s">
        <v>1011</v>
      </c>
      <c r="P68" s="1620" t="s">
        <v>1485</v>
      </c>
      <c r="Q68" s="1573">
        <f ca="1">ROUND(Q69-Q70*Q71,0)</f>
        <v>311</v>
      </c>
      <c r="R68" s="1573" t="s">
        <v>1019</v>
      </c>
    </row>
    <row r="69" spans="1:18" s="1537" customFormat="1" ht="13.8" thickBot="1">
      <c r="A69" s="1081"/>
      <c r="B69" s="1082"/>
      <c r="C69" s="311"/>
      <c r="D69" s="1100" t="s">
        <v>1375</v>
      </c>
      <c r="E69" s="1080" t="s">
        <v>1376</v>
      </c>
      <c r="F69" s="338">
        <f ca="1">F41</f>
        <v>33.840000000000003</v>
      </c>
      <c r="O69" s="1581" t="s">
        <v>1016</v>
      </c>
      <c r="P69" s="1620" t="s">
        <v>1486</v>
      </c>
      <c r="Q69" s="1573">
        <f ca="1">C39</f>
        <v>391</v>
      </c>
      <c r="R69" s="1573" t="s">
        <v>1431</v>
      </c>
    </row>
    <row r="70" spans="1:18" s="1537" customFormat="1" ht="13.8" thickBot="1">
      <c r="A70" s="1084"/>
      <c r="B70" s="1085"/>
      <c r="C70" s="315"/>
      <c r="D70" s="1096"/>
      <c r="E70" s="1080" t="s">
        <v>1379</v>
      </c>
      <c r="F70" s="1184"/>
      <c r="O70" s="1581" t="s">
        <v>1017</v>
      </c>
      <c r="P70" s="1620" t="s">
        <v>1487</v>
      </c>
      <c r="Q70" s="1573">
        <f ca="1">C13</f>
        <v>1143</v>
      </c>
      <c r="R70" s="1573" t="s">
        <v>1431</v>
      </c>
    </row>
    <row r="71" spans="1:18" s="1537" customFormat="1" ht="13.8" thickBot="1">
      <c r="A71" s="1101" t="s">
        <v>1001</v>
      </c>
      <c r="B71" s="1102" t="s">
        <v>1389</v>
      </c>
      <c r="C71" s="341">
        <f ca="1">ROUND(C68*10000/F71,0)</f>
        <v>-7000</v>
      </c>
      <c r="D71" s="1103" t="s">
        <v>1390</v>
      </c>
      <c r="E71" s="1104" t="s">
        <v>1391</v>
      </c>
      <c r="F71" s="344">
        <f ca="1">F43</f>
        <v>2542.8199999999997</v>
      </c>
      <c r="O71" s="1581" t="s">
        <v>1018</v>
      </c>
      <c r="P71" s="1620" t="s">
        <v>1488</v>
      </c>
      <c r="Q71" s="1584">
        <f ca="1">C76</f>
        <v>7.0000000000000007E-2</v>
      </c>
      <c r="R71" s="1573"/>
    </row>
    <row r="72" spans="1:18" s="1537" customFormat="1" ht="13.8" thickBot="1">
      <c r="B72" s="734"/>
      <c r="C72" s="734"/>
      <c r="O72" s="1581" t="s">
        <v>1012</v>
      </c>
      <c r="P72" s="1572" t="s">
        <v>1466</v>
      </c>
      <c r="Q72" s="1584">
        <f>L52</f>
        <v>0</v>
      </c>
      <c r="R72" s="1573"/>
    </row>
    <row r="73" spans="1:18" ht="16.2" thickBot="1">
      <c r="A73" s="1537"/>
      <c r="B73" s="734"/>
      <c r="C73" s="734"/>
      <c r="D73" s="1537"/>
      <c r="E73" s="1537"/>
      <c r="F73" s="1537"/>
      <c r="O73" s="1581" t="s">
        <v>1013</v>
      </c>
      <c r="P73" s="1572" t="s">
        <v>1469</v>
      </c>
      <c r="Q73" s="1573" t="e">
        <f ca="1">L58</f>
        <v>#DIV/0!</v>
      </c>
      <c r="R73" s="1573" t="s">
        <v>1470</v>
      </c>
    </row>
    <row r="74" spans="1:18" ht="13.8"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8" thickBot="1">
      <c r="A75" s="1537"/>
      <c r="B75" s="345" t="s">
        <v>1408</v>
      </c>
      <c r="C75" s="346">
        <f ca="1">ROUND(C13*C76,0)</f>
        <v>80</v>
      </c>
      <c r="D75" s="1537"/>
      <c r="E75" s="1537"/>
      <c r="F75" s="1537"/>
      <c r="K75" s="1555"/>
      <c r="L75" s="1537"/>
      <c r="O75" s="1571" t="s">
        <v>1014</v>
      </c>
      <c r="P75" s="1572" t="s">
        <v>1451</v>
      </c>
      <c r="Q75" s="1573">
        <f ca="1">Q65+Q66</f>
        <v>8693</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0.79500000000000004</v>
      </c>
    </row>
    <row r="80" spans="1:18">
      <c r="B80" s="345" t="s">
        <v>1413</v>
      </c>
      <c r="C80" s="279">
        <f ca="1">ROUND(C75/C39,3)</f>
        <v>0.20499999999999999</v>
      </c>
    </row>
    <row r="81" spans="2:3">
      <c r="B81" s="275" t="s">
        <v>1414</v>
      </c>
      <c r="C81" s="243"/>
    </row>
    <row r="82" spans="2:3">
      <c r="B82" s="278" t="s">
        <v>1415</v>
      </c>
      <c r="C82" s="280">
        <f ca="1">1-C83</f>
        <v>0.86899999999999999</v>
      </c>
    </row>
    <row r="83" spans="2:3">
      <c r="B83" s="278" t="s">
        <v>1416</v>
      </c>
      <c r="C83" s="279">
        <f ca="1">ROUND(C13/C40,3)</f>
        <v>0.13100000000000001</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1" customWidth="1"/>
    <col min="2" max="16384" width="9" style="1631"/>
  </cols>
  <sheetData>
    <row r="1" spans="1:1" ht="22.8">
      <c r="A1" s="1630" t="s">
        <v>1513</v>
      </c>
    </row>
    <row r="2" spans="1:1">
      <c r="A2" s="1632"/>
    </row>
    <row r="3" spans="1:1" ht="17.399999999999999">
      <c r="A3" s="1633" t="str">
        <f>项目基本情况!B5&amp;"："</f>
        <v>：</v>
      </c>
    </row>
    <row r="4" spans="1:1" ht="17.399999999999999">
      <c r="A4" s="1634" t="str">
        <f>"受贵公司委托，我公司对"&amp;项目基本情况!S1&amp;"进行了预评估。"</f>
        <v>受贵公司委托，我公司对北京市房地产抵押价值进行了预评估。</v>
      </c>
    </row>
    <row r="5" spans="1:1" ht="17.399999999999999">
      <c r="A5" s="1635" t="s">
        <v>1514</v>
      </c>
    </row>
    <row r="6" spans="1:1" ht="17.399999999999999">
      <c r="A6" s="1636" t="s">
        <v>1515</v>
      </c>
    </row>
    <row r="7" spans="1:1" ht="34.799999999999997">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估价对象为北京市房地产，为所有。根据，估价对象（分摊）出让国有建设用地使用权面积为6303.9平方米，建筑面积为17650.91平方米。</v>
      </c>
    </row>
    <row r="8" spans="1:1" ht="54.6">
      <c r="A8" s="1637" t="s">
        <v>1516</v>
      </c>
    </row>
    <row r="9" spans="1:1" ht="17.399999999999999">
      <c r="A9" s="1636" t="s">
        <v>1517</v>
      </c>
    </row>
    <row r="10" spans="1:1" ht="52.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估价对象为北京市房地产,属开发建设的商业项目，该项目尚在开发建设中。根据，估价对象（分摊）出让国有建设用地使用权面积为6303.9平方米，规划建筑面积为17650.91平方米。</v>
      </c>
    </row>
    <row r="11" spans="1:1" ht="72">
      <c r="A11" s="1637" t="s">
        <v>1518</v>
      </c>
    </row>
    <row r="12" spans="1:1" ht="17.399999999999999">
      <c r="A12" s="1635" t="s">
        <v>1519</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9" t="s">
        <v>1520</v>
      </c>
    </row>
    <row r="15" spans="1:1" ht="17.399999999999999">
      <c r="A15" s="1640" t="str">
        <f>TEXT(项目基本情况!D3,"yyyy年m月d日;;")&amp;IF(项目基本情况!D3=项目基本情况!B3,"（评估专业人员实地查勘之日）","")</f>
        <v>2022年2月18日（评估专业人员实地查勘之日）</v>
      </c>
    </row>
    <row r="16" spans="1:1" ht="17.399999999999999">
      <c r="A16" s="1639" t="s">
        <v>1521</v>
      </c>
    </row>
    <row r="17" spans="1:1" ht="69.599999999999994">
      <c r="A17" s="1634" t="s">
        <v>1522</v>
      </c>
    </row>
    <row r="18" spans="1:1" ht="69.59999999999999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34" t="str">
        <f>IF(项目基本情况!B9="房地产市场价值","——",IF(项目基本情况!E9="——","",定义!C57))</f>
        <v/>
      </c>
    </row>
    <row r="23" spans="1:1" ht="17.399999999999999">
      <c r="A23" s="1639" t="s">
        <v>1511</v>
      </c>
    </row>
    <row r="24" spans="1:1" ht="17.399999999999999">
      <c r="A24" s="1641" t="str">
        <f>"本次评估采用的主估价方法为"&amp;结果表!K4&amp;"和"&amp;结果表!L4&amp;"。"</f>
        <v>本次评估采用的主估价方法为成本法和收益法。</v>
      </c>
    </row>
    <row r="25" spans="1:1" ht="17.399999999999999">
      <c r="A25" s="1641"/>
    </row>
    <row r="26" spans="1:1" ht="17.399999999999999">
      <c r="A26" s="1642" t="s">
        <v>1512</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90" zoomScaleNormal="100" zoomScaleSheetLayoutView="90" zoomScalePageLayoutView="80" workbookViewId="0">
      <selection activeCell="C33" sqref="C33"/>
    </sheetView>
  </sheetViews>
  <sheetFormatPr defaultColWidth="12.6640625" defaultRowHeight="21.75" customHeight="1"/>
  <cols>
    <col min="1" max="2" width="12.6640625" style="1908"/>
    <col min="3" max="4" width="12.6640625" style="1908" customWidth="1"/>
    <col min="5" max="9" width="12.6640625" style="1908"/>
    <col min="10" max="11" width="12.6640625" style="733" customWidth="1"/>
    <col min="12" max="12" width="12.6640625" style="733"/>
    <col min="13" max="13" width="14.109375" style="733" bestFit="1" customWidth="1"/>
    <col min="14" max="26" width="12.6640625" style="733"/>
    <col min="27" max="35" width="12.6640625" style="1907"/>
    <col min="36" max="16384" width="12.6640625" style="1908"/>
  </cols>
  <sheetData>
    <row r="1" spans="1:12" ht="21.75" customHeight="1" thickBot="1">
      <c r="A1" s="1791" t="s">
        <v>1885</v>
      </c>
      <c r="B1" s="1902"/>
      <c r="C1" s="1903" t="s">
        <v>3237</v>
      </c>
      <c r="D1" s="1902"/>
      <c r="E1" s="1902"/>
      <c r="F1" s="1904" t="s">
        <v>1886</v>
      </c>
      <c r="G1" s="1715" t="s">
        <v>3127</v>
      </c>
      <c r="H1" s="1905" t="str">
        <f>IF(G1="现房","——","估价对象范围")</f>
        <v>——</v>
      </c>
      <c r="I1" s="1906"/>
    </row>
    <row r="2" spans="1:12" ht="21.75" customHeight="1" thickBot="1">
      <c r="A2" s="3484" t="str">
        <f>项目基本情况!S2</f>
        <v>北京市房地产</v>
      </c>
      <c r="B2" s="3485"/>
      <c r="C2" s="3485"/>
      <c r="D2" s="3485"/>
      <c r="E2" s="3485"/>
      <c r="F2" s="3485"/>
      <c r="G2" s="3485"/>
      <c r="H2" s="3485"/>
      <c r="I2" s="3486"/>
    </row>
    <row r="3" spans="1:12" ht="13.2">
      <c r="A3" s="3488" t="s">
        <v>1887</v>
      </c>
      <c r="B3" s="3489"/>
      <c r="C3" s="3489"/>
      <c r="D3" s="3489"/>
      <c r="E3" s="3489"/>
      <c r="F3" s="3489"/>
      <c r="G3" s="3489"/>
      <c r="H3" s="3489"/>
      <c r="I3" s="3489"/>
    </row>
    <row r="4" spans="1:12" ht="14.4">
      <c r="A4" s="1909" t="s">
        <v>1888</v>
      </c>
      <c r="B4" s="1910" t="s">
        <v>1889</v>
      </c>
      <c r="C4" s="1911" t="s">
        <v>3231</v>
      </c>
      <c r="D4" s="1911" t="s">
        <v>3234</v>
      </c>
      <c r="E4" s="3493" t="s">
        <v>1890</v>
      </c>
      <c r="F4" s="3494"/>
      <c r="G4" s="3494"/>
      <c r="H4" s="3494"/>
      <c r="I4" s="3495"/>
      <c r="K4" s="150" t="str">
        <f>IF(ISNUMBER(FIND("比较法",'结果表 (3)'!C4)),"比较法",IF(ISNUMBER(FIND("成本法",'结果表 (3)'!C4)),"成本法",IF(ISNUMBER(FIND("假设开发法",'结果表 (3)'!C4)),"假设开发法",IF(ISNUMBER(FIND("收益法",'结果表 (3)'!C4)),"收益法","基准地价系数修正法"))))</f>
        <v>成本法</v>
      </c>
      <c r="L4" s="150" t="str">
        <f>IF(ISNUMBER(FIND("比较法",'结果表 (3)'!D4)),"比较法",IF(ISNUMBER(FIND("成本法",'结果表 (3)'!D4)),"成本法",IF(ISNUMBER(FIND("假设开发法",'结果表 (3)'!D4)),"假设开发法",IF(ISNUMBER(FIND("收益法",'结果表 (3)'!D4)),"收益法","基准地价系数修正法"))))</f>
        <v>收益法</v>
      </c>
    </row>
    <row r="5" spans="1:12" ht="13.2">
      <c r="A5" s="3429" t="s">
        <v>1891</v>
      </c>
      <c r="B5" s="3487">
        <v>25</v>
      </c>
      <c r="C5" s="3490"/>
      <c r="D5" s="3478"/>
      <c r="E5" s="135" t="s">
        <v>1892</v>
      </c>
      <c r="F5" s="1912"/>
      <c r="G5" s="1912"/>
      <c r="H5" s="1912"/>
      <c r="I5" s="1526"/>
    </row>
    <row r="6" spans="1:12" ht="13.2">
      <c r="A6" s="3429"/>
      <c r="B6" s="3487"/>
      <c r="C6" s="3492"/>
      <c r="D6" s="3478"/>
      <c r="E6" s="135" t="s">
        <v>1893</v>
      </c>
      <c r="F6" s="1912"/>
      <c r="G6" s="1912"/>
      <c r="H6" s="1912"/>
      <c r="I6" s="1526"/>
    </row>
    <row r="7" spans="1:12" ht="13.2">
      <c r="A7" s="3429"/>
      <c r="B7" s="3487"/>
      <c r="C7" s="3491"/>
      <c r="D7" s="3478"/>
      <c r="E7" s="135" t="s">
        <v>1894</v>
      </c>
      <c r="F7" s="1912"/>
      <c r="G7" s="1912"/>
      <c r="H7" s="1912"/>
      <c r="I7" s="1526"/>
    </row>
    <row r="8" spans="1:12" ht="13.2">
      <c r="A8" s="3429" t="s">
        <v>1895</v>
      </c>
      <c r="B8" s="3487">
        <v>15</v>
      </c>
      <c r="C8" s="3490"/>
      <c r="D8" s="3478"/>
      <c r="E8" s="135" t="s">
        <v>1896</v>
      </c>
      <c r="F8" s="1912"/>
      <c r="G8" s="1912"/>
      <c r="H8" s="1912"/>
      <c r="I8" s="1526"/>
    </row>
    <row r="9" spans="1:12" ht="13.2">
      <c r="A9" s="3429"/>
      <c r="B9" s="3487"/>
      <c r="C9" s="3491"/>
      <c r="D9" s="3478"/>
      <c r="E9" s="135" t="s">
        <v>1897</v>
      </c>
      <c r="F9" s="1912"/>
      <c r="G9" s="1912"/>
      <c r="H9" s="1912"/>
      <c r="I9" s="1526"/>
    </row>
    <row r="10" spans="1:12" ht="13.2">
      <c r="A10" s="3429" t="s">
        <v>1898</v>
      </c>
      <c r="B10" s="3487">
        <v>15</v>
      </c>
      <c r="C10" s="3490"/>
      <c r="D10" s="3478"/>
      <c r="E10" s="135" t="s">
        <v>1899</v>
      </c>
      <c r="F10" s="1912"/>
      <c r="G10" s="1912"/>
      <c r="H10" s="1912"/>
      <c r="I10" s="1526"/>
    </row>
    <row r="11" spans="1:12" ht="13.2">
      <c r="A11" s="3429"/>
      <c r="B11" s="3487"/>
      <c r="C11" s="3491"/>
      <c r="D11" s="3478"/>
      <c r="E11" s="135" t="s">
        <v>1900</v>
      </c>
      <c r="F11" s="1912"/>
      <c r="G11" s="1912"/>
      <c r="H11" s="1912"/>
      <c r="I11" s="1526"/>
    </row>
    <row r="12" spans="1:12" ht="13.2">
      <c r="A12" s="3429" t="s">
        <v>1901</v>
      </c>
      <c r="B12" s="3487">
        <v>15</v>
      </c>
      <c r="C12" s="3490"/>
      <c r="D12" s="3478"/>
      <c r="E12" s="135" t="s">
        <v>1902</v>
      </c>
      <c r="F12" s="1912"/>
      <c r="G12" s="1912"/>
      <c r="H12" s="1912"/>
      <c r="I12" s="1526"/>
    </row>
    <row r="13" spans="1:12" ht="13.2">
      <c r="A13" s="3429"/>
      <c r="B13" s="3487"/>
      <c r="C13" s="3491"/>
      <c r="D13" s="3478"/>
      <c r="E13" s="135" t="s">
        <v>1903</v>
      </c>
      <c r="F13" s="1912"/>
      <c r="G13" s="1912"/>
      <c r="H13" s="1912"/>
      <c r="I13" s="1526"/>
    </row>
    <row r="14" spans="1:12" ht="13.2">
      <c r="A14" s="3429" t="s">
        <v>1904</v>
      </c>
      <c r="B14" s="3487">
        <v>30</v>
      </c>
      <c r="C14" s="3490">
        <v>4</v>
      </c>
      <c r="D14" s="3478">
        <v>6</v>
      </c>
      <c r="E14" s="135" t="s">
        <v>1905</v>
      </c>
      <c r="F14" s="1912"/>
      <c r="G14" s="1912"/>
      <c r="H14" s="1912"/>
      <c r="I14" s="1526"/>
    </row>
    <row r="15" spans="1:12" ht="13.2">
      <c r="A15" s="3429"/>
      <c r="B15" s="3487"/>
      <c r="C15" s="3492"/>
      <c r="D15" s="3478"/>
      <c r="E15" s="135" t="s">
        <v>1906</v>
      </c>
      <c r="F15" s="1912"/>
      <c r="G15" s="1912"/>
      <c r="H15" s="1912"/>
      <c r="I15" s="1526"/>
    </row>
    <row r="16" spans="1:12" ht="13.2">
      <c r="A16" s="3429"/>
      <c r="B16" s="3487"/>
      <c r="C16" s="3491"/>
      <c r="D16" s="3478"/>
      <c r="E16" s="135" t="s">
        <v>1907</v>
      </c>
      <c r="F16" s="1912"/>
      <c r="G16" s="1912"/>
      <c r="H16" s="1912"/>
      <c r="I16" s="1526"/>
    </row>
    <row r="17" spans="1:36" ht="14.4">
      <c r="A17" s="1913" t="s">
        <v>1908</v>
      </c>
      <c r="B17" s="59"/>
      <c r="C17" s="136">
        <f>SUM(C5:C16)</f>
        <v>4</v>
      </c>
      <c r="D17" s="136">
        <f>SUM(D5:D16)</f>
        <v>6</v>
      </c>
      <c r="E17" s="133"/>
      <c r="F17" s="133"/>
      <c r="G17" s="133"/>
      <c r="H17" s="133"/>
      <c r="I17" s="133"/>
      <c r="K17" s="307"/>
      <c r="L17" s="307" t="s">
        <v>1909</v>
      </c>
      <c r="M17" s="307" t="s">
        <v>1910</v>
      </c>
    </row>
    <row r="18" spans="1:36" ht="31.95" customHeight="1" thickBot="1">
      <c r="A18" s="1914" t="s">
        <v>1911</v>
      </c>
      <c r="B18" s="1915"/>
      <c r="C18" s="137">
        <f>ROUND(C17/SUM(C17:D17),2)</f>
        <v>0.4</v>
      </c>
      <c r="D18" s="137">
        <f>1-C18</f>
        <v>0.6</v>
      </c>
      <c r="E18" s="3509" t="s">
        <v>2809</v>
      </c>
      <c r="F18" s="3510"/>
      <c r="G18" s="3510"/>
      <c r="H18" s="3510"/>
      <c r="I18" s="3510"/>
      <c r="K18" s="307" t="s">
        <v>1912</v>
      </c>
      <c r="L18" s="307">
        <f>IF(C1="",'数据-汇总表'!E3,SUMIF(项目类型,C1,'数据-汇总表'!E17:E26)+SUMIF(项目类型,C1,'数据-汇总表'!I17:I26))</f>
        <v>522.01</v>
      </c>
      <c r="M18" s="307">
        <f>IF(C1="",'数据-汇总表'!E3,SUMIF(项目类型,C1,'数据-汇总表'!E17:E26))</f>
        <v>522.01</v>
      </c>
    </row>
    <row r="19" spans="1:36" ht="14.4">
      <c r="A19" s="1916" t="s">
        <v>1913</v>
      </c>
      <c r="B19" s="1917" t="s">
        <v>1914</v>
      </c>
      <c r="C19" s="138">
        <f ca="1">SUMIF(INDIRECT("'"&amp;C4&amp;"'"&amp;"!A:A"),'结果表 (3)'!B19,INDIRECT("'"&amp;C4&amp;"'"&amp;"!B:B"))</f>
        <v>2230</v>
      </c>
      <c r="D19" s="139">
        <f ca="1">SUMIF(INDIRECT("'"&amp;D4&amp;"'"&amp;"!A:A"),'结果表 (3)'!B19,INDIRECT("'"&amp;D4&amp;"'"&amp;"!B:B"))</f>
        <v>1586</v>
      </c>
      <c r="E19" s="1916" t="s">
        <v>1915</v>
      </c>
      <c r="F19" s="1917" t="s">
        <v>1914</v>
      </c>
      <c r="G19" s="140">
        <f ca="1">ROUND(C19*$C$18+D19*$D$18,0)</f>
        <v>1844</v>
      </c>
      <c r="H19" s="1918" t="s">
        <v>1916</v>
      </c>
      <c r="I19" s="133"/>
      <c r="K19" s="307" t="s">
        <v>1917</v>
      </c>
      <c r="L19" s="307">
        <f>IF(C1="",'数据-汇总表'!D3,SUMIF(项目类型,C1,'数据-汇总表'!D17:D26)+SUMIF(项目类型,C1,'数据-汇总表'!H17:H27))</f>
        <v>186.43</v>
      </c>
      <c r="M19" s="307">
        <f>IF(C1="",'数据-汇总表'!D3,SUMIF(项目类型,C1,'数据-汇总表'!D17:D26))</f>
        <v>186.43</v>
      </c>
    </row>
    <row r="20" spans="1:36" ht="14.4">
      <c r="A20" s="1919"/>
      <c r="B20" s="1156" t="s">
        <v>1918</v>
      </c>
      <c r="C20" s="141">
        <f ca="1">SUMIF(INDIRECT("'"&amp;C4&amp;"'"&amp;"!A:A"),'结果表 (3)'!B20,INDIRECT("'"&amp;C4&amp;"'"&amp;"!B:B"))</f>
        <v>42719</v>
      </c>
      <c r="D20" s="142">
        <f ca="1">SUMIF(INDIRECT("'"&amp;D4&amp;"'"&amp;"!A:A"),'结果表 (3)'!B20,INDIRECT("'"&amp;D4&amp;"'"&amp;"!B:B"))</f>
        <v>30383</v>
      </c>
      <c r="E20" s="1919"/>
      <c r="F20" s="1156" t="s">
        <v>1918</v>
      </c>
      <c r="G20" s="143">
        <f ca="1">ROUND(C20*$C$18+D20*$D$18,0)</f>
        <v>35317</v>
      </c>
      <c r="H20" s="916" t="s">
        <v>1919</v>
      </c>
      <c r="I20" s="133"/>
    </row>
    <row r="21" spans="1:36" ht="15" customHeight="1" thickBot="1">
      <c r="A21" s="936"/>
      <c r="B21" s="1920" t="s">
        <v>1920</v>
      </c>
      <c r="C21" s="727">
        <f ca="1">ROUND(C19*10000/L19,0)</f>
        <v>119616</v>
      </c>
      <c r="D21" s="728">
        <f ca="1">ROUND(D19*10000/L19,0)</f>
        <v>85072</v>
      </c>
      <c r="E21" s="936"/>
      <c r="F21" s="1920" t="s">
        <v>1920</v>
      </c>
      <c r="G21" s="144">
        <f ca="1">ROUND(G19*10000/L19,0)</f>
        <v>98911</v>
      </c>
      <c r="H21" s="1921" t="s">
        <v>1919</v>
      </c>
      <c r="I21" s="133"/>
    </row>
    <row r="22" spans="1:36" ht="15" thickBot="1">
      <c r="A22" s="1843" t="s">
        <v>1921</v>
      </c>
      <c r="B22" s="1922"/>
      <c r="C22" s="1923"/>
      <c r="D22" s="729">
        <f ca="1">IF(C19&lt;D19,D19/C19-1,C19/D19-1)</f>
        <v>0.40605296343001251</v>
      </c>
      <c r="E22" s="133"/>
      <c r="F22" s="133"/>
      <c r="G22" s="133"/>
      <c r="H22" s="133"/>
      <c r="I22" s="133"/>
    </row>
    <row r="23" spans="1:36" ht="13.8" thickBot="1">
      <c r="A23" s="1902"/>
      <c r="B23" s="1902"/>
      <c r="C23" s="1902"/>
      <c r="D23" s="1902"/>
      <c r="E23" s="133"/>
      <c r="F23" s="133"/>
      <c r="G23" s="133"/>
      <c r="H23" s="133"/>
      <c r="I23" s="133"/>
    </row>
    <row r="24" spans="1:36" ht="14.4">
      <c r="A24" s="3502" t="s">
        <v>1922</v>
      </c>
      <c r="B24" s="1917" t="s">
        <v>1914</v>
      </c>
      <c r="C24" s="140">
        <f>IF(B30=0,0,D30)</f>
        <v>0</v>
      </c>
      <c r="D24" s="1924"/>
      <c r="E24" s="133"/>
      <c r="F24" s="133"/>
      <c r="G24" s="133"/>
      <c r="H24" s="133"/>
      <c r="I24" s="133"/>
    </row>
    <row r="25" spans="1:36" ht="14.4">
      <c r="A25" s="350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3.8">
      <c r="A27" s="1926"/>
      <c r="B27" s="146">
        <v>0</v>
      </c>
      <c r="C27" s="146">
        <v>0</v>
      </c>
      <c r="D27" s="147">
        <f>ROUND(C27*B27/10000,0)</f>
        <v>0</v>
      </c>
      <c r="E27" s="133"/>
      <c r="F27" s="133"/>
      <c r="G27" s="133"/>
      <c r="H27" s="133"/>
      <c r="I27" s="133"/>
    </row>
    <row r="28" spans="1:36" ht="13.8">
      <c r="A28" s="1926"/>
      <c r="B28" s="146"/>
      <c r="C28" s="146"/>
      <c r="D28" s="147"/>
      <c r="E28" s="133"/>
      <c r="F28" s="133"/>
      <c r="G28" s="133"/>
      <c r="H28" s="133"/>
      <c r="I28" s="133"/>
    </row>
    <row r="29" spans="1:36" ht="13.8">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1928</v>
      </c>
      <c r="B32" s="1929"/>
      <c r="C32" s="148">
        <f ca="1">IF(D32="总价",G19-C24,G20-C25)</f>
        <v>1844</v>
      </c>
      <c r="D32" s="1930" t="s">
        <v>3141</v>
      </c>
      <c r="E32" s="133"/>
      <c r="F32" s="133"/>
      <c r="G32" s="133"/>
      <c r="H32" s="133"/>
      <c r="I32" s="133"/>
    </row>
    <row r="33" spans="1:15" ht="14.4">
      <c r="A33" s="893" t="s">
        <v>1929</v>
      </c>
      <c r="B33" s="1931"/>
      <c r="C33" s="1932" t="s">
        <v>3142</v>
      </c>
      <c r="D33" s="1933" t="s">
        <v>3139</v>
      </c>
      <c r="E33" s="1934" t="s">
        <v>1930</v>
      </c>
      <c r="F33" s="1935" t="str">
        <f>IF(D32="楼面单价","取值（单价）","取值（总价）")</f>
        <v>取值（总价）</v>
      </c>
      <c r="G33" s="133"/>
      <c r="H33" s="133"/>
      <c r="I33" s="133"/>
    </row>
    <row r="34" spans="1:15" ht="14.4">
      <c r="A34" s="1936"/>
      <c r="B34" s="1937" t="s">
        <v>1931</v>
      </c>
      <c r="C34" s="152">
        <f ca="1">IF(C33="自定义",F34,C32-C35)</f>
        <v>1612</v>
      </c>
      <c r="D34" s="969">
        <f ca="1">IF(C33="自定义",ROUND(C34/C32,3),IF(C33="收益比率",SUMIF(INDIRECT("'"&amp;D33&amp;"'"&amp;"!b:b"),"土地收益比率",INDIRECT("'"&amp;D33&amp;"'"&amp;"!c:c")),SUMIF(INDIRECT("'"&amp;D33&amp;"'"&amp;"!b:b"),"土地成本比率",INDIRECT("'"&amp;D33&amp;"'"&amp;"!c:c"))))</f>
        <v>0.874</v>
      </c>
      <c r="E34" s="1938" t="s">
        <v>1932</v>
      </c>
      <c r="F34" s="1469">
        <f ca="1">G19-F35</f>
        <v>1611</v>
      </c>
      <c r="G34" s="133"/>
      <c r="H34" s="133"/>
      <c r="I34" s="133"/>
    </row>
    <row r="35" spans="1:15" ht="15" thickBot="1">
      <c r="A35" s="1939"/>
      <c r="B35" s="1940" t="s">
        <v>1933</v>
      </c>
      <c r="C35" s="1303">
        <f ca="1">IF(C33="自定义",F35,ROUND(C32*D35,0))</f>
        <v>232</v>
      </c>
      <c r="D35" s="1304">
        <f ca="1">IF(C33="自定义",ROUND(C35/C32,3),IF(C33="收益比率",SUMIF(INDIRECT("'"&amp;D33&amp;"'"&amp;"!b:b"),"建筑物收益比率",INDIRECT("'"&amp;D33&amp;"'"&amp;"!c:c")),SUMIF(INDIRECT("'"&amp;D33&amp;"'"&amp;"!b:b"),"建筑物成本比率",INDIRECT("'"&amp;D33&amp;"'"&amp;"!c:c"))))</f>
        <v>0.126</v>
      </c>
      <c r="E35" s="1941" t="s">
        <v>1934</v>
      </c>
      <c r="F35" s="158">
        <f ca="1">'成本法 (3)'!C51</f>
        <v>233</v>
      </c>
      <c r="G35" s="133"/>
      <c r="H35" s="133"/>
      <c r="I35" s="133"/>
    </row>
    <row r="36" spans="1:15" ht="15" thickBot="1">
      <c r="A36" s="3479" t="s">
        <v>1935</v>
      </c>
      <c r="B36" s="1942" t="s">
        <v>1936</v>
      </c>
      <c r="C36" s="149"/>
      <c r="D36" s="1943"/>
      <c r="E36" s="1944"/>
      <c r="F36" s="1945"/>
      <c r="G36" s="133"/>
      <c r="H36" s="133"/>
      <c r="I36" s="133"/>
    </row>
    <row r="37" spans="1:15" ht="15" thickBot="1">
      <c r="A37" s="3480"/>
      <c r="B37" s="1829" t="s">
        <v>1937</v>
      </c>
      <c r="C37" s="151"/>
      <c r="D37" s="1272"/>
      <c r="E37" s="1272"/>
      <c r="F37" s="1945"/>
      <c r="G37" s="133"/>
      <c r="H37" s="133"/>
      <c r="I37" s="133"/>
    </row>
    <row r="38" spans="1:15" ht="15" thickBot="1">
      <c r="A38" s="3481"/>
      <c r="B38" s="1946" t="s">
        <v>1938</v>
      </c>
      <c r="C38" s="682"/>
      <c r="D38" s="1947" t="s">
        <v>1939</v>
      </c>
      <c r="E38" s="1272"/>
      <c r="F38" s="1945"/>
      <c r="G38" s="133"/>
      <c r="H38" s="133"/>
      <c r="I38" s="133"/>
    </row>
    <row r="39" spans="1:15" ht="14.4">
      <c r="A39" s="1919" t="s">
        <v>1940</v>
      </c>
      <c r="B39" s="1948" t="s">
        <v>1941</v>
      </c>
      <c r="C39" s="1949" t="s">
        <v>1942</v>
      </c>
      <c r="D39" s="1949" t="s">
        <v>1943</v>
      </c>
      <c r="E39" s="1950" t="s">
        <v>1944</v>
      </c>
      <c r="F39" s="1945"/>
      <c r="G39" s="133"/>
      <c r="H39" s="133"/>
      <c r="I39" s="133"/>
    </row>
    <row r="40" spans="1:15" ht="13.8">
      <c r="A40" s="1951" t="s">
        <v>1945</v>
      </c>
      <c r="B40" s="153"/>
      <c r="C40" s="154"/>
      <c r="D40" s="154"/>
      <c r="E40" s="155"/>
      <c r="F40" s="1945"/>
      <c r="G40" s="133"/>
      <c r="H40" s="133"/>
      <c r="I40" s="133"/>
    </row>
    <row r="41" spans="1:15" ht="13.8">
      <c r="A41" s="1951" t="s">
        <v>1946</v>
      </c>
      <c r="B41" s="153"/>
      <c r="C41" s="154"/>
      <c r="D41" s="154"/>
      <c r="E41" s="155"/>
      <c r="F41" s="1945"/>
      <c r="G41" s="133"/>
      <c r="H41" s="133"/>
      <c r="I41" s="133"/>
    </row>
    <row r="42" spans="1:15" ht="14.4" thickBot="1">
      <c r="A42" s="1952"/>
      <c r="B42" s="156"/>
      <c r="C42" s="157"/>
      <c r="D42" s="157"/>
      <c r="E42" s="158"/>
      <c r="F42" s="1945"/>
      <c r="G42" s="133"/>
      <c r="H42" s="133"/>
      <c r="I42" s="133"/>
    </row>
    <row r="43" spans="1:15" ht="13.2">
      <c r="A43" s="1731"/>
      <c r="B43" s="1731"/>
      <c r="C43" s="1731"/>
      <c r="D43" s="1731"/>
      <c r="E43" s="1731"/>
      <c r="F43" s="1953"/>
      <c r="G43" s="1953"/>
      <c r="H43" s="1953"/>
      <c r="I43" s="1954"/>
    </row>
    <row r="44" spans="1:15" ht="17.399999999999999">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99" t="s">
        <v>1949</v>
      </c>
      <c r="B45" s="3500"/>
      <c r="C45" s="3501"/>
      <c r="D45" s="159">
        <f ca="1">ROUND(H101*F45,0)</f>
        <v>1844</v>
      </c>
      <c r="E45" s="160" t="s">
        <v>1950</v>
      </c>
      <c r="F45" s="161">
        <v>1</v>
      </c>
      <c r="G45" s="162" t="s">
        <v>1951</v>
      </c>
      <c r="H45" s="133"/>
      <c r="I45" s="133"/>
      <c r="J45" s="3416" t="s">
        <v>1952</v>
      </c>
      <c r="K45" s="3416"/>
      <c r="L45" s="3416"/>
      <c r="M45" s="3416"/>
      <c r="N45" s="3416"/>
      <c r="O45" s="3416"/>
    </row>
    <row r="46" spans="1:15" ht="14.25" customHeight="1">
      <c r="A46" s="3496" t="s">
        <v>1953</v>
      </c>
      <c r="B46" s="3497"/>
      <c r="C46" s="3497"/>
      <c r="D46" s="3497"/>
      <c r="E46" s="3497"/>
      <c r="F46" s="3497"/>
      <c r="G46" s="3498"/>
      <c r="H46" s="1961"/>
      <c r="I46" s="163"/>
      <c r="J46" s="3225">
        <v>1</v>
      </c>
      <c r="K46" s="3417" t="s">
        <v>1954</v>
      </c>
      <c r="L46" s="3417"/>
      <c r="M46" s="3418"/>
      <c r="N46" s="3418"/>
      <c r="O46" s="3418"/>
    </row>
    <row r="47" spans="1:15" ht="12" customHeight="1">
      <c r="A47" s="164" t="s">
        <v>1955</v>
      </c>
      <c r="B47" s="165"/>
      <c r="C47" s="166"/>
      <c r="D47" s="1218" t="s">
        <v>1956</v>
      </c>
      <c r="E47" s="307" t="s">
        <v>1957</v>
      </c>
      <c r="F47" s="167" t="s">
        <v>1958</v>
      </c>
      <c r="G47" s="2739" t="s">
        <v>1959</v>
      </c>
      <c r="H47" s="2740"/>
      <c r="I47" s="163"/>
      <c r="J47" s="3225">
        <v>2</v>
      </c>
      <c r="K47" s="3417" t="s">
        <v>1960</v>
      </c>
      <c r="L47" s="3417"/>
      <c r="M47" s="3419">
        <f>'数据-取费表'!B2</f>
        <v>44610</v>
      </c>
      <c r="N47" s="3419"/>
      <c r="O47" s="3419"/>
    </row>
    <row r="48" spans="1:15" ht="26.4">
      <c r="A48" s="3482" t="s">
        <v>1961</v>
      </c>
      <c r="B48" s="3483"/>
      <c r="C48" s="3483"/>
      <c r="D48" s="3220" t="b">
        <f>IF(H48="情况1",0,IF(H48="情况2",D52,IF(H48="情况3",D53,IF(H48="情况4",D54))))</f>
        <v>0</v>
      </c>
      <c r="E48" s="3235" t="str">
        <f>IF(H48="情况4","(销售额-原购置价)×税（费）率","销售额×税（费）率")</f>
        <v>销售额×税（费）率</v>
      </c>
      <c r="F48" s="2741">
        <f>IF(H48="情况1","免征",'数据-取费表'!B41)</f>
        <v>5.6000000000000001E-2</v>
      </c>
      <c r="G48" s="2742" t="s">
        <v>1962</v>
      </c>
      <c r="H48" s="2743"/>
      <c r="I48" s="1961"/>
      <c r="J48" s="3225">
        <v>3</v>
      </c>
      <c r="K48" s="3417" t="s">
        <v>1963</v>
      </c>
      <c r="L48" s="3417"/>
      <c r="M48" s="3420">
        <f ca="1">H101</f>
        <v>1844</v>
      </c>
      <c r="N48" s="3420"/>
      <c r="O48" s="3420"/>
    </row>
    <row r="49" spans="1:35" ht="25.5" customHeight="1">
      <c r="A49" s="3234" t="s">
        <v>1964</v>
      </c>
      <c r="B49" s="3465" t="s">
        <v>1965</v>
      </c>
      <c r="C49" s="3465"/>
      <c r="D49" s="1744">
        <v>0</v>
      </c>
      <c r="E49" s="329" t="s">
        <v>1966</v>
      </c>
      <c r="F49" s="3217" t="s">
        <v>34</v>
      </c>
      <c r="G49" s="3448"/>
      <c r="H49" s="2497" t="s">
        <v>2812</v>
      </c>
      <c r="I49" s="2498"/>
      <c r="J49" s="3225">
        <v>4</v>
      </c>
      <c r="K49" s="3417" t="str">
        <f>IF(项目基本情况!E8="房地产抵押价值","房地产抵押价值","抵押担保权已注销时的房地产抵押价值")</f>
        <v>房地产抵押价值</v>
      </c>
      <c r="L49" s="3417"/>
      <c r="M49" s="3420">
        <f ca="1">IF(项目基本情况!E8="房地产抵押价值",H107,H109)</f>
        <v>1844</v>
      </c>
      <c r="N49" s="3420"/>
      <c r="O49" s="3420"/>
    </row>
    <row r="50" spans="1:35" ht="25.5" customHeight="1">
      <c r="A50" s="2744"/>
      <c r="B50" s="3465" t="s">
        <v>1967</v>
      </c>
      <c r="C50" s="3465"/>
      <c r="D50" s="2745"/>
      <c r="E50" s="337"/>
      <c r="F50" s="3217"/>
      <c r="G50" s="3449"/>
      <c r="H50" s="2499" t="s">
        <v>2813</v>
      </c>
      <c r="I50" s="2498"/>
      <c r="J50" s="3416" t="s">
        <v>1968</v>
      </c>
      <c r="K50" s="3416"/>
      <c r="L50" s="3416"/>
      <c r="M50" s="3416"/>
      <c r="N50" s="3416"/>
      <c r="O50" s="3416"/>
    </row>
    <row r="51" spans="1:35" ht="20.399999999999999" customHeight="1">
      <c r="A51" s="2746"/>
      <c r="B51" s="3465" t="s">
        <v>1969</v>
      </c>
      <c r="C51" s="3465"/>
      <c r="D51" s="1218"/>
      <c r="E51" s="332"/>
      <c r="F51" s="3217"/>
      <c r="G51" s="3450"/>
      <c r="H51" s="2499" t="s">
        <v>2814</v>
      </c>
      <c r="I51" s="2498"/>
      <c r="J51" s="3219" t="s">
        <v>1970</v>
      </c>
      <c r="K51" s="3417" t="s">
        <v>1971</v>
      </c>
      <c r="L51" s="3417"/>
      <c r="M51" s="3219" t="s">
        <v>1972</v>
      </c>
      <c r="N51" s="3219" t="s">
        <v>1973</v>
      </c>
      <c r="O51" s="3219" t="s">
        <v>1974</v>
      </c>
    </row>
    <row r="52" spans="1:35" ht="24" customHeight="1">
      <c r="A52" s="3237" t="s">
        <v>1975</v>
      </c>
      <c r="B52" s="3465" t="s">
        <v>1976</v>
      </c>
      <c r="C52" s="3465"/>
      <c r="D52" s="1218">
        <f ca="1">ROUND(D45*'数据-取费表'!B41/(1+'数据-取费表'!C42),0)</f>
        <v>98</v>
      </c>
      <c r="E52" s="3235" t="s">
        <v>1977</v>
      </c>
      <c r="F52" s="2747">
        <f>'数据-取费表'!B41</f>
        <v>5.6000000000000001E-2</v>
      </c>
      <c r="G52" s="2748"/>
      <c r="H52" s="2737"/>
      <c r="I52" s="1962"/>
      <c r="J52" s="3225">
        <v>1</v>
      </c>
      <c r="K52" s="3442" t="s">
        <v>1978</v>
      </c>
      <c r="L52" s="3442"/>
      <c r="M52" s="2718" t="b">
        <f>D48</f>
        <v>0</v>
      </c>
      <c r="N52" s="3225" t="str">
        <f>E48</f>
        <v>销售额×税（费）率</v>
      </c>
      <c r="O52" s="2719">
        <f>F48</f>
        <v>5.6000000000000001E-2</v>
      </c>
    </row>
    <row r="53" spans="1:35" ht="12" customHeight="1">
      <c r="A53" s="3237" t="s">
        <v>1979</v>
      </c>
      <c r="B53" s="3466" t="s">
        <v>2967</v>
      </c>
      <c r="C53" s="3467"/>
      <c r="D53" s="1218">
        <f ca="1">ROUND(D45*'数据-取费表'!B41/(1+'数据-取费表'!C42),0)</f>
        <v>98</v>
      </c>
      <c r="E53" s="3235" t="s">
        <v>1977</v>
      </c>
      <c r="F53" s="2747">
        <f>'数据-取费表'!B41</f>
        <v>5.6000000000000001E-2</v>
      </c>
      <c r="G53" s="2748"/>
      <c r="H53" s="2737"/>
      <c r="I53" s="1962"/>
      <c r="J53" s="3225">
        <v>2</v>
      </c>
      <c r="K53" s="3442" t="s">
        <v>1980</v>
      </c>
      <c r="L53" s="3442"/>
      <c r="M53" s="2718">
        <f t="shared" ref="M53:O54" ca="1" si="0">D55</f>
        <v>1</v>
      </c>
      <c r="N53" s="3225" t="str">
        <f t="shared" si="0"/>
        <v>销售额×税（费）率</v>
      </c>
      <c r="O53" s="2719" t="str">
        <f t="shared" si="0"/>
        <v>免征</v>
      </c>
    </row>
    <row r="54" spans="1:35" ht="12" customHeight="1">
      <c r="A54" s="3237" t="s">
        <v>1981</v>
      </c>
      <c r="B54" s="3466" t="s">
        <v>2968</v>
      </c>
      <c r="C54" s="3467"/>
      <c r="D54" s="1218">
        <f ca="1">C68</f>
        <v>98</v>
      </c>
      <c r="E54" s="332" t="s">
        <v>1982</v>
      </c>
      <c r="F54" s="2747">
        <f>'数据-取费表'!B41</f>
        <v>5.6000000000000001E-2</v>
      </c>
      <c r="G54" s="2748"/>
      <c r="H54" s="2749"/>
      <c r="I54" s="1962"/>
      <c r="J54" s="3225">
        <v>3</v>
      </c>
      <c r="K54" s="3442" t="s">
        <v>1983</v>
      </c>
      <c r="L54" s="3442"/>
      <c r="M54" s="2718">
        <f t="shared" ca="1" si="0"/>
        <v>1043</v>
      </c>
      <c r="N54" s="3225" t="str">
        <f t="shared" si="0"/>
        <v>增值额×税（费）率</v>
      </c>
      <c r="O54" s="2720" t="str">
        <f t="shared" si="0"/>
        <v>免征</v>
      </c>
    </row>
    <row r="55" spans="1:35" ht="24" customHeight="1">
      <c r="A55" s="3505" t="s">
        <v>1984</v>
      </c>
      <c r="B55" s="3483"/>
      <c r="C55" s="3483"/>
      <c r="D55" s="3220">
        <f ca="1">IF(H55="个人住宅",0,ROUND(D45*I55,0))</f>
        <v>1</v>
      </c>
      <c r="E55" s="3235" t="s">
        <v>1985</v>
      </c>
      <c r="F55" s="2747" t="str">
        <f>IF(H55="正常",I55,"免征")</f>
        <v>免征</v>
      </c>
      <c r="G55" s="2748"/>
      <c r="H55" s="2743"/>
      <c r="I55" s="169">
        <f>'数据-取费表'!B49</f>
        <v>5.0000000000000001E-4</v>
      </c>
      <c r="J55" s="3225">
        <f>IF(H59="非个人房产","",4)</f>
        <v>4</v>
      </c>
      <c r="K55" s="3442" t="str">
        <f>IF(H59="非个人房产","——","个人所得税")</f>
        <v>个人所得税</v>
      </c>
      <c r="L55" s="3442"/>
      <c r="M55" s="2721">
        <f ca="1">D59</f>
        <v>18</v>
      </c>
      <c r="N55" s="3226" t="str">
        <f>E59</f>
        <v>差额计税</v>
      </c>
      <c r="O55" s="2722">
        <f>F59</f>
        <v>0.01</v>
      </c>
    </row>
    <row r="56" spans="1:35" ht="25.2">
      <c r="A56" s="3505" t="s">
        <v>1986</v>
      </c>
      <c r="B56" s="3483"/>
      <c r="C56" s="3483"/>
      <c r="D56" s="3220">
        <f ca="1">IF(H56="个人住宅",D57,D58)</f>
        <v>1043</v>
      </c>
      <c r="E56" s="3235" t="s">
        <v>1987</v>
      </c>
      <c r="F56" s="2747" t="str">
        <f>IF(H56="正常",F58,"免征")</f>
        <v>免征</v>
      </c>
      <c r="G56" s="2750" t="s">
        <v>1988</v>
      </c>
      <c r="H56" s="2751"/>
      <c r="I56" s="1963"/>
      <c r="J56" s="3225" t="str">
        <f>IF(项目基本情况!K6="上海银行",IF(J55="",4,J55+1),"")</f>
        <v/>
      </c>
      <c r="K56" s="3423" t="str">
        <f>IF(项目基本情况!K6="上海银行","其他处置费用","")</f>
        <v/>
      </c>
      <c r="L56" s="3424"/>
      <c r="M56" s="2718" t="str">
        <f>IF(项目基本情况!K6="上海银行",M69,"")</f>
        <v/>
      </c>
      <c r="N56" s="3423" t="str">
        <f>IF(项目基本情况!K6="上海银行","包含处置中涉及的律师、诉讼、拍卖、评估等费用","")</f>
        <v/>
      </c>
      <c r="O56" s="3426"/>
    </row>
    <row r="57" spans="1:35" ht="13.2">
      <c r="A57" s="3237" t="s">
        <v>1964</v>
      </c>
      <c r="B57" s="3466" t="s">
        <v>1989</v>
      </c>
      <c r="C57" s="3467"/>
      <c r="D57" s="1744">
        <v>0</v>
      </c>
      <c r="E57" s="329" t="s">
        <v>1966</v>
      </c>
      <c r="F57" s="307"/>
      <c r="G57" s="2748"/>
      <c r="H57" s="2752"/>
      <c r="I57" s="1963"/>
      <c r="J57" s="3442">
        <f>IF(AND(J55="",J56=""),4,IF(项目基本情况!K6="上海银行",'结果表 (3)'!J56+1,'结果表 (3)'!J55+1))</f>
        <v>5</v>
      </c>
      <c r="K57" s="3442" t="s">
        <v>1990</v>
      </c>
      <c r="L57" s="2723" t="s">
        <v>1991</v>
      </c>
      <c r="M57" s="2724"/>
      <c r="N57" s="2725">
        <f ca="1">SUMIF(M52:M56,"&lt;9e307")</f>
        <v>1062</v>
      </c>
      <c r="O57" s="2726"/>
      <c r="P57" s="2886">
        <f ca="1">N57/M49</f>
        <v>0.57592190889370931</v>
      </c>
    </row>
    <row r="58" spans="1:35" ht="25.2">
      <c r="A58" s="3237" t="s">
        <v>1975</v>
      </c>
      <c r="B58" s="3466" t="s">
        <v>1992</v>
      </c>
      <c r="C58" s="3465"/>
      <c r="D58" s="3220">
        <f ca="1">IF(H58="转让取得",C81,C97)</f>
        <v>1043</v>
      </c>
      <c r="E58" s="3235" t="s">
        <v>1987</v>
      </c>
      <c r="F58" s="307" t="s">
        <v>34</v>
      </c>
      <c r="G58" s="2748"/>
      <c r="H58" s="2751"/>
      <c r="I58" s="1963"/>
      <c r="J58" s="3442"/>
      <c r="K58" s="3442"/>
      <c r="L58" s="2723" t="s">
        <v>1993</v>
      </c>
      <c r="M58" s="2727"/>
      <c r="N58" s="2728" t="str">
        <f ca="1">NUMBERSTRING(INT(N57*10000),2)&amp;"元整"</f>
        <v>壹仟零陆拾贰万元整</v>
      </c>
      <c r="O58" s="2729"/>
    </row>
    <row r="59" spans="1:35" ht="24.6" thickBot="1">
      <c r="A59" s="3446" t="s">
        <v>1994</v>
      </c>
      <c r="B59" s="3447"/>
      <c r="C59" s="3447"/>
      <c r="D59" s="2753">
        <f ca="1">IF(H59="非个人房产","——",IF(H59="个人住宅（满五唯一有凭证）",0,IF(H59="个人其他（无凭证）",ROUND(D45*F59,0),ROUND(C67*F59,0))))</f>
        <v>18</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44">
        <f>J57+1</f>
        <v>6</v>
      </c>
      <c r="K59" s="3442" t="s">
        <v>1995</v>
      </c>
      <c r="L59" s="3225" t="s">
        <v>1991</v>
      </c>
      <c r="M59" s="2730"/>
      <c r="N59" s="2731">
        <f ca="1">M49-N57</f>
        <v>782</v>
      </c>
      <c r="O59" s="2732"/>
    </row>
    <row r="60" spans="1:35" ht="12" customHeight="1">
      <c r="A60" s="1964"/>
      <c r="B60" s="1902"/>
      <c r="C60" s="1902"/>
      <c r="D60" s="1902"/>
      <c r="E60" s="1732"/>
      <c r="F60" s="1963"/>
      <c r="G60" s="1963"/>
      <c r="H60" s="1965"/>
      <c r="I60" s="133"/>
      <c r="J60" s="3445"/>
      <c r="K60" s="3442"/>
      <c r="L60" s="2723" t="s">
        <v>1993</v>
      </c>
      <c r="M60" s="2727"/>
      <c r="N60" s="2728" t="str">
        <f ca="1">NUMBERSTRING(INT(N59*10000),2)&amp;"元整"</f>
        <v>柒佰捌拾贰万元整</v>
      </c>
      <c r="O60" s="2729"/>
    </row>
    <row r="61" spans="1:35" ht="13.8" thickBot="1">
      <c r="A61" s="3504" t="s">
        <v>1996</v>
      </c>
      <c r="B61" s="3504"/>
      <c r="C61" s="3504"/>
      <c r="D61" s="3504"/>
      <c r="E61" s="3504"/>
      <c r="F61" s="1963"/>
      <c r="G61" s="1963"/>
      <c r="H61" s="1965"/>
      <c r="I61" s="133"/>
      <c r="J61" s="3225">
        <f>J59+1</f>
        <v>7</v>
      </c>
      <c r="K61" s="3442" t="s">
        <v>1997</v>
      </c>
      <c r="L61" s="3442"/>
      <c r="M61" s="2733"/>
      <c r="N61" s="2734">
        <f ca="1">ROUND(N59*10000/'数据-汇总表'!E3,0)</f>
        <v>443</v>
      </c>
      <c r="O61" s="2735"/>
    </row>
    <row r="62" spans="1:35" ht="13.2">
      <c r="A62" s="3461" t="s">
        <v>1998</v>
      </c>
      <c r="B62" s="3462"/>
      <c r="C62" s="3230"/>
      <c r="D62" s="3230" t="s">
        <v>1999</v>
      </c>
      <c r="E62" s="170" t="s">
        <v>2000</v>
      </c>
      <c r="F62" s="1963"/>
      <c r="G62" s="1963"/>
      <c r="H62" s="1965"/>
      <c r="I62" s="133"/>
    </row>
    <row r="63" spans="1:35" ht="13.2">
      <c r="A63" s="177" t="s">
        <v>775</v>
      </c>
      <c r="B63" s="171" t="s">
        <v>2001</v>
      </c>
      <c r="C63" s="2757">
        <f ca="1">ROUND((C64+C65)/(1+'数据-取费表'!C42),0)</f>
        <v>1756</v>
      </c>
      <c r="D63" s="171"/>
      <c r="E63" s="172"/>
      <c r="F63" s="1963"/>
      <c r="G63" s="1963"/>
      <c r="H63" s="1965"/>
      <c r="I63" s="133"/>
      <c r="J63" s="3425" t="s">
        <v>2002</v>
      </c>
      <c r="K63" s="3221" t="s">
        <v>2003</v>
      </c>
      <c r="L63" s="3221">
        <f ca="1">IF(M49&gt;10000,M49*0.5%,IF(AND(M49&gt;1000,M49&lt;=10000),M49*1%,IF(AND(M49&gt;100,M49&lt;=1000),M49*3%,IF(AND(M49&gt;10,M49&lt;=100),M49*5%,M49*8%))))</f>
        <v>18.440000000000001</v>
      </c>
      <c r="M63" s="307">
        <f ca="1">ROUND(L63,1)</f>
        <v>18.399999999999999</v>
      </c>
      <c r="N63" s="2736"/>
      <c r="Z63" s="1907"/>
      <c r="AI63" s="1908"/>
    </row>
    <row r="64" spans="1:35" ht="14.25" customHeight="1">
      <c r="A64" s="173" t="s">
        <v>770</v>
      </c>
      <c r="B64" s="174" t="s">
        <v>2004</v>
      </c>
      <c r="C64" s="2758">
        <f ca="1">D45</f>
        <v>1844</v>
      </c>
      <c r="D64" s="174" t="s">
        <v>32</v>
      </c>
      <c r="E64" s="176"/>
      <c r="F64" s="1963"/>
      <c r="G64" s="1963"/>
      <c r="H64" s="1965"/>
      <c r="I64" s="133"/>
      <c r="J64" s="3425"/>
      <c r="K64" s="3221" t="s">
        <v>2005</v>
      </c>
      <c r="L64" s="3221">
        <f ca="1">IF(M49&gt;2000,M49*0.5%,IF(AND(M49&gt;1000,M49&lt;=2000),M49*0.6%,IF(AND(M49&gt;500,M49&lt;=1000),M49*0.7%,IF(AND(M49&gt;200,M49&lt;=500),M49*0.8%,IF(AND(M49&gt;100,M49&lt;=200),M49*0.9%,IF(AND(M49&gt;50,M49&lt;=100),M49*1%,IF(AND(M49&gt;20,M49&lt;=50),M49*1.5%,IF(AND(M49&gt;10,M49&lt;=20),M49*2%,IF(AND(M49&gt;1,M49&lt;=10),M49*2.5%)))))))))</f>
        <v>11.064</v>
      </c>
      <c r="M64" s="307">
        <f t="shared" ref="M64:M65" ca="1" si="1">ROUND(L64,1)</f>
        <v>11.1</v>
      </c>
      <c r="N64" s="2737" t="s">
        <v>2006</v>
      </c>
      <c r="Z64" s="1907"/>
      <c r="AI64" s="1908"/>
    </row>
    <row r="65" spans="1:35" ht="14.25" customHeight="1">
      <c r="A65" s="173" t="s">
        <v>771</v>
      </c>
      <c r="B65" s="174" t="s">
        <v>2007</v>
      </c>
      <c r="C65" s="2759"/>
      <c r="D65" s="174"/>
      <c r="E65" s="176"/>
      <c r="F65" s="1963"/>
      <c r="G65" s="1963"/>
      <c r="H65" s="1965"/>
      <c r="I65" s="133"/>
      <c r="J65" s="3425"/>
      <c r="K65" s="3221" t="s">
        <v>2008</v>
      </c>
      <c r="L65" s="3221">
        <f ca="1">IF(M49&gt;1000,M49*0.1%,IF(AND(M49&gt;500,M49&lt;=1000),M49*0.5%,IF(AND(M49&gt;50,M49&lt;=500),M49*1%,IF(AND(M49&gt;1,M49&lt;=50),M49*1.5%))))</f>
        <v>1.8440000000000001</v>
      </c>
      <c r="M65" s="307">
        <f t="shared" ca="1" si="1"/>
        <v>1.8</v>
      </c>
      <c r="N65" s="2737" t="s">
        <v>2006</v>
      </c>
      <c r="Z65" s="1907"/>
      <c r="AI65" s="1908"/>
    </row>
    <row r="66" spans="1:35" ht="14.25" customHeight="1">
      <c r="A66" s="177" t="s">
        <v>772</v>
      </c>
      <c r="B66" s="178" t="s">
        <v>2009</v>
      </c>
      <c r="C66" s="2760"/>
      <c r="D66" s="178" t="s">
        <v>32</v>
      </c>
      <c r="E66" s="1478" t="s">
        <v>1274</v>
      </c>
      <c r="F66" s="1963"/>
      <c r="G66" s="1963"/>
      <c r="H66" s="1965"/>
      <c r="I66" s="133"/>
      <c r="J66" s="3425"/>
      <c r="K66" s="3221" t="s">
        <v>2010</v>
      </c>
      <c r="L66" s="3221">
        <f ca="1">M49*0.5%</f>
        <v>9.2200000000000006</v>
      </c>
      <c r="M66" s="307">
        <f ca="1">IF(L66&gt;0.5,0.5,ROUND(L66,0))</f>
        <v>0.5</v>
      </c>
      <c r="N66" s="2737" t="s">
        <v>2011</v>
      </c>
      <c r="Z66" s="1907"/>
      <c r="AI66" s="1908"/>
    </row>
    <row r="67" spans="1:35" ht="14.25" customHeight="1">
      <c r="A67" s="177" t="s">
        <v>773</v>
      </c>
      <c r="B67" s="178" t="s">
        <v>2012</v>
      </c>
      <c r="C67" s="2761">
        <f ca="1">C63-C66</f>
        <v>1756</v>
      </c>
      <c r="D67" s="174" t="s">
        <v>32</v>
      </c>
      <c r="E67" s="176"/>
      <c r="F67" s="1963"/>
      <c r="G67" s="1963"/>
      <c r="H67" s="1965"/>
      <c r="I67" s="133"/>
      <c r="J67" s="3425"/>
      <c r="K67" s="3221" t="s">
        <v>2013</v>
      </c>
      <c r="L67" s="3221">
        <f ca="1">IF(M49&gt;=10000,(8.25+(M49-10000)*0.01%),IF(AND(M49&gt;=8000,M49&lt;10000),(7.85+(M49-8000)*0.02%),IF(AND(M49&gt;=5000,M49&lt;8000),(6.65+(M49-5000)*0.04%),IF(AND(M49&gt;=2000,M49&lt;5000),(4.25+(PM49-2000)*0.08%),IF(AND(M49&gt;=1000,M49&lt;2000),(2.75+(M49-1000)*0.15%),IF(AND(M49&gt;=100,M49&lt;1000),(0.5+(M49-100)*0.25%),IF(AND(M49&gt;0,M49&lt;100),M49*0.5%)))))))</f>
        <v>4.016</v>
      </c>
      <c r="M67" s="307">
        <f ca="1">ROUND(L67*0.9,1)</f>
        <v>3.6</v>
      </c>
      <c r="N67" s="2736"/>
      <c r="Z67" s="1907"/>
      <c r="AI67" s="1908"/>
    </row>
    <row r="68" spans="1:35" ht="14.25" customHeight="1" thickBot="1">
      <c r="A68" s="180" t="s">
        <v>774</v>
      </c>
      <c r="B68" s="181" t="s">
        <v>2014</v>
      </c>
      <c r="C68" s="2762">
        <f ca="1">IF(C67&lt;=0,0,ROUND(C67*D68,0))</f>
        <v>98</v>
      </c>
      <c r="D68" s="2763">
        <f>'数据-取费表'!B41</f>
        <v>5.6000000000000001E-2</v>
      </c>
      <c r="E68" s="183"/>
      <c r="F68" s="1963"/>
      <c r="G68" s="1963"/>
      <c r="H68" s="1965"/>
      <c r="I68" s="133"/>
      <c r="J68" s="3425"/>
      <c r="K68" s="3221" t="s">
        <v>2015</v>
      </c>
      <c r="L68" s="3221">
        <f ca="1">IF(M49&gt;10000,M49*0.5%,IF(AND(M49&gt;5000,M49&lt;=10000),M49*1%,IF(AND(M49&gt;1000,M49&lt;=5000),M49*2%,IF(AND(M49&gt;200,M49&lt;=1000),M49*3%,M49*5%))))</f>
        <v>36.880000000000003</v>
      </c>
      <c r="M68" s="307">
        <f ca="1">ROUND(L68,1)</f>
        <v>36.9</v>
      </c>
      <c r="N68" s="2736"/>
      <c r="Z68" s="1907"/>
      <c r="AI68" s="1908"/>
    </row>
    <row r="69" spans="1:35" s="1927" customFormat="1" ht="16.5" customHeight="1">
      <c r="A69" s="1966"/>
      <c r="B69" s="1967"/>
      <c r="C69" s="1968"/>
      <c r="D69" s="1969"/>
      <c r="E69" s="1970"/>
      <c r="F69" s="1732"/>
      <c r="G69" s="1732"/>
      <c r="H69" s="1731"/>
      <c r="I69" s="1902"/>
      <c r="J69" s="3425"/>
      <c r="K69" s="3221" t="s">
        <v>2016</v>
      </c>
      <c r="L69" s="3221"/>
      <c r="M69" s="307">
        <f ca="1">ROUND(SUM(M63:M68),0)</f>
        <v>72</v>
      </c>
      <c r="N69" s="2738">
        <f ca="1">M69/M49</f>
        <v>3.9045553145336226E-2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4.4" thickBot="1">
      <c r="A70" s="3469" t="s">
        <v>2017</v>
      </c>
      <c r="B70" s="3470"/>
      <c r="C70" s="3470"/>
      <c r="D70" s="3470"/>
      <c r="E70" s="3470"/>
      <c r="F70" s="3470"/>
      <c r="G70" s="3470"/>
      <c r="H70" s="3470"/>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461" t="s">
        <v>1998</v>
      </c>
      <c r="B71" s="3462"/>
      <c r="C71" s="3230"/>
      <c r="D71" s="3230"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7" t="s">
        <v>775</v>
      </c>
      <c r="B72" s="178" t="s">
        <v>2018</v>
      </c>
      <c r="C72" s="2761">
        <f ca="1">ROUND(D45/(1+'数据-取费表'!C42),0)</f>
        <v>1756</v>
      </c>
      <c r="D72" s="174" t="s">
        <v>32</v>
      </c>
      <c r="E72" s="3232"/>
      <c r="F72" s="3231"/>
      <c r="G72" s="3231"/>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7" t="s">
        <v>772</v>
      </c>
      <c r="B73" s="167" t="s">
        <v>2019</v>
      </c>
      <c r="C73" s="2761">
        <f ca="1">C74+C78</f>
        <v>11</v>
      </c>
      <c r="D73" s="174" t="s">
        <v>32</v>
      </c>
      <c r="E73" s="3232"/>
      <c r="F73" s="3231"/>
      <c r="G73" s="323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3232"/>
      <c r="F74" s="3231"/>
      <c r="G74" s="323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66" t="s">
        <v>2025</v>
      </c>
      <c r="F76" s="3465"/>
      <c r="G76" s="3465"/>
      <c r="H76" s="34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3220" t="s">
        <v>2027</v>
      </c>
      <c r="F77" s="191"/>
      <c r="G77" s="1977"/>
      <c r="H77" s="323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11</v>
      </c>
      <c r="D78" s="2770">
        <f>'数据-取费表'!B43</f>
        <v>6.000000000000001E-3</v>
      </c>
      <c r="E78" s="3458" t="s">
        <v>2029</v>
      </c>
      <c r="F78" s="3459"/>
      <c r="G78" s="3459"/>
      <c r="H78" s="346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7" t="s">
        <v>779</v>
      </c>
      <c r="B79" s="178" t="s">
        <v>2030</v>
      </c>
      <c r="C79" s="2761">
        <f ca="1">C72-C73</f>
        <v>1745</v>
      </c>
      <c r="D79" s="174" t="s">
        <v>32</v>
      </c>
      <c r="E79" s="3232"/>
      <c r="F79" s="3231"/>
      <c r="G79" s="323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158.63636363636363</v>
      </c>
      <c r="D80" s="174" t="s">
        <v>32</v>
      </c>
      <c r="E80" s="3220" t="str">
        <f ca="1">IF(C80&gt;=200%,"增值额超过扣除项目金额200%",IF(C80&gt;=100%,"增值额超过扣除项目金额100%，未超过200%",IF(C80&gt;=50%,"增值额超过扣除项目金额50%，未超过100%",IF(C80&lt;50%,"增值额未超过扣除项目金额50%"))))</f>
        <v>增值额超过扣除项目金额200%</v>
      </c>
      <c r="F80" s="3231"/>
      <c r="G80" s="323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0" t="s">
        <v>781</v>
      </c>
      <c r="B81" s="181" t="s">
        <v>2032</v>
      </c>
      <c r="C81" s="2772">
        <f ca="1">ROUND(IF(C79&lt;=0,0,IF(C80&gt;=200%,C79*60%-C73*35%,IF(C80&gt;=100%,C79*50%-C73*15%,IF(C80&gt;=50%,C79*40%-C73*5%,IF(C80&lt;50%,C79*30%,0))))),0)</f>
        <v>1043</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469" t="s">
        <v>2033</v>
      </c>
      <c r="B83" s="3470"/>
      <c r="C83" s="3470"/>
      <c r="D83" s="3470"/>
      <c r="E83" s="3470"/>
      <c r="F83" s="3470"/>
      <c r="G83" s="3470"/>
      <c r="H83" s="34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461" t="s">
        <v>1998</v>
      </c>
      <c r="B84" s="3462"/>
      <c r="C84" s="3230"/>
      <c r="D84" s="3230"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7" t="s">
        <v>775</v>
      </c>
      <c r="B85" s="178" t="s">
        <v>2018</v>
      </c>
      <c r="C85" s="2761">
        <f ca="1">ROUND(D45/(1+'数据-取费表'!C42),0)</f>
        <v>1756</v>
      </c>
      <c r="D85" s="174" t="s">
        <v>32</v>
      </c>
      <c r="E85" s="3232"/>
      <c r="F85" s="3231"/>
      <c r="G85" s="323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7" t="s">
        <v>772</v>
      </c>
      <c r="B86" s="167" t="s">
        <v>2019</v>
      </c>
      <c r="C86" s="2761">
        <f ca="1">IF(H88="仅含出让金",C87+C90+C91+C92+C93+C94,C87+C91+C92+C93+C94)</f>
        <v>11</v>
      </c>
      <c r="D86" s="2774"/>
      <c r="E86" s="3232"/>
      <c r="F86" s="3231"/>
      <c r="G86" s="323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3" t="s">
        <v>770</v>
      </c>
      <c r="B87" s="174" t="s">
        <v>2034</v>
      </c>
      <c r="C87" s="2769">
        <f>C88+C89</f>
        <v>0</v>
      </c>
      <c r="D87" s="2770"/>
      <c r="E87" s="3227"/>
      <c r="F87" s="3228"/>
      <c r="G87" s="3228"/>
      <c r="H87" s="322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3" t="s">
        <v>776</v>
      </c>
      <c r="B88" s="174" t="s">
        <v>2035</v>
      </c>
      <c r="C88" s="2775"/>
      <c r="D88" s="2770"/>
      <c r="E88" s="198" t="s">
        <v>2036</v>
      </c>
      <c r="F88" s="3228"/>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3" t="s">
        <v>777</v>
      </c>
      <c r="B89" s="174" t="s">
        <v>2026</v>
      </c>
      <c r="C89" s="2769">
        <f>ROUND(C88*D89,0)</f>
        <v>0</v>
      </c>
      <c r="D89" s="2770">
        <f>'数据-取费表'!B48+'数据-取费表'!B49</f>
        <v>3.0499999999999999E-2</v>
      </c>
      <c r="E89" s="198" t="s">
        <v>2038</v>
      </c>
      <c r="F89" s="3228"/>
      <c r="G89" s="3228"/>
      <c r="H89" s="322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3" t="s">
        <v>771</v>
      </c>
      <c r="B90" s="174" t="s">
        <v>2039</v>
      </c>
      <c r="C90" s="2775"/>
      <c r="D90" s="2770"/>
      <c r="E90" s="198" t="str">
        <f>IF(H88="-","土地取得成本中已包含该笔费用"," ")</f>
        <v xml:space="preserve"> </v>
      </c>
      <c r="F90" s="3228"/>
      <c r="G90" s="3427" t="s">
        <v>2807</v>
      </c>
      <c r="H90" s="3428"/>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58" t="s">
        <v>2042</v>
      </c>
      <c r="F91" s="3459"/>
      <c r="G91" s="345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58" t="s">
        <v>2045</v>
      </c>
      <c r="F92" s="3459"/>
      <c r="G92" s="3459"/>
      <c r="H92" s="3460"/>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11</v>
      </c>
      <c r="D93" s="2770">
        <f>'数据-取费表'!B43</f>
        <v>6.000000000000001E-3</v>
      </c>
      <c r="E93" s="3458" t="s">
        <v>2029</v>
      </c>
      <c r="F93" s="3459"/>
      <c r="G93" s="3459"/>
      <c r="H93" s="346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506" t="s">
        <v>2049</v>
      </c>
      <c r="F94" s="3507"/>
      <c r="G94" s="3507"/>
      <c r="H94" s="350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7" t="s">
        <v>779</v>
      </c>
      <c r="B95" s="178" t="s">
        <v>2030</v>
      </c>
      <c r="C95" s="2761">
        <f ca="1">ROUND(C85-C86,0)</f>
        <v>1745</v>
      </c>
      <c r="D95" s="174" t="s">
        <v>32</v>
      </c>
      <c r="E95" s="3232"/>
      <c r="F95" s="3231"/>
      <c r="G95" s="323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158.63636363636363</v>
      </c>
      <c r="D96" s="174" t="s">
        <v>32</v>
      </c>
      <c r="E96" s="3220" t="str">
        <f ca="1">IF(C96&gt;=200%,"增值额超过扣除项目金额200%",IF(C96&gt;=100%,"增值额超过扣除项目金额100%，未超过200%",IF(C96&gt;=50%,"增值额超过扣除项目金额50%，未超过100%",IF(C96&lt;50%,"增值额未超过扣除项目金额50%"))))</f>
        <v>增值额超过扣除项目金额200%</v>
      </c>
      <c r="F96" s="3231"/>
      <c r="G96" s="323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0" t="s">
        <v>781</v>
      </c>
      <c r="B97" s="181" t="s">
        <v>2032</v>
      </c>
      <c r="C97" s="2772">
        <f ca="1">ROUND(IF(C95&lt;=0,0,IF(C96&gt;=200%,C95*60%-C86*35%,IF(C96&gt;=100%,C95*50%-C86*15%,IF(C96&gt;=50%,C95*40%-C86*5%,IF(C96&lt;50%,C95*30%,0))))),0)</f>
        <v>1043</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82" t="s">
        <v>2051</v>
      </c>
      <c r="B100" s="3383"/>
      <c r="C100" s="3383"/>
      <c r="D100" s="3443"/>
      <c r="E100" s="3383" t="s">
        <v>2052</v>
      </c>
      <c r="F100" s="3383"/>
      <c r="G100" s="3383"/>
      <c r="H100" s="3443"/>
      <c r="I100" s="133"/>
    </row>
    <row r="101" spans="1:35" ht="18.75" customHeight="1">
      <c r="A101" s="3451" t="s">
        <v>2053</v>
      </c>
      <c r="B101" s="3452"/>
      <c r="C101" s="2778" t="str">
        <f>C4</f>
        <v>成本法 (3)</v>
      </c>
      <c r="D101" s="2779" t="str">
        <f>D4</f>
        <v>收益法 (3)</v>
      </c>
      <c r="E101" s="3421" t="s">
        <v>2054</v>
      </c>
      <c r="F101" s="3422"/>
      <c r="G101" s="1982" t="s">
        <v>2055</v>
      </c>
      <c r="H101" s="2788">
        <f ca="1">H118</f>
        <v>1844</v>
      </c>
      <c r="I101" s="133"/>
    </row>
    <row r="102" spans="1:35" ht="18.75" customHeight="1">
      <c r="A102" s="3453" t="s">
        <v>2056</v>
      </c>
      <c r="B102" s="2777" t="s">
        <v>2055</v>
      </c>
      <c r="C102" s="2778">
        <f ca="1">C19</f>
        <v>2230</v>
      </c>
      <c r="D102" s="2779">
        <f ca="1">D19</f>
        <v>1586</v>
      </c>
      <c r="E102" s="3421"/>
      <c r="F102" s="3422"/>
      <c r="G102" s="1982" t="s">
        <v>2057</v>
      </c>
      <c r="H102" s="2748">
        <f ca="1">I118</f>
        <v>35325</v>
      </c>
      <c r="I102" s="133"/>
    </row>
    <row r="103" spans="1:35" ht="42.75" customHeight="1">
      <c r="A103" s="3453"/>
      <c r="B103" s="2777" t="s">
        <v>2057</v>
      </c>
      <c r="C103" s="2780">
        <f ca="1">C20</f>
        <v>42719</v>
      </c>
      <c r="D103" s="2781">
        <f ca="1">D20</f>
        <v>30383</v>
      </c>
      <c r="E103" s="3414" t="s">
        <v>2058</v>
      </c>
      <c r="F103" s="3415"/>
      <c r="G103" s="1983" t="s">
        <v>2059</v>
      </c>
      <c r="H103" s="2788">
        <f>IF(D36="正常操作",H104+H105+H106,H105+H106)</f>
        <v>0</v>
      </c>
      <c r="I103" s="133"/>
    </row>
    <row r="104" spans="1:35" ht="18.75" customHeight="1">
      <c r="A104" s="3453" t="s">
        <v>2060</v>
      </c>
      <c r="B104" s="2782" t="s">
        <v>2055</v>
      </c>
      <c r="C104" s="2783">
        <f ca="1">H118</f>
        <v>1844</v>
      </c>
      <c r="D104" s="2784"/>
      <c r="E104" s="1829" t="s">
        <v>2061</v>
      </c>
      <c r="F104" s="1820"/>
      <c r="G104" s="1983" t="s">
        <v>2059</v>
      </c>
      <c r="H104" s="2789">
        <f>IF(D36="同一抵押权人同一抵押物续贷",C36&amp;"（续贷，未扣减，详见特别提示）",C36)</f>
        <v>0</v>
      </c>
      <c r="I104" s="133"/>
    </row>
    <row r="105" spans="1:35" ht="18.75" customHeight="1" thickBot="1">
      <c r="A105" s="3463"/>
      <c r="B105" s="2785" t="s">
        <v>2057</v>
      </c>
      <c r="C105" s="2786">
        <f ca="1">I118</f>
        <v>35325</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54" t="str">
        <f>IF(项目基本情况!E8="已注销","——","3.房地产抵押价值")</f>
        <v>3.房地产抵押价值</v>
      </c>
      <c r="F107" s="3422"/>
      <c r="G107" s="1982" t="s">
        <v>2055</v>
      </c>
      <c r="H107" s="2788">
        <f ca="1">IF(E107="——","——",H101-H103)</f>
        <v>1844</v>
      </c>
      <c r="I107" s="133"/>
    </row>
    <row r="108" spans="1:35" ht="18.75" customHeight="1">
      <c r="A108" s="133"/>
      <c r="B108" s="133"/>
      <c r="C108" s="133"/>
      <c r="D108" s="133"/>
      <c r="E108" s="3454"/>
      <c r="F108" s="3422"/>
      <c r="G108" s="1982" t="s">
        <v>2057</v>
      </c>
      <c r="H108" s="2748">
        <f ca="1">ROUND(H107*10000/'数据-汇总表'!E3,0)</f>
        <v>1045</v>
      </c>
      <c r="I108" s="133"/>
    </row>
    <row r="109" spans="1:35" ht="18.75" customHeight="1">
      <c r="A109" s="133"/>
      <c r="B109" s="133"/>
      <c r="C109" s="133"/>
      <c r="D109" s="133"/>
      <c r="E109" s="3454" t="str">
        <f>IF(项目基本情况!E8="已注销及未注销","4.抵押担保权已注销时的房地产抵押价值",IF(项目基本情况!E8="已注销","3.抵押担保权已注销时的房地产抵押价值","——"))</f>
        <v>——</v>
      </c>
      <c r="F109" s="3422"/>
      <c r="G109" s="1982" t="s">
        <v>2055</v>
      </c>
      <c r="H109" s="2791" t="str">
        <f>IF(E109="——","——",H101-H105-H106)</f>
        <v>——</v>
      </c>
      <c r="I109" s="133"/>
    </row>
    <row r="110" spans="1:35" ht="18.75" customHeight="1">
      <c r="A110" s="133"/>
      <c r="B110" s="133"/>
      <c r="C110" s="133"/>
      <c r="D110" s="133"/>
      <c r="E110" s="3454"/>
      <c r="F110" s="3422"/>
      <c r="G110" s="1982" t="s">
        <v>2057</v>
      </c>
      <c r="H110" s="2748" t="str">
        <f>IF(H109="——","——",ROUND(H109*10000/'数据-汇总表'!E3,0))</f>
        <v>——</v>
      </c>
      <c r="I110" s="133"/>
    </row>
    <row r="111" spans="1:35" ht="18.75" customHeight="1">
      <c r="A111" s="133"/>
      <c r="B111" s="133"/>
      <c r="C111" s="133"/>
      <c r="D111" s="133"/>
      <c r="E111" s="3455" t="str">
        <f>IF(项目基本情况!E9="抵押净值",IF(OR(项目基本情况!E8="已注销",项目基本情况!E8="房地产抵押价值"),"4.抵押净值","5.抵押净值"),"——")</f>
        <v>——</v>
      </c>
      <c r="F111" s="3441"/>
      <c r="G111" s="1982" t="s">
        <v>2055</v>
      </c>
      <c r="H111" s="2788" t="str">
        <f>IF(E111="——","——",N59)</f>
        <v>——</v>
      </c>
      <c r="I111" s="133"/>
    </row>
    <row r="112" spans="1:35" ht="18.75" customHeight="1" thickBot="1">
      <c r="A112" s="133"/>
      <c r="B112" s="133"/>
      <c r="C112" s="133"/>
      <c r="D112" s="133"/>
      <c r="E112" s="3456"/>
      <c r="F112" s="3457"/>
      <c r="G112" s="1985" t="s">
        <v>2057</v>
      </c>
      <c r="H112" s="2792" t="str">
        <f>IF(E111="——","——",N61)</f>
        <v>——</v>
      </c>
      <c r="I112" s="133"/>
    </row>
    <row r="113" spans="1:27" ht="18.75" customHeight="1">
      <c r="A113" s="133"/>
      <c r="B113" s="133"/>
      <c r="C113" s="133"/>
      <c r="D113" s="133"/>
      <c r="E113" s="3464" t="s">
        <v>2063</v>
      </c>
      <c r="F113" s="3464"/>
      <c r="G113" s="3464"/>
      <c r="H113" s="3464"/>
      <c r="I113" s="133"/>
    </row>
    <row r="114" spans="1:27" ht="3.75" customHeight="1">
      <c r="A114" s="1902"/>
      <c r="B114" s="1902"/>
      <c r="C114" s="1902"/>
      <c r="D114" s="1902"/>
      <c r="E114" s="1964"/>
      <c r="F114" s="1964"/>
      <c r="G114" s="1964"/>
      <c r="H114" s="1964"/>
      <c r="I114" s="1902"/>
    </row>
    <row r="115" spans="1:27" ht="18.75" customHeight="1">
      <c r="A115" s="3475" t="s">
        <v>2065</v>
      </c>
      <c r="B115" s="3476"/>
      <c r="C115" s="3476"/>
      <c r="D115" s="3476"/>
      <c r="E115" s="3476"/>
      <c r="F115" s="3476"/>
      <c r="G115" s="3476"/>
      <c r="H115" s="3476"/>
      <c r="I115" s="3477"/>
    </row>
    <row r="116" spans="1:27" ht="27" customHeight="1">
      <c r="A116" s="3429" t="s">
        <v>2066</v>
      </c>
      <c r="B116" s="3433" t="s">
        <v>2067</v>
      </c>
      <c r="C116" s="3433" t="s">
        <v>2068</v>
      </c>
      <c r="D116" s="3439" t="s">
        <v>2069</v>
      </c>
      <c r="E116" s="3440"/>
      <c r="F116" s="3471" t="s">
        <v>2070</v>
      </c>
      <c r="G116" s="3471"/>
      <c r="H116" s="3429" t="s">
        <v>2071</v>
      </c>
      <c r="I116" s="3429"/>
    </row>
    <row r="117" spans="1:27" ht="18.75" customHeight="1">
      <c r="A117" s="3429"/>
      <c r="B117" s="3434"/>
      <c r="C117" s="3434"/>
      <c r="D117" s="3223" t="s">
        <v>2072</v>
      </c>
      <c r="E117" s="3223" t="s">
        <v>2073</v>
      </c>
      <c r="F117" s="3223" t="s">
        <v>2072</v>
      </c>
      <c r="G117" s="3223" t="s">
        <v>2074</v>
      </c>
      <c r="H117" s="3223" t="s">
        <v>2072</v>
      </c>
      <c r="I117" s="3223" t="s">
        <v>2074</v>
      </c>
    </row>
    <row r="118" spans="1:27" ht="24.75" customHeight="1">
      <c r="A118" s="2793" t="str">
        <f>项目基本情况!S2</f>
        <v>北京市房地产</v>
      </c>
      <c r="B118" s="3223">
        <f>M18</f>
        <v>522.01</v>
      </c>
      <c r="C118" s="3223">
        <f>M19</f>
        <v>186.43</v>
      </c>
      <c r="D118" s="3223">
        <f ca="1">ROUND(IF(D32="总价",C34,E118*B118/10000),0)</f>
        <v>1612</v>
      </c>
      <c r="E118" s="3223">
        <f ca="1">ROUND(IF(C33="自定义",IF(D32="楼面单价",C34,D118*10000/B118),I118-G118),0)</f>
        <v>30881</v>
      </c>
      <c r="F118" s="3223">
        <f ca="1">ROUND(IF(D32="总价",C35,G118*B118/10000),0)</f>
        <v>232</v>
      </c>
      <c r="G118" s="3223">
        <f ca="1">ROUND(IF(D32="楼面单价",C35,F118*10000/B118),0)</f>
        <v>4444</v>
      </c>
      <c r="H118" s="3223">
        <f ca="1">ROUND(IF(D32="总价",C32,I118*B118/10000),0)</f>
        <v>1844</v>
      </c>
      <c r="I118" s="3223">
        <f ca="1">ROUND(IF(D32="楼面单价",C32,H118*10000/B118),0)</f>
        <v>35325</v>
      </c>
    </row>
    <row r="119" spans="1:27" ht="18.75" customHeight="1">
      <c r="A119" s="3429" t="s">
        <v>2075</v>
      </c>
      <c r="B119" s="3429"/>
      <c r="C119" s="3429"/>
      <c r="D119" s="3435" t="str">
        <f ca="1">NUMBERSTRING(INT(D118*10000),2)&amp;"元整"</f>
        <v>壹仟陆佰壹拾贰万元整</v>
      </c>
      <c r="E119" s="3436"/>
      <c r="F119" s="3435" t="str">
        <f ca="1">NUMBERSTRING(INT(F118*10000),2)&amp;"元整"</f>
        <v>贰佰叁拾贰万元整</v>
      </c>
      <c r="G119" s="3436"/>
      <c r="H119" s="3435" t="str">
        <f ca="1">NUMBERSTRING(INT(H118*10000),2)&amp;"元整"</f>
        <v>壹仟捌佰肆拾肆万元整</v>
      </c>
      <c r="I119" s="3436"/>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72" t="s">
        <v>2075</v>
      </c>
      <c r="B121" s="3473"/>
      <c r="C121" s="3474"/>
      <c r="D121" s="3435" t="str">
        <f>IF(D120=0,"零元整",NUMBERSTRING(INT(D120*10000),2)&amp;"元整")</f>
        <v>零元整</v>
      </c>
      <c r="E121" s="3437"/>
      <c r="F121" s="3437"/>
      <c r="G121" s="3437"/>
      <c r="H121" s="3437"/>
      <c r="I121" s="3436"/>
      <c r="AA121" s="733"/>
    </row>
    <row r="122" spans="1:27" ht="18.75" customHeight="1">
      <c r="A122" s="3441" t="str">
        <f>IF(项目基本情况!B9="房地产市场价值","",MID(E107,3,LEN(E107)-2))</f>
        <v>房地产抵押价值</v>
      </c>
      <c r="B122" s="3441"/>
      <c r="C122" s="3441"/>
      <c r="D122" s="3430">
        <f ca="1">H107</f>
        <v>1844</v>
      </c>
      <c r="E122" s="3431"/>
      <c r="F122" s="3431"/>
      <c r="G122" s="3431"/>
      <c r="H122" s="3431"/>
      <c r="I122" s="3432"/>
      <c r="AA122" s="733"/>
    </row>
    <row r="123" spans="1:27" ht="18.75" customHeight="1">
      <c r="A123" s="3429" t="s">
        <v>2075</v>
      </c>
      <c r="B123" s="3429"/>
      <c r="C123" s="3429"/>
      <c r="D123" s="3435" t="str">
        <f ca="1">NUMBERSTRING(INT(D122*10000),2)&amp;"元整"</f>
        <v>壹仟捌佰肆拾肆万元整</v>
      </c>
      <c r="E123" s="3437"/>
      <c r="F123" s="3437"/>
      <c r="G123" s="3437"/>
      <c r="H123" s="3437"/>
      <c r="I123" s="3436"/>
      <c r="AA123" s="733"/>
    </row>
    <row r="124" spans="1:27" ht="18.75" customHeight="1">
      <c r="A124" s="3441" t="str">
        <f>IF(项目基本情况!B9="房地产市场价值","",MID(E109,3,LEN(E109)-2))</f>
        <v/>
      </c>
      <c r="B124" s="3441"/>
      <c r="C124" s="3441"/>
      <c r="D124" s="3430" t="str">
        <f>H109</f>
        <v>——</v>
      </c>
      <c r="E124" s="3431"/>
      <c r="F124" s="3431"/>
      <c r="G124" s="3431"/>
      <c r="H124" s="3431"/>
      <c r="I124" s="3432"/>
      <c r="AA124" s="733"/>
    </row>
    <row r="125" spans="1:27" ht="18.75" customHeight="1">
      <c r="A125" s="3429" t="s">
        <v>2075</v>
      </c>
      <c r="B125" s="3429"/>
      <c r="C125" s="3429"/>
      <c r="D125" s="3435" t="e">
        <f>NUMBERSTRING(INT(D124*10000),2)&amp;"元整"</f>
        <v>#VALUE!</v>
      </c>
      <c r="E125" s="3437"/>
      <c r="F125" s="3437"/>
      <c r="G125" s="3437"/>
      <c r="H125" s="3437"/>
      <c r="I125" s="3436"/>
      <c r="AA125" s="733"/>
    </row>
    <row r="126" spans="1:27" ht="18.75" customHeight="1">
      <c r="A126" s="3441" t="str">
        <f>IF(项目基本情况!B9="房地产市场价值","",MID(E111,3,LEN(E111)-2))</f>
        <v/>
      </c>
      <c r="B126" s="3441"/>
      <c r="C126" s="3441"/>
      <c r="D126" s="3430" t="str">
        <f>H111</f>
        <v>——</v>
      </c>
      <c r="E126" s="3431"/>
      <c r="F126" s="3431"/>
      <c r="G126" s="3431"/>
      <c r="H126" s="3431"/>
      <c r="I126" s="3432"/>
      <c r="AA126" s="733"/>
    </row>
    <row r="127" spans="1:27" ht="18.75" customHeight="1">
      <c r="A127" s="3429" t="s">
        <v>2075</v>
      </c>
      <c r="B127" s="3429"/>
      <c r="C127" s="3429"/>
      <c r="D127" s="3435" t="e">
        <f>NUMBERSTRING(INT(D126*10000),2)&amp;"元整"</f>
        <v>#VALUE!</v>
      </c>
      <c r="E127" s="3437"/>
      <c r="F127" s="3437"/>
      <c r="G127" s="3437"/>
      <c r="H127" s="3437"/>
      <c r="I127" s="3436"/>
      <c r="AA127" s="733"/>
    </row>
    <row r="128" spans="1:27" ht="21.75" customHeight="1">
      <c r="A128" s="3438" t="s">
        <v>2076</v>
      </c>
      <c r="B128" s="3438"/>
      <c r="C128" s="3438"/>
      <c r="D128" s="3438"/>
      <c r="E128" s="3438"/>
      <c r="F128" s="3438"/>
      <c r="G128" s="3438"/>
      <c r="H128" s="3438"/>
      <c r="I128" s="343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0" zoomScaleNormal="70" zoomScaleSheetLayoutView="80" workbookViewId="0">
      <selection activeCell="C43" sqref="C43"/>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2084</v>
      </c>
      <c r="B1" s="1623" t="s">
        <v>3237</v>
      </c>
      <c r="C1" s="203"/>
      <c r="D1" s="203"/>
      <c r="E1" s="203"/>
      <c r="F1" s="203"/>
      <c r="G1" s="1259">
        <f>MATCH(B1,'数据-取费表'!A6:A16,0)+5</f>
        <v>8</v>
      </c>
    </row>
    <row r="2" spans="1:9" s="205" customFormat="1" ht="18" customHeight="1">
      <c r="A2" s="206" t="s">
        <v>2085</v>
      </c>
      <c r="B2" s="207">
        <f ca="1">IF(D2="——",C52,C52-E2)</f>
        <v>2230</v>
      </c>
      <c r="C2" s="204" t="s">
        <v>2086</v>
      </c>
      <c r="D2" s="2008" t="s">
        <v>70</v>
      </c>
      <c r="E2" s="1302" t="e">
        <f ca="1">SUMIF(INDIRECT("'"&amp;G2&amp;"'"&amp;"!A:A"),"承租人权益价值",INDIRECT("'"&amp;G2&amp;"'"&amp;"!c:c"))</f>
        <v>#REF!</v>
      </c>
      <c r="F2" s="2009" t="s">
        <v>2086</v>
      </c>
      <c r="G2" s="2010"/>
    </row>
    <row r="3" spans="1:9" s="205" customFormat="1" ht="18" customHeight="1" thickBot="1">
      <c r="A3" s="208" t="s">
        <v>1297</v>
      </c>
      <c r="B3" s="209">
        <f ca="1">ROUND(B2*10000/(IF(B1="",'数据-汇总表'!E3,INDIRECT("'数据-取费表'!k"&amp;$G$1))),0)</f>
        <v>42719</v>
      </c>
      <c r="C3" s="204" t="s">
        <v>2088</v>
      </c>
      <c r="D3" s="204"/>
      <c r="E3" s="204"/>
      <c r="F3" s="204"/>
      <c r="G3" s="204"/>
    </row>
    <row r="4" spans="1:9" s="213" customFormat="1" ht="16.2">
      <c r="A4" s="210" t="s">
        <v>2089</v>
      </c>
      <c r="B4" s="211"/>
      <c r="C4" s="211"/>
      <c r="D4" s="211"/>
      <c r="E4" s="211"/>
      <c r="F4" s="211"/>
      <c r="G4" s="212"/>
    </row>
    <row r="5" spans="1:9" s="219" customFormat="1" ht="13.5" customHeight="1">
      <c r="A5" s="260" t="s">
        <v>2090</v>
      </c>
      <c r="B5" s="215" t="s">
        <v>2091</v>
      </c>
      <c r="C5" s="216">
        <f ca="1">C6+C7+C8</f>
        <v>1405</v>
      </c>
      <c r="D5" s="216" t="s">
        <v>2092</v>
      </c>
      <c r="E5" s="217" t="s">
        <v>2093</v>
      </c>
      <c r="F5" s="217" t="s">
        <v>2094</v>
      </c>
      <c r="G5" s="218"/>
    </row>
    <row r="6" spans="1:9" s="219" customFormat="1" ht="13.5" customHeight="1">
      <c r="A6" s="885" t="s">
        <v>794</v>
      </c>
      <c r="B6" s="220" t="s">
        <v>2096</v>
      </c>
      <c r="C6" s="221">
        <f>信息!L18</f>
        <v>1354</v>
      </c>
      <c r="D6" s="222"/>
      <c r="E6" s="223"/>
      <c r="F6" s="223"/>
      <c r="G6" s="224"/>
    </row>
    <row r="7" spans="1:9" s="219" customFormat="1" ht="13.5" customHeight="1">
      <c r="A7" s="885" t="s">
        <v>2097</v>
      </c>
      <c r="B7" s="220" t="s">
        <v>2098</v>
      </c>
      <c r="C7" s="225">
        <f>ROUND(C6*F7,0)</f>
        <v>41</v>
      </c>
      <c r="D7" s="225"/>
      <c r="E7" s="223"/>
      <c r="F7" s="226">
        <f>IF(项目基本情况!B8="出让",0,'数据-取费表'!B48+'数据-取费表'!B49)</f>
        <v>3.0499999999999999E-2</v>
      </c>
      <c r="G7" s="224"/>
    </row>
    <row r="8" spans="1:9" s="228" customFormat="1">
      <c r="A8" s="885" t="s">
        <v>793</v>
      </c>
      <c r="B8" s="220" t="s">
        <v>2100</v>
      </c>
      <c r="C8" s="225">
        <f ca="1">IF(G8="已包含在土地购买价格中","0",IF(B1="",'数据-取费表'!B29,IF(G9="全部缴纳",C9+C10,H9)))</f>
        <v>10</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10</v>
      </c>
      <c r="D10" s="953">
        <f ca="1">IF(B1="",'数据-汇总表'!E6,IF(INDIRECT("'数据-取费表'!c"&amp;$G$1)="住宅",INDIRECT("'数据-取费表'!s"&amp;$G$1),INDIRECT("'数据-取费表'!k"&amp;$G$1)+INDIRECT("'数据-取费表'!s"&amp;$G$1)))</f>
        <v>522.01</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522.01</v>
      </c>
      <c r="E19" s="216">
        <f>'数据-取费表'!B31</f>
        <v>200</v>
      </c>
      <c r="F19" s="236"/>
      <c r="G19" s="2011" t="s">
        <v>3192</v>
      </c>
    </row>
    <row r="20" spans="1:7" s="219" customFormat="1" ht="13.5" customHeight="1">
      <c r="A20" s="260" t="s">
        <v>2116</v>
      </c>
      <c r="B20" s="215" t="s">
        <v>2117</v>
      </c>
      <c r="C20" s="237">
        <f ca="1">ROUND((C5+C19)*F20,0)</f>
        <v>28</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121</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120</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793</v>
      </c>
      <c r="B25" s="220" t="s">
        <v>2132</v>
      </c>
      <c r="C25" s="1236">
        <f ca="1">ROUND(IF('数据-取费表'!B22&lt;=1,C20*F22*'数据-取费表'!B23/2,C20*(POWER((1+F22),'数据-取费表'!B23/2)-1)),0)</f>
        <v>1</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6.4">
      <c r="A27" s="260" t="s">
        <v>2135</v>
      </c>
      <c r="B27" s="249" t="s">
        <v>2136</v>
      </c>
      <c r="C27" s="250">
        <f ca="1">C28</f>
        <v>287</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287</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1997</v>
      </c>
      <c r="D31" s="235"/>
      <c r="E31" s="216"/>
      <c r="F31" s="255"/>
      <c r="G31" s="239" t="s">
        <v>2145</v>
      </c>
    </row>
    <row r="32" spans="1:7" s="213" customFormat="1" ht="16.2">
      <c r="A32" s="257" t="s">
        <v>2146</v>
      </c>
      <c r="B32" s="258"/>
      <c r="C32" s="258"/>
      <c r="D32" s="258"/>
      <c r="E32" s="258"/>
      <c r="F32" s="258"/>
      <c r="G32" s="259"/>
    </row>
    <row r="33" spans="1:7" s="219" customFormat="1" ht="13.5" customHeight="1">
      <c r="A33" s="260" t="s">
        <v>782</v>
      </c>
      <c r="B33" s="215" t="s">
        <v>2147</v>
      </c>
      <c r="C33" s="261">
        <f ca="1">SUM(C34:C38)</f>
        <v>174</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157</v>
      </c>
      <c r="D34" s="222"/>
      <c r="E34" s="225"/>
      <c r="F34" s="262">
        <f ca="1">IF('数据-取费表'!B24=0,1,IF(B1="",'数据-取费表'!N16,INDIRECT("'数据-取费表'!n"&amp;$G$1)))</f>
        <v>1</v>
      </c>
      <c r="G34" s="224" t="s">
        <v>2149</v>
      </c>
    </row>
    <row r="35" spans="1:7" ht="13.5" customHeight="1">
      <c r="A35" s="887" t="s">
        <v>796</v>
      </c>
      <c r="B35" s="220" t="s">
        <v>2150</v>
      </c>
      <c r="C35" s="225">
        <f ca="1">ROUND(C34*F35,0)</f>
        <v>5</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10</v>
      </c>
      <c r="D37" s="222">
        <f ca="1">D19</f>
        <v>522.01</v>
      </c>
      <c r="E37" s="254">
        <f>'数据-取费表'!B35</f>
        <v>200</v>
      </c>
      <c r="F37" s="264"/>
      <c r="G37" s="266" t="s">
        <v>2155</v>
      </c>
    </row>
    <row r="38" spans="1:7" ht="13.5" customHeight="1">
      <c r="A38" s="887" t="s">
        <v>799</v>
      </c>
      <c r="B38" s="220" t="s">
        <v>2156</v>
      </c>
      <c r="C38" s="225">
        <f ca="1">ROUND(C34*F38,0)</f>
        <v>2</v>
      </c>
      <c r="D38" s="225"/>
      <c r="E38" s="225"/>
      <c r="F38" s="264">
        <f>'数据-取费表'!B36</f>
        <v>1.4999999999999999E-2</v>
      </c>
      <c r="G38" s="224" t="s">
        <v>2151</v>
      </c>
    </row>
    <row r="39" spans="1:7" s="219" customFormat="1" ht="13.5" customHeight="1">
      <c r="A39" s="260" t="s">
        <v>2157</v>
      </c>
      <c r="B39" s="215" t="s">
        <v>2158</v>
      </c>
      <c r="C39" s="237">
        <f ca="1">ROUND(C33*F20,0)</f>
        <v>3</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7</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7</v>
      </c>
      <c r="D42" s="243"/>
      <c r="E42" s="243"/>
      <c r="F42" s="244"/>
      <c r="G42" s="3511" t="s">
        <v>2167</v>
      </c>
    </row>
    <row r="43" spans="1:7" ht="13.5" customHeight="1">
      <c r="A43" s="887" t="s">
        <v>792</v>
      </c>
      <c r="B43" s="220" t="s">
        <v>2168</v>
      </c>
      <c r="C43" s="3640">
        <f ca="1">ROUND(IF('数据-取费表'!B22&lt;=1,C39*F22*'数据-取费表'!B21/2,C39*(POWER((1+F22),'数据-取费表'!B21/2)-1)),1)</f>
        <v>0.1</v>
      </c>
      <c r="D43" s="243"/>
      <c r="E43" s="243"/>
      <c r="F43" s="244"/>
      <c r="G43" s="3512"/>
    </row>
    <row r="44" spans="1:7" ht="13.5" customHeight="1">
      <c r="A44" s="887" t="s">
        <v>793</v>
      </c>
      <c r="B44" s="220" t="s">
        <v>2169</v>
      </c>
      <c r="C44" s="243">
        <f ca="1">ROUND(IF('数据-取费表'!B22&lt;=1,C40*F22*'数据-取费表'!B21/2,C40*(POWER((1+F22),'数据-取费表'!B21/2)-1)),4)</f>
        <v>8.0000000000000004E-4</v>
      </c>
      <c r="D44" s="243"/>
      <c r="E44" s="243"/>
      <c r="F44" s="244"/>
      <c r="G44" s="3513"/>
    </row>
    <row r="45" spans="1:7" s="219" customFormat="1" ht="13.5" customHeight="1">
      <c r="A45" s="260" t="s">
        <v>2170</v>
      </c>
      <c r="B45" s="249" t="s">
        <v>2136</v>
      </c>
      <c r="C45" s="250">
        <f ca="1">C46</f>
        <v>35</v>
      </c>
      <c r="D45" s="240">
        <f ca="1">C47</f>
        <v>4.0000000000000001E-3</v>
      </c>
      <c r="E45" s="241" t="s">
        <v>2162</v>
      </c>
      <c r="F45" s="2506">
        <f ca="1">F27</f>
        <v>0.2</v>
      </c>
      <c r="G45" s="252" t="s">
        <v>2171</v>
      </c>
    </row>
    <row r="46" spans="1:7" s="219" customFormat="1" ht="13.5" customHeight="1">
      <c r="A46" s="887" t="s">
        <v>791</v>
      </c>
      <c r="B46" s="253" t="s">
        <v>2172</v>
      </c>
      <c r="C46" s="254">
        <f ca="1">ROUND((C33+C39)*F27,0)</f>
        <v>35</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238</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233</v>
      </c>
      <c r="D51" s="237"/>
      <c r="E51" s="237"/>
      <c r="F51" s="269"/>
      <c r="G51" s="239" t="s">
        <v>2183</v>
      </c>
    </row>
    <row r="52" spans="1:7" s="213" customFormat="1" ht="16.8" thickBot="1">
      <c r="A52" s="270" t="s">
        <v>2184</v>
      </c>
      <c r="B52" s="271"/>
      <c r="C52" s="272">
        <f ca="1">C31+C51</f>
        <v>2230</v>
      </c>
      <c r="D52" s="271"/>
      <c r="E52" s="271"/>
      <c r="F52" s="271"/>
      <c r="G52" s="273"/>
    </row>
    <row r="55" spans="1:7" ht="15">
      <c r="B55" s="275" t="s">
        <v>2185</v>
      </c>
      <c r="C55" s="276"/>
    </row>
    <row r="56" spans="1:7">
      <c r="B56" s="278" t="s">
        <v>1415</v>
      </c>
      <c r="C56" s="280">
        <f ca="1">1-C57</f>
        <v>0.89600000000000002</v>
      </c>
    </row>
    <row r="57" spans="1:7">
      <c r="B57" s="278" t="s">
        <v>1416</v>
      </c>
      <c r="C57" s="279">
        <f ca="1">ROUND(C51/C52,3)</f>
        <v>0.104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F10" sqref="F1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5.44140625" style="263" customWidth="1"/>
    <col min="8" max="8" width="8.44140625" style="263" customWidth="1"/>
    <col min="9" max="9" width="21.21875" style="263" customWidth="1"/>
    <col min="10" max="10" width="12.21875" style="263" customWidth="1"/>
    <col min="11" max="11" width="45.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1491</v>
      </c>
      <c r="B1" s="721"/>
      <c r="C1" s="1532" t="s">
        <v>3237</v>
      </c>
      <c r="D1" s="1515" t="s">
        <v>70</v>
      </c>
      <c r="E1" s="1516" t="s">
        <v>1289</v>
      </c>
      <c r="F1" s="1192">
        <f ca="1">J53</f>
        <v>33.840000000000003</v>
      </c>
      <c r="G1" s="1531">
        <f>MATCH(C1,'数据-取费表'!A6:A16,0)+5</f>
        <v>8</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1586</v>
      </c>
      <c r="C2" s="1540" t="s">
        <v>1418</v>
      </c>
      <c r="D2" s="1540"/>
      <c r="E2" s="1541"/>
      <c r="F2" s="1542"/>
      <c r="G2" s="2902"/>
      <c r="H2" s="2891"/>
      <c r="I2" s="2891"/>
      <c r="J2" s="2891"/>
      <c r="K2" s="2892"/>
      <c r="L2" s="2891"/>
      <c r="M2" s="2891"/>
    </row>
    <row r="3" spans="1:37" ht="18" customHeight="1" thickBot="1">
      <c r="A3" s="1543" t="s">
        <v>1419</v>
      </c>
      <c r="B3" s="1544">
        <f ca="1">IF(ISERROR(B2*10000/F43),0,ROUND(B2*10000/F43,0))</f>
        <v>30383</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86</v>
      </c>
      <c r="D5" s="1517" t="s">
        <v>1304</v>
      </c>
      <c r="E5" s="1202"/>
      <c r="F5" s="1203"/>
      <c r="G5" s="1537"/>
      <c r="H5" s="304">
        <v>1</v>
      </c>
      <c r="I5" s="305" t="s">
        <v>1303</v>
      </c>
      <c r="J5" s="1201">
        <f ca="1">J6+J10+J12</f>
        <v>0</v>
      </c>
      <c r="K5" s="1517" t="s">
        <v>1304</v>
      </c>
      <c r="L5" s="1202"/>
      <c r="M5" s="1203"/>
    </row>
    <row r="6" spans="1:37" ht="18" customHeight="1">
      <c r="A6" s="1200" t="s">
        <v>1003</v>
      </c>
      <c r="B6" s="3516" t="s">
        <v>1305</v>
      </c>
      <c r="C6" s="1205">
        <f ca="1">ROUND(F6*F8*F7*(1-F9)/10000,0)</f>
        <v>86</v>
      </c>
      <c r="D6" s="159" t="s">
        <v>2786</v>
      </c>
      <c r="E6" s="307" t="s">
        <v>1307</v>
      </c>
      <c r="F6" s="308">
        <f ca="1">INDIRECT("'数据-取费表'!u"&amp;$G$1)</f>
        <v>5</v>
      </c>
      <c r="G6" s="1537"/>
      <c r="H6" s="1200" t="s">
        <v>1003</v>
      </c>
      <c r="I6" s="3516" t="s">
        <v>1305</v>
      </c>
      <c r="J6" s="306">
        <f ca="1">ROUND(M6*M8*M7*(1-M9)/10000,0)</f>
        <v>0</v>
      </c>
      <c r="K6" s="159" t="s">
        <v>2785</v>
      </c>
      <c r="L6" s="307" t="s">
        <v>1307</v>
      </c>
      <c r="M6" s="308">
        <f ca="1">INDIRECT("'数据-取费表'!z"&amp;$G$1)</f>
        <v>0</v>
      </c>
    </row>
    <row r="7" spans="1:37" ht="18" customHeight="1">
      <c r="A7" s="1204"/>
      <c r="B7" s="3517"/>
      <c r="C7" s="1206"/>
      <c r="D7" s="312"/>
      <c r="E7" s="3222" t="s">
        <v>1308</v>
      </c>
      <c r="F7" s="308">
        <f ca="1">IF(INDIRECT("'数据-取费表'!ah"&amp;$G$1)="",INDIRECT("'数据-取费表'!k"&amp;$G$1),INDIRECT("'数据-取费表'!ah"&amp;$G$1))</f>
        <v>522.01</v>
      </c>
      <c r="G7" s="1537"/>
      <c r="H7" s="309"/>
      <c r="I7" s="3517"/>
      <c r="J7" s="311"/>
      <c r="K7" s="312"/>
      <c r="L7" s="307" t="s">
        <v>1308</v>
      </c>
      <c r="M7" s="308">
        <f ca="1">F7</f>
        <v>522.01</v>
      </c>
    </row>
    <row r="8" spans="1:37" ht="18" customHeight="1">
      <c r="A8" s="309"/>
      <c r="B8" s="3517"/>
      <c r="C8" s="311"/>
      <c r="D8" s="312"/>
      <c r="E8" s="307" t="s">
        <v>1309</v>
      </c>
      <c r="F8" s="308">
        <f ca="1">INDIRECT("'数据-取费表'!ai"&amp;$G$1)</f>
        <v>365</v>
      </c>
      <c r="G8" s="1537"/>
      <c r="H8" s="309"/>
      <c r="I8" s="3517"/>
      <c r="J8" s="311"/>
      <c r="K8" s="312"/>
      <c r="L8" s="307" t="s">
        <v>1309</v>
      </c>
      <c r="M8" s="308">
        <f ca="1">INDIRECT("'数据-取费表'!ai"&amp;$G$1)</f>
        <v>365</v>
      </c>
    </row>
    <row r="9" spans="1:37" ht="18" customHeight="1">
      <c r="A9" s="309"/>
      <c r="B9" s="3518"/>
      <c r="C9" s="311"/>
      <c r="D9" s="312"/>
      <c r="E9" s="307" t="s">
        <v>1310</v>
      </c>
      <c r="F9" s="317">
        <f ca="1">INDIRECT("'数据-取费表'!w"&amp;$G$1)</f>
        <v>0.1</v>
      </c>
      <c r="G9" s="1537"/>
      <c r="H9" s="309"/>
      <c r="I9" s="3518"/>
      <c r="J9" s="311"/>
      <c r="K9" s="312"/>
      <c r="L9" s="318" t="s">
        <v>1310</v>
      </c>
      <c r="M9" s="319">
        <f ca="1">INDIRECT("'数据-取费表'!ab"&amp;$G$1)</f>
        <v>0</v>
      </c>
    </row>
    <row r="10" spans="1:37" ht="18" customHeight="1">
      <c r="A10" s="1200" t="s">
        <v>1007</v>
      </c>
      <c r="B10" s="1518" t="s">
        <v>1311</v>
      </c>
      <c r="C10" s="321">
        <f ca="1">ROUND(IF(F10="押一",C6/12*F11,IF(F10="押二",C6/12*2*F11,IF(F10="押三",C6/12*3*F11,C11*F11))),0)</f>
        <v>0</v>
      </c>
      <c r="D10" s="1519" t="s">
        <v>2794</v>
      </c>
      <c r="E10" s="318" t="s">
        <v>1312</v>
      </c>
      <c r="F10" s="3271"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233</v>
      </c>
      <c r="D13" s="3215" t="s">
        <v>1317</v>
      </c>
      <c r="E13" s="3215"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157</v>
      </c>
      <c r="D14" s="3232" t="s">
        <v>1320</v>
      </c>
      <c r="E14" s="3231"/>
      <c r="F14" s="324"/>
      <c r="G14" s="1537"/>
      <c r="H14" s="1112" t="s">
        <v>1003</v>
      </c>
      <c r="I14" s="307" t="s">
        <v>1321</v>
      </c>
      <c r="J14" s="23">
        <f ca="1">C29</f>
        <v>238</v>
      </c>
      <c r="K14" s="3220"/>
      <c r="L14" s="915"/>
      <c r="M14" s="916"/>
    </row>
    <row r="15" spans="1:37" s="1550" customFormat="1" ht="18" customHeight="1" thickBot="1">
      <c r="A15" s="1112" t="s">
        <v>1004</v>
      </c>
      <c r="B15" s="307" t="s">
        <v>1322</v>
      </c>
      <c r="C15" s="23">
        <f ca="1">ROUND(C14*F15,0)</f>
        <v>5</v>
      </c>
      <c r="D15" s="3216" t="s">
        <v>1323</v>
      </c>
      <c r="E15" s="3216"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6</v>
      </c>
      <c r="K16" s="1218" t="s">
        <v>1327</v>
      </c>
      <c r="L16" s="3236"/>
      <c r="M16" s="1203"/>
    </row>
    <row r="17" spans="1:37" s="1550" customFormat="1" ht="18" customHeight="1">
      <c r="A17" s="1112" t="s">
        <v>1292</v>
      </c>
      <c r="B17" s="307" t="s">
        <v>1328</v>
      </c>
      <c r="C17" s="23">
        <f ca="1">ROUND(F17*(F43+INDIRECT("'数据-取费表'!S"&amp;$G$1))/10000,0)</f>
        <v>10</v>
      </c>
      <c r="D17" s="307" t="s">
        <v>1329</v>
      </c>
      <c r="E17" s="307" t="s">
        <v>1330</v>
      </c>
      <c r="F17" s="25">
        <f>'数据-取费表'!B35</f>
        <v>200</v>
      </c>
      <c r="G17" s="1549"/>
      <c r="H17" s="1112" t="s">
        <v>1003</v>
      </c>
      <c r="I17" s="307" t="s">
        <v>1331</v>
      </c>
      <c r="J17" s="2503">
        <f ca="1">ROUND(IF(AND(项目基本情况!B11="自然人",项目基本情况!B10="北京市"),J6*M17/(1+'数据-取费表'!C42),J18+J19+J20),0)</f>
        <v>2</v>
      </c>
      <c r="K17" s="3232" t="s">
        <v>1332</v>
      </c>
      <c r="L17" s="3235"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2</v>
      </c>
      <c r="D18" s="307" t="s">
        <v>1323</v>
      </c>
      <c r="E18" s="307" t="s">
        <v>1324</v>
      </c>
      <c r="F18" s="327">
        <f>'数据-取费表'!B36</f>
        <v>1.4999999999999999E-2</v>
      </c>
      <c r="G18" s="1549"/>
      <c r="H18" s="1112" t="s">
        <v>1002</v>
      </c>
      <c r="I18" s="307" t="s">
        <v>1335</v>
      </c>
      <c r="J18" s="23">
        <f ca="1">ROUND(J6*M18/(1+'数据-取费表'!C42),2)</f>
        <v>0</v>
      </c>
      <c r="K18" s="3235"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174</v>
      </c>
      <c r="D19" s="135" t="s">
        <v>1338</v>
      </c>
      <c r="E19" s="3239"/>
      <c r="F19" s="25"/>
      <c r="G19" s="1537"/>
      <c r="H19" s="1112" t="s">
        <v>1004</v>
      </c>
      <c r="I19" s="307" t="s">
        <v>1339</v>
      </c>
      <c r="J19" s="23">
        <f ca="1">IF(K19="按租金收入计税",ROUND(J6*M19/(1+'数据-取费表'!C42),2),ROUND(C29*M19*0.7,2))</f>
        <v>2</v>
      </c>
      <c r="K19" s="1523" t="s">
        <v>1340</v>
      </c>
      <c r="L19" s="307" t="s">
        <v>1324</v>
      </c>
      <c r="M19" s="327">
        <f>IF(K19="按租金收入计税",'数据-取费表'!B51,'数据-取费表'!B50)</f>
        <v>1.2E-2</v>
      </c>
    </row>
    <row r="20" spans="1:37" s="1550" customFormat="1" ht="18" customHeight="1">
      <c r="A20" s="1112" t="s">
        <v>1007</v>
      </c>
      <c r="B20" s="307" t="s">
        <v>1341</v>
      </c>
      <c r="C20" s="23">
        <f ca="1">ROUND(C19*F20,0)</f>
        <v>3</v>
      </c>
      <c r="D20" s="328" t="s">
        <v>1342</v>
      </c>
      <c r="E20" s="307" t="s">
        <v>1324</v>
      </c>
      <c r="F20" s="327">
        <f>'数据-取费表'!B37</f>
        <v>0.02</v>
      </c>
      <c r="G20" s="1549"/>
      <c r="H20" s="1112" t="s">
        <v>1291</v>
      </c>
      <c r="I20" s="159" t="s">
        <v>1343</v>
      </c>
      <c r="J20" s="24">
        <f ca="1">ROUND(M20*M21/10000,2)</f>
        <v>0.06</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186.43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3239"/>
      <c r="F22" s="25"/>
      <c r="G22" s="1537"/>
      <c r="H22" s="1112" t="s">
        <v>1007</v>
      </c>
      <c r="I22" s="307" t="s">
        <v>1351</v>
      </c>
      <c r="J22" s="23">
        <f ca="1">ROUND(J14*M22,1)</f>
        <v>3.6</v>
      </c>
      <c r="K22" s="3235"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7</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3235" t="s">
        <v>1356</v>
      </c>
      <c r="L23" s="307" t="s">
        <v>1324</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1294</v>
      </c>
      <c r="I24" s="1221" t="s">
        <v>1341</v>
      </c>
      <c r="J24" s="1222">
        <f ca="1">ROUND(J5*M24,1)</f>
        <v>0</v>
      </c>
      <c r="K24" s="1223" t="s">
        <v>1361</v>
      </c>
      <c r="L24" s="1221" t="s">
        <v>1324</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3239"/>
      <c r="F25" s="25"/>
      <c r="G25" s="1537"/>
      <c r="H25" s="1210" t="s">
        <v>999</v>
      </c>
      <c r="I25" s="1225" t="s">
        <v>1365</v>
      </c>
      <c r="J25" s="315">
        <f ca="1">J5-J16</f>
        <v>-6</v>
      </c>
      <c r="K25" s="1226" t="s">
        <v>1366</v>
      </c>
      <c r="L25" s="1227"/>
      <c r="M25" s="1228"/>
    </row>
    <row r="26" spans="1:37">
      <c r="A26" s="1112" t="s">
        <v>1002</v>
      </c>
      <c r="B26" s="307" t="s">
        <v>1367</v>
      </c>
      <c r="C26" s="23">
        <f ca="1">ROUND((C19+C20)*F26,0)</f>
        <v>35</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16"/>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238</v>
      </c>
      <c r="D29" s="1223"/>
      <c r="E29" s="1221"/>
      <c r="F29" s="1224"/>
      <c r="G29" s="1549"/>
      <c r="H29" s="339" t="s">
        <v>1001</v>
      </c>
      <c r="I29" s="340" t="s">
        <v>1381</v>
      </c>
      <c r="J29" s="341">
        <f ca="1">ROUND(J26/(1+F40)^F41,0)</f>
        <v>0</v>
      </c>
      <c r="K29" s="342" t="s">
        <v>1382</v>
      </c>
      <c r="L29" s="343"/>
      <c r="M29" s="344">
        <f ca="1">INDIRECT("'数据-取费表'!k"&amp;$G$1)</f>
        <v>522.01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19</v>
      </c>
      <c r="D30" s="1218" t="s">
        <v>1327</v>
      </c>
      <c r="E30" s="3236"/>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14</v>
      </c>
      <c r="D31" s="3232" t="s">
        <v>1332</v>
      </c>
      <c r="E31" s="3235"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4.59</v>
      </c>
      <c r="D32" s="3235"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9.83</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0.06</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186.43</v>
      </c>
      <c r="G35" s="1537"/>
      <c r="H35" s="2893"/>
      <c r="I35" s="1551"/>
      <c r="J35" s="1552"/>
      <c r="K35" s="2897"/>
      <c r="L35" s="2896"/>
      <c r="M35" s="2896"/>
    </row>
    <row r="36" spans="1:18" ht="18" customHeight="1">
      <c r="A36" s="1233" t="s">
        <v>1007</v>
      </c>
      <c r="B36" s="307" t="s">
        <v>1351</v>
      </c>
      <c r="C36" s="23">
        <f ca="1">ROUND(C29*F36,1)</f>
        <v>3.6</v>
      </c>
      <c r="D36" s="3235"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0.2</v>
      </c>
      <c r="D37" s="3235" t="s">
        <v>1356</v>
      </c>
      <c r="E37" s="307" t="s">
        <v>1324</v>
      </c>
      <c r="F37" s="335">
        <f ca="1">INDIRECT("'数据-取费表'!Al"&amp;$G$1)</f>
        <v>1E-3</v>
      </c>
      <c r="G37" s="1537"/>
      <c r="H37" s="2896"/>
      <c r="I37" s="1551"/>
      <c r="J37" s="1552"/>
      <c r="K37" s="2737"/>
      <c r="L37" s="2896"/>
      <c r="M37" s="2896"/>
    </row>
    <row r="38" spans="1:18" ht="18" customHeight="1" thickBot="1">
      <c r="A38" s="1220" t="s">
        <v>1294</v>
      </c>
      <c r="B38" s="1221" t="s">
        <v>1341</v>
      </c>
      <c r="C38" s="1222">
        <f ca="1">ROUND(C5*F38,1)</f>
        <v>1.3</v>
      </c>
      <c r="D38" s="1223" t="s">
        <v>1361</v>
      </c>
      <c r="E38" s="1221" t="s">
        <v>1324</v>
      </c>
      <c r="F38" s="1217">
        <f ca="1">INDIRECT("'数据-取费表'!Am"&amp;$G$1)</f>
        <v>1.4999999999999999E-2</v>
      </c>
      <c r="G38" s="1537"/>
      <c r="H38" s="2896"/>
      <c r="I38" s="1551"/>
      <c r="J38" s="1552"/>
      <c r="K38" s="2900"/>
      <c r="L38" s="2896"/>
      <c r="M38" s="2896"/>
    </row>
    <row r="39" spans="1:18" ht="24.6" customHeight="1" thickTop="1">
      <c r="A39" s="1210" t="s">
        <v>999</v>
      </c>
      <c r="B39" s="1225" t="s">
        <v>1365</v>
      </c>
      <c r="C39" s="315">
        <f ca="1">C5-C30</f>
        <v>67</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1490</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28544</v>
      </c>
      <c r="D43" s="342" t="s">
        <v>1390</v>
      </c>
      <c r="E43" s="343" t="s">
        <v>1391</v>
      </c>
      <c r="F43" s="344">
        <f ca="1">INDIRECT("'数据-取费表'!k"&amp;$G$1)</f>
        <v>522.01</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8" thickBot="1">
      <c r="A46" s="1557" t="s">
        <v>1422</v>
      </c>
      <c r="C46" s="1558">
        <f ca="1">C68-C40</f>
        <v>-1855</v>
      </c>
      <c r="D46" s="1559" t="str">
        <f>C2</f>
        <v>万元</v>
      </c>
      <c r="E46" s="1553"/>
      <c r="F46" s="1553"/>
      <c r="I46" s="1560" t="s">
        <v>1423</v>
      </c>
      <c r="J46" s="1561"/>
      <c r="K46" s="1562"/>
      <c r="L46" s="1563">
        <f ca="1">IF(M47="住宅",0,IF(L48&gt;J51,L60,J60))</f>
        <v>96</v>
      </c>
      <c r="O46" s="1564" t="s">
        <v>1424</v>
      </c>
      <c r="P46" s="1565" t="s">
        <v>1425</v>
      </c>
      <c r="Q46" s="1566" t="s">
        <v>1426</v>
      </c>
      <c r="R46" s="1566" t="s">
        <v>1427</v>
      </c>
    </row>
    <row r="47" spans="1:18" s="1537" customFormat="1" ht="13.8"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1490</v>
      </c>
      <c r="R47" s="1573" t="s">
        <v>1431</v>
      </c>
    </row>
    <row r="48" spans="1:18" s="1537" customFormat="1" ht="40.200000000000003" thickBot="1">
      <c r="A48" s="1241" t="s">
        <v>1044</v>
      </c>
      <c r="B48" s="305" t="s">
        <v>1303</v>
      </c>
      <c r="C48" s="3238">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96</v>
      </c>
      <c r="R48" s="1573" t="s">
        <v>1435</v>
      </c>
    </row>
    <row r="49" spans="1:18" s="1537" customFormat="1" ht="13.8"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238</v>
      </c>
      <c r="R49" s="1573" t="s">
        <v>1431</v>
      </c>
    </row>
    <row r="50" spans="1:18" s="1537" customFormat="1" ht="13.8" thickBot="1">
      <c r="A50" s="1106"/>
      <c r="B50" s="1109"/>
      <c r="C50" s="1249"/>
      <c r="D50" s="1083"/>
      <c r="E50" s="1186" t="s">
        <v>1308</v>
      </c>
      <c r="F50" s="1187">
        <f ca="1">F7</f>
        <v>522.01</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8"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957</v>
      </c>
      <c r="M51" s="1589"/>
      <c r="O51" s="1581" t="s">
        <v>1012</v>
      </c>
      <c r="P51" s="1572" t="s">
        <v>1444</v>
      </c>
      <c r="Q51" s="1584">
        <f>J52</f>
        <v>1.1000000000000001E-3</v>
      </c>
      <c r="R51" s="1573"/>
    </row>
    <row r="52" spans="1:18" s="1537" customFormat="1" ht="13.8" thickBot="1">
      <c r="A52" s="1107"/>
      <c r="B52" s="1109"/>
      <c r="C52" s="1110"/>
      <c r="D52" s="1083"/>
      <c r="E52" s="1111" t="s">
        <v>1310</v>
      </c>
      <c r="F52" s="1184"/>
      <c r="I52" s="1590" t="s">
        <v>1445</v>
      </c>
      <c r="J52" s="1591">
        <f>'数据-取费表'!I7*2%</f>
        <v>1.1000000000000001E-3</v>
      </c>
      <c r="K52" s="1590" t="s">
        <v>1446</v>
      </c>
      <c r="L52" s="1591"/>
      <c r="O52" s="1581" t="s">
        <v>1013</v>
      </c>
      <c r="P52" s="1572" t="s">
        <v>1447</v>
      </c>
      <c r="Q52" s="1573">
        <f ca="1">J53</f>
        <v>33.840000000000003</v>
      </c>
      <c r="R52" s="1573" t="s">
        <v>1448</v>
      </c>
    </row>
    <row r="53" spans="1:18" s="1537" customFormat="1" ht="36.6"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14" t="s">
        <v>1450</v>
      </c>
      <c r="L53" s="3515"/>
      <c r="O53" s="1571" t="s">
        <v>1014</v>
      </c>
      <c r="P53" s="1572" t="s">
        <v>1451</v>
      </c>
      <c r="Q53" s="1573">
        <f ca="1">Q47+Q48</f>
        <v>1586</v>
      </c>
      <c r="R53" s="1573" t="s">
        <v>1015</v>
      </c>
    </row>
    <row r="54" spans="1:18" s="1537" customFormat="1" ht="24.6" thickBot="1">
      <c r="A54" s="1286"/>
      <c r="B54" s="1520" t="s">
        <v>1290</v>
      </c>
      <c r="C54" s="1089"/>
      <c r="D54" s="1519"/>
      <c r="E54" s="322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8" thickBot="1">
      <c r="A55" s="1214" t="s">
        <v>1043</v>
      </c>
      <c r="B55" s="1522" t="s">
        <v>1315</v>
      </c>
      <c r="C55" s="1215"/>
      <c r="D55" s="1519"/>
      <c r="E55" s="3224"/>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37.200000000000003" thickTop="1" thickBot="1">
      <c r="A56" s="1087">
        <v>2</v>
      </c>
      <c r="B56" s="1088" t="s">
        <v>1316</v>
      </c>
      <c r="C56" s="237">
        <f ca="1">C13</f>
        <v>233</v>
      </c>
      <c r="D56" s="1600"/>
      <c r="E56" s="1601"/>
      <c r="F56" s="1593"/>
      <c r="I56" s="1602" t="s">
        <v>1456</v>
      </c>
      <c r="J56" s="1603" t="s">
        <v>3125</v>
      </c>
      <c r="K56" s="1574" t="s">
        <v>1457</v>
      </c>
      <c r="L56" s="1577" t="str">
        <f ca="1">IF(L48&lt;J51,"——",L48-J53)</f>
        <v>——</v>
      </c>
      <c r="O56" s="1571" t="s">
        <v>1008</v>
      </c>
      <c r="P56" s="1572" t="s">
        <v>1430</v>
      </c>
      <c r="Q56" s="1573">
        <f ca="1">C40+J29</f>
        <v>1490</v>
      </c>
      <c r="R56" s="1573" t="s">
        <v>1431</v>
      </c>
    </row>
    <row r="57" spans="1:18" s="1537" customFormat="1" ht="24.6" thickBot="1">
      <c r="A57" s="1604"/>
      <c r="B57" s="1080" t="s">
        <v>1380</v>
      </c>
      <c r="C57" s="243">
        <f ca="1">C29</f>
        <v>238</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6" thickBot="1">
      <c r="A58" s="320" t="s">
        <v>998</v>
      </c>
      <c r="B58" s="1088" t="s">
        <v>1326</v>
      </c>
      <c r="C58" s="321">
        <f ca="1">ROUND(C59+C64+C65+C66,0)</f>
        <v>24</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6" thickBot="1">
      <c r="A59" s="1112" t="s">
        <v>1003</v>
      </c>
      <c r="B59" s="1080" t="s">
        <v>1331</v>
      </c>
      <c r="C59" s="2503">
        <f ca="1">ROUND(IF(AND(项目基本情况!B11="自然人",项目基本情况!B10="北京市"),C49*F59/(1+'数据-取费表'!C42),C60+C61+C62),0)</f>
        <v>20</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100</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2"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96</v>
      </c>
      <c r="K60" s="1613" t="s">
        <v>1468</v>
      </c>
      <c r="L60" s="1612">
        <f ca="1">IF(OR(M47="住宅",L48&lt;J51),0,ROUND(L57*(L58/L59-1),0))</f>
        <v>0</v>
      </c>
      <c r="O60" s="1581" t="s">
        <v>1012</v>
      </c>
      <c r="P60" s="1572" t="s">
        <v>1469</v>
      </c>
      <c r="Q60" s="1573" t="e">
        <f ca="1">L58</f>
        <v>#DIV/0!</v>
      </c>
      <c r="R60" s="1573" t="s">
        <v>1470</v>
      </c>
    </row>
    <row r="61" spans="1:18" s="1537" customFormat="1" ht="13.8" thickBot="1">
      <c r="A61" s="1112" t="s">
        <v>1394</v>
      </c>
      <c r="B61" s="1080" t="s">
        <v>1339</v>
      </c>
      <c r="C61" s="23">
        <f ca="1">IF(项目基本情况!B11="自然人","——",IF(D61="按租金收入计税",ROUND(C49*F61/(1+'数据-取费表'!C42),2),IF(D61="按房产原值计税",ROUND(C57*F61*0.7,2),INDIRECT("'数据-取费表'!Aj"&amp;$G$1))))</f>
        <v>19.989999999999998</v>
      </c>
      <c r="D61" s="1523" t="s">
        <v>1340</v>
      </c>
      <c r="E61" s="1080" t="s">
        <v>1324</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8" thickBot="1">
      <c r="A62" s="1112" t="s">
        <v>1397</v>
      </c>
      <c r="B62" s="1079" t="s">
        <v>1343</v>
      </c>
      <c r="C62" s="24">
        <f ca="1">IF(项目基本情况!B11="自然人","——",ROUND(F62*F63/10000,2))</f>
        <v>0.06</v>
      </c>
      <c r="D62" s="1095" t="s">
        <v>1344</v>
      </c>
      <c r="E62" s="1080" t="s">
        <v>1345</v>
      </c>
      <c r="F62" s="330">
        <f t="shared" si="0"/>
        <v>3</v>
      </c>
      <c r="I62" s="1615" t="s">
        <v>1472</v>
      </c>
      <c r="J62" s="1616" t="s">
        <v>1473</v>
      </c>
      <c r="K62" s="1616" t="s">
        <v>1474</v>
      </c>
      <c r="L62" s="1616" t="s">
        <v>1475</v>
      </c>
      <c r="M62" s="1617" t="s">
        <v>1476</v>
      </c>
      <c r="O62" s="1571" t="s">
        <v>1014</v>
      </c>
      <c r="P62" s="1572" t="s">
        <v>1451</v>
      </c>
      <c r="Q62" s="1573">
        <f ca="1">Q56+Q57</f>
        <v>1490</v>
      </c>
      <c r="R62" s="1573" t="s">
        <v>1015</v>
      </c>
    </row>
    <row r="63" spans="1:18" s="1537" customFormat="1" ht="13.8" thickBot="1">
      <c r="A63" s="331"/>
      <c r="B63" s="1086"/>
      <c r="C63" s="28"/>
      <c r="D63" s="1096"/>
      <c r="E63" s="1080" t="s">
        <v>1349</v>
      </c>
      <c r="F63" s="308">
        <f t="shared" ca="1" si="0"/>
        <v>186.43</v>
      </c>
      <c r="I63" s="1615" t="s">
        <v>1478</v>
      </c>
      <c r="J63" s="1616">
        <v>70</v>
      </c>
      <c r="K63" s="1616">
        <v>50</v>
      </c>
      <c r="L63" s="1616">
        <v>80</v>
      </c>
      <c r="M63" s="1618">
        <v>0.02</v>
      </c>
      <c r="O63" s="1556" t="s">
        <v>1479</v>
      </c>
      <c r="P63" s="1534"/>
      <c r="Q63" s="1534"/>
      <c r="R63" s="1534"/>
    </row>
    <row r="64" spans="1:18" s="1537" customFormat="1" ht="13.8" thickBot="1">
      <c r="A64" s="1112" t="s">
        <v>1402</v>
      </c>
      <c r="B64" s="1080" t="s">
        <v>1351</v>
      </c>
      <c r="C64" s="23">
        <f ca="1">ROUND(C57*F64,1)</f>
        <v>3.6</v>
      </c>
      <c r="D64" s="1094" t="s">
        <v>1384</v>
      </c>
      <c r="E64" s="1080" t="s">
        <v>1324</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8" thickBot="1">
      <c r="A65" s="1112" t="s">
        <v>1405</v>
      </c>
      <c r="B65" s="1080" t="s">
        <v>1355</v>
      </c>
      <c r="C65" s="23">
        <f ca="1">ROUND(C56*F65,1)</f>
        <v>0.2</v>
      </c>
      <c r="D65" s="1094" t="s">
        <v>1356</v>
      </c>
      <c r="E65" s="1080" t="s">
        <v>1324</v>
      </c>
      <c r="F65" s="335">
        <f t="shared" ca="1" si="0"/>
        <v>1E-3</v>
      </c>
      <c r="I65" s="1615" t="s">
        <v>1481</v>
      </c>
      <c r="J65" s="1616">
        <v>40</v>
      </c>
      <c r="K65" s="1616">
        <v>30</v>
      </c>
      <c r="L65" s="1616">
        <v>50</v>
      </c>
      <c r="M65" s="1618">
        <v>0.02</v>
      </c>
      <c r="O65" s="1571" t="s">
        <v>1008</v>
      </c>
      <c r="P65" s="1572" t="s">
        <v>1430</v>
      </c>
      <c r="Q65" s="1573">
        <f ca="1">C40+J29</f>
        <v>1490</v>
      </c>
      <c r="R65" s="1573" t="s">
        <v>1431</v>
      </c>
    </row>
    <row r="66" spans="1:18" s="1537" customFormat="1" ht="16.2" thickBot="1">
      <c r="A66" s="1112" t="s">
        <v>1406</v>
      </c>
      <c r="B66" s="1080" t="s">
        <v>1341</v>
      </c>
      <c r="C66" s="23">
        <f ca="1">ROUND(C48*F66,1)</f>
        <v>0</v>
      </c>
      <c r="D66" s="1094" t="s">
        <v>1361</v>
      </c>
      <c r="E66" s="1080" t="s">
        <v>1324</v>
      </c>
      <c r="F66" s="317">
        <f t="shared" ca="1" si="0"/>
        <v>1.4999999999999999E-2</v>
      </c>
      <c r="O66" s="1571" t="s">
        <v>1009</v>
      </c>
      <c r="P66" s="1572" t="s">
        <v>1460</v>
      </c>
      <c r="Q66" s="1573">
        <f ca="1">L60</f>
        <v>0</v>
      </c>
      <c r="R66" s="1573" t="s">
        <v>1483</v>
      </c>
    </row>
    <row r="67" spans="1:18" s="1537" customFormat="1" ht="24.6" thickBot="1">
      <c r="A67" s="1087" t="s">
        <v>999</v>
      </c>
      <c r="B67" s="1097" t="s">
        <v>1365</v>
      </c>
      <c r="C67" s="321">
        <f ca="1">C48-C58</f>
        <v>-24</v>
      </c>
      <c r="D67" s="1093" t="s">
        <v>1366</v>
      </c>
      <c r="E67" s="1098"/>
      <c r="F67" s="1099"/>
      <c r="O67" s="1581" t="s">
        <v>1010</v>
      </c>
      <c r="P67" s="1572" t="s">
        <v>1464</v>
      </c>
      <c r="Q67" s="1619">
        <f ca="1">L51</f>
        <v>957</v>
      </c>
      <c r="R67" s="1573" t="s">
        <v>1484</v>
      </c>
    </row>
    <row r="68" spans="1:18" s="1537" customFormat="1" ht="16.2" thickBot="1">
      <c r="A68" s="1077" t="s">
        <v>1000</v>
      </c>
      <c r="B68" s="1078" t="s">
        <v>1387</v>
      </c>
      <c r="C68" s="306">
        <f ca="1">ROUND(C67*(1-((1+F70)/(1+F68))^F69)/(F68-F70),0)</f>
        <v>-365</v>
      </c>
      <c r="D68" s="1095" t="s">
        <v>1371</v>
      </c>
      <c r="E68" s="1080" t="s">
        <v>1372</v>
      </c>
      <c r="F68" s="317">
        <f ca="1">F40</f>
        <v>5.5E-2</v>
      </c>
      <c r="O68" s="1581" t="s">
        <v>1011</v>
      </c>
      <c r="P68" s="1620" t="s">
        <v>1485</v>
      </c>
      <c r="Q68" s="1573">
        <f ca="1">ROUND(Q69-Q70*Q71,0)</f>
        <v>51</v>
      </c>
      <c r="R68" s="1573" t="s">
        <v>1019</v>
      </c>
    </row>
    <row r="69" spans="1:18" s="1537" customFormat="1" ht="13.8" thickBot="1">
      <c r="A69" s="1081"/>
      <c r="B69" s="1082"/>
      <c r="C69" s="311"/>
      <c r="D69" s="1100" t="s">
        <v>1375</v>
      </c>
      <c r="E69" s="1080" t="s">
        <v>1376</v>
      </c>
      <c r="F69" s="338">
        <f ca="1">F41</f>
        <v>33.840000000000003</v>
      </c>
      <c r="O69" s="1581" t="s">
        <v>1016</v>
      </c>
      <c r="P69" s="1620" t="s">
        <v>1486</v>
      </c>
      <c r="Q69" s="1573">
        <f ca="1">C39</f>
        <v>67</v>
      </c>
      <c r="R69" s="1573" t="s">
        <v>1431</v>
      </c>
    </row>
    <row r="70" spans="1:18" s="1537" customFormat="1" ht="13.8" thickBot="1">
      <c r="A70" s="1084"/>
      <c r="B70" s="1085"/>
      <c r="C70" s="315"/>
      <c r="D70" s="1096"/>
      <c r="E70" s="1080" t="s">
        <v>1379</v>
      </c>
      <c r="F70" s="1184"/>
      <c r="O70" s="1581" t="s">
        <v>1017</v>
      </c>
      <c r="P70" s="1620" t="s">
        <v>1487</v>
      </c>
      <c r="Q70" s="1573">
        <f ca="1">C13</f>
        <v>233</v>
      </c>
      <c r="R70" s="1573" t="s">
        <v>1431</v>
      </c>
    </row>
    <row r="71" spans="1:18" s="1537" customFormat="1" ht="13.8" thickBot="1">
      <c r="A71" s="1101" t="s">
        <v>1001</v>
      </c>
      <c r="B71" s="1102" t="s">
        <v>1389</v>
      </c>
      <c r="C71" s="341">
        <f ca="1">ROUND(C68*10000/F71,0)</f>
        <v>-6992</v>
      </c>
      <c r="D71" s="1103" t="s">
        <v>1390</v>
      </c>
      <c r="E71" s="1104" t="s">
        <v>1391</v>
      </c>
      <c r="F71" s="344">
        <f ca="1">F43</f>
        <v>522.01</v>
      </c>
      <c r="O71" s="1581" t="s">
        <v>1018</v>
      </c>
      <c r="P71" s="1620" t="s">
        <v>1488</v>
      </c>
      <c r="Q71" s="1584">
        <f ca="1">C76</f>
        <v>7.0000000000000007E-2</v>
      </c>
      <c r="R71" s="1573"/>
    </row>
    <row r="72" spans="1:18" s="1537" customFormat="1" ht="13.8" thickBot="1">
      <c r="B72" s="734"/>
      <c r="C72" s="734"/>
      <c r="O72" s="1581" t="s">
        <v>1012</v>
      </c>
      <c r="P72" s="1572" t="s">
        <v>1466</v>
      </c>
      <c r="Q72" s="1584">
        <f>L52</f>
        <v>0</v>
      </c>
      <c r="R72" s="1573"/>
    </row>
    <row r="73" spans="1:18" ht="16.2" thickBot="1">
      <c r="A73" s="1537"/>
      <c r="B73" s="734"/>
      <c r="C73" s="734"/>
      <c r="D73" s="1537"/>
      <c r="E73" s="1537"/>
      <c r="F73" s="1537"/>
      <c r="O73" s="1581" t="s">
        <v>1013</v>
      </c>
      <c r="P73" s="1572" t="s">
        <v>1469</v>
      </c>
      <c r="Q73" s="1573" t="e">
        <f ca="1">L58</f>
        <v>#DIV/0!</v>
      </c>
      <c r="R73" s="1573" t="s">
        <v>1470</v>
      </c>
    </row>
    <row r="74" spans="1:18" ht="13.8"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8" thickBot="1">
      <c r="A75" s="1537"/>
      <c r="B75" s="345" t="s">
        <v>1408</v>
      </c>
      <c r="C75" s="346">
        <f ca="1">ROUND(C13*C76,0)</f>
        <v>16</v>
      </c>
      <c r="D75" s="1537"/>
      <c r="E75" s="1537"/>
      <c r="F75" s="1537"/>
      <c r="K75" s="1555"/>
      <c r="L75" s="1537"/>
      <c r="O75" s="1571" t="s">
        <v>1014</v>
      </c>
      <c r="P75" s="1572" t="s">
        <v>1451</v>
      </c>
      <c r="Q75" s="1573">
        <f ca="1">Q65+Q66</f>
        <v>1490</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0.76100000000000001</v>
      </c>
    </row>
    <row r="80" spans="1:18">
      <c r="B80" s="345" t="s">
        <v>1413</v>
      </c>
      <c r="C80" s="279">
        <f ca="1">ROUND(C75/C39,3)</f>
        <v>0.23899999999999999</v>
      </c>
    </row>
    <row r="81" spans="2:3">
      <c r="B81" s="275" t="s">
        <v>1414</v>
      </c>
      <c r="C81" s="243"/>
    </row>
    <row r="82" spans="2:3">
      <c r="B82" s="278" t="s">
        <v>1415</v>
      </c>
      <c r="C82" s="280">
        <f ca="1">1-C83</f>
        <v>0.84399999999999997</v>
      </c>
    </row>
    <row r="83" spans="2:3">
      <c r="B83" s="278" t="s">
        <v>1416</v>
      </c>
      <c r="C83" s="279">
        <f ca="1">ROUND(C13/C40,3)</f>
        <v>0.156</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1491</v>
      </c>
      <c r="B1" s="721"/>
      <c r="C1" s="1532"/>
      <c r="D1" s="1515"/>
      <c r="E1" s="1516" t="s">
        <v>1289</v>
      </c>
      <c r="F1" s="1192">
        <f ca="1">J53</f>
        <v>0</v>
      </c>
      <c r="G1" s="1531">
        <f>MATCH(C1,'数据-取费表'!A6:A16,0)+5</f>
        <v>9</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1492</v>
      </c>
      <c r="B2" s="1539" t="e">
        <f ca="1">ROUND(D2/10000,0)</f>
        <v>#DIV/0!</v>
      </c>
      <c r="C2" s="1540" t="s">
        <v>1493</v>
      </c>
      <c r="D2" s="1624" t="e">
        <f ca="1">C40+J29+L46</f>
        <v>#DIV/0!</v>
      </c>
      <c r="E2" s="1541" t="s">
        <v>1494</v>
      </c>
      <c r="F2" s="1542"/>
      <c r="G2" s="2902"/>
      <c r="H2" s="2891"/>
      <c r="I2" s="2891"/>
      <c r="J2" s="2891"/>
      <c r="K2" s="2892"/>
      <c r="L2" s="2891"/>
      <c r="M2" s="2891"/>
    </row>
    <row r="3" spans="1:37" ht="18" customHeight="1" thickBot="1">
      <c r="A3" s="1543" t="s">
        <v>1495</v>
      </c>
      <c r="B3" s="1544">
        <f ca="1">IF(ISERROR(D2/F43),0,ROUND(D2/F43,0))</f>
        <v>0</v>
      </c>
      <c r="C3" s="1540" t="s">
        <v>1496</v>
      </c>
      <c r="D3" s="1540"/>
      <c r="E3" s="1541"/>
      <c r="F3" s="1542"/>
      <c r="G3" s="2902"/>
      <c r="H3" s="691" t="s">
        <v>1490</v>
      </c>
      <c r="I3" s="1535"/>
      <c r="J3" s="1535"/>
      <c r="K3" s="1536"/>
      <c r="L3" s="1535"/>
      <c r="M3" s="1535"/>
    </row>
    <row r="4" spans="1:37" ht="18" customHeight="1">
      <c r="A4" s="300" t="s">
        <v>1497</v>
      </c>
      <c r="B4" s="301" t="s">
        <v>1498</v>
      </c>
      <c r="C4" s="301" t="s">
        <v>1499</v>
      </c>
      <c r="D4" s="301" t="s">
        <v>1500</v>
      </c>
      <c r="E4" s="302" t="s">
        <v>1501</v>
      </c>
      <c r="F4" s="303"/>
      <c r="G4" s="1537"/>
      <c r="H4" s="300" t="s">
        <v>1497</v>
      </c>
      <c r="I4" s="301" t="s">
        <v>1498</v>
      </c>
      <c r="J4" s="301" t="s">
        <v>1499</v>
      </c>
      <c r="K4" s="301" t="s">
        <v>1500</v>
      </c>
      <c r="L4" s="302" t="s">
        <v>1501</v>
      </c>
      <c r="M4" s="303"/>
    </row>
    <row r="5" spans="1:37" ht="18" customHeight="1">
      <c r="A5" s="304">
        <v>1</v>
      </c>
      <c r="B5" s="305" t="s">
        <v>1502</v>
      </c>
      <c r="C5" s="1201">
        <f ca="1">C6+C10+C12</f>
        <v>0</v>
      </c>
      <c r="D5" s="1517" t="s">
        <v>1503</v>
      </c>
      <c r="E5" s="1202"/>
      <c r="F5" s="1203"/>
      <c r="G5" s="1537"/>
      <c r="H5" s="304">
        <v>1</v>
      </c>
      <c r="I5" s="305" t="s">
        <v>1502</v>
      </c>
      <c r="J5" s="1201">
        <f ca="1">J6+J10+J12</f>
        <v>0</v>
      </c>
      <c r="K5" s="1517" t="s">
        <v>1503</v>
      </c>
      <c r="L5" s="1202"/>
      <c r="M5" s="1203"/>
    </row>
    <row r="6" spans="1:37" ht="18" customHeight="1">
      <c r="A6" s="1200" t="s">
        <v>1003</v>
      </c>
      <c r="B6" s="3516" t="s">
        <v>1305</v>
      </c>
      <c r="C6" s="1205">
        <f ca="1">ROUND(F6*F8*F7*(1-F9),0)</f>
        <v>0</v>
      </c>
      <c r="D6" s="159" t="s">
        <v>2783</v>
      </c>
      <c r="E6" s="307" t="s">
        <v>1307</v>
      </c>
      <c r="F6" s="308">
        <f ca="1">INDIRECT("'数据-取费表'!u"&amp;$G$1)</f>
        <v>0</v>
      </c>
      <c r="G6" s="1537"/>
      <c r="H6" s="1200" t="s">
        <v>1003</v>
      </c>
      <c r="I6" s="3516" t="s">
        <v>1305</v>
      </c>
      <c r="J6" s="306">
        <f ca="1">ROUND(M6*M8*M7*(1-M9),0)</f>
        <v>0</v>
      </c>
      <c r="K6" s="1529" t="s">
        <v>2784</v>
      </c>
      <c r="L6" s="307" t="s">
        <v>1307</v>
      </c>
      <c r="M6" s="308">
        <f ca="1">INDIRECT("'数据-取费表'!z"&amp;$G$1)</f>
        <v>0</v>
      </c>
    </row>
    <row r="7" spans="1:37" ht="18" customHeight="1">
      <c r="A7" s="1204"/>
      <c r="B7" s="3517"/>
      <c r="C7" s="1206"/>
      <c r="D7" s="312"/>
      <c r="E7" s="1207" t="s">
        <v>1308</v>
      </c>
      <c r="F7" s="308">
        <f ca="1">IF(INDIRECT("'数据-取费表'!ah"&amp;$G$1)="",INDIRECT("'数据-取费表'!k"&amp;$G$1),INDIRECT("'数据-取费表'!ah"&amp;$G$1))</f>
        <v>0</v>
      </c>
      <c r="G7" s="1537"/>
      <c r="H7" s="309"/>
      <c r="I7" s="3517"/>
      <c r="J7" s="311"/>
      <c r="K7" s="312"/>
      <c r="L7" s="307" t="s">
        <v>1308</v>
      </c>
      <c r="M7" s="308">
        <f ca="1">F7</f>
        <v>0</v>
      </c>
    </row>
    <row r="8" spans="1:37" ht="18" customHeight="1">
      <c r="A8" s="309"/>
      <c r="B8" s="3517"/>
      <c r="C8" s="311"/>
      <c r="D8" s="312"/>
      <c r="E8" s="307" t="s">
        <v>1309</v>
      </c>
      <c r="F8" s="308">
        <f ca="1">INDIRECT("'数据-取费表'!ai"&amp;$G$1)</f>
        <v>0</v>
      </c>
      <c r="G8" s="1537"/>
      <c r="H8" s="309"/>
      <c r="I8" s="3517"/>
      <c r="J8" s="311"/>
      <c r="K8" s="312"/>
      <c r="L8" s="307" t="s">
        <v>1309</v>
      </c>
      <c r="M8" s="308">
        <f ca="1">INDIRECT("'数据-取费表'!ai"&amp;$G$1)</f>
        <v>0</v>
      </c>
    </row>
    <row r="9" spans="1:37" ht="18" customHeight="1">
      <c r="A9" s="309"/>
      <c r="B9" s="3518"/>
      <c r="C9" s="311"/>
      <c r="D9" s="312"/>
      <c r="E9" s="307" t="s">
        <v>1310</v>
      </c>
      <c r="F9" s="317">
        <f ca="1">INDIRECT("'数据-取费表'!w"&amp;$G$1)</f>
        <v>0</v>
      </c>
      <c r="G9" s="1537"/>
      <c r="H9" s="309"/>
      <c r="I9" s="3518"/>
      <c r="J9" s="311"/>
      <c r="K9" s="312"/>
      <c r="L9" s="318" t="s">
        <v>1310</v>
      </c>
      <c r="M9" s="319">
        <f ca="1">INDIRECT("'数据-取费表'!ab"&amp;$G$1)</f>
        <v>0</v>
      </c>
    </row>
    <row r="10" spans="1:37" ht="18" customHeight="1">
      <c r="A10" s="1200" t="s">
        <v>1007</v>
      </c>
      <c r="B10" s="1518" t="s">
        <v>1311</v>
      </c>
      <c r="C10" s="321">
        <f ca="1">ROUND(IF(F10="押一",C6/12*F11,IF(F10="押二",C6/12*2*F11,IF(F10="押三",C6/12*3*F11,C11*F11))),0)</f>
        <v>0</v>
      </c>
      <c r="D10" s="1519" t="s">
        <v>2793</v>
      </c>
      <c r="E10" s="318" t="s">
        <v>1312</v>
      </c>
      <c r="F10" s="1247"/>
      <c r="G10" s="1537"/>
      <c r="H10" s="1200" t="s">
        <v>1007</v>
      </c>
      <c r="I10" s="1518" t="s">
        <v>1311</v>
      </c>
      <c r="J10" s="306">
        <f ca="1">ROUND(IF(M10="押一",J6/12*M11,IF(M10="押二",J6/12*2*M11,IF(M10="押三",J6/12*3*M11,J11*M11))),0)</f>
        <v>0</v>
      </c>
      <c r="K10" s="1530" t="s">
        <v>2795</v>
      </c>
      <c r="L10" s="318" t="s">
        <v>1312</v>
      </c>
      <c r="M10" s="1247"/>
    </row>
    <row r="11" spans="1:37" ht="18" customHeight="1">
      <c r="A11" s="313"/>
      <c r="B11" s="1520" t="s">
        <v>1504</v>
      </c>
      <c r="C11" s="1089"/>
      <c r="D11" s="312"/>
      <c r="E11" s="318" t="s">
        <v>1314</v>
      </c>
      <c r="F11" s="319">
        <f ca="1">'数据-取费表'!B39</f>
        <v>1.4999999999999999E-2</v>
      </c>
      <c r="G11" s="1537"/>
      <c r="H11" s="1208"/>
      <c r="I11" s="1520" t="s">
        <v>1505</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0</v>
      </c>
      <c r="D13" s="1212" t="s">
        <v>1317</v>
      </c>
      <c r="E13" s="1212" t="s">
        <v>1318</v>
      </c>
      <c r="F13" s="1213">
        <f ca="1">INDIRECT("'数据-取费表'!y"&amp;$G$1)</f>
        <v>0</v>
      </c>
      <c r="G13" s="1537"/>
      <c r="H13" s="1210">
        <v>2</v>
      </c>
      <c r="I13" s="1211" t="s">
        <v>1316</v>
      </c>
      <c r="J13" s="1199">
        <f ca="1">ROUND(J14*J15,0)</f>
        <v>0</v>
      </c>
      <c r="K13" s="1218" t="s">
        <v>1317</v>
      </c>
      <c r="L13" s="1545"/>
      <c r="M13" s="1546"/>
    </row>
    <row r="14" spans="1:37" ht="18" customHeight="1">
      <c r="A14" s="1112" t="s">
        <v>1002</v>
      </c>
      <c r="B14" s="307" t="s">
        <v>1319</v>
      </c>
      <c r="C14" s="323">
        <f ca="1">ROUND(INDIRECT("'数据-取费表'!l"&amp;$G$1)*F43+'数据-取费表'!L14*INDIRECT("'数据-取费表'!S"&amp;$G$1),0)</f>
        <v>0</v>
      </c>
      <c r="D14" s="1498" t="s">
        <v>1320</v>
      </c>
      <c r="E14" s="1495"/>
      <c r="F14" s="324"/>
      <c r="G14" s="1537"/>
      <c r="H14" s="1112" t="s">
        <v>1003</v>
      </c>
      <c r="I14" s="307" t="s">
        <v>1321</v>
      </c>
      <c r="J14" s="23">
        <f ca="1">C29</f>
        <v>0</v>
      </c>
      <c r="K14" s="14"/>
      <c r="L14" s="915"/>
      <c r="M14" s="916"/>
    </row>
    <row r="15" spans="1:37" s="1550" customFormat="1" ht="18" customHeight="1" thickBot="1">
      <c r="A15" s="1112" t="s">
        <v>1004</v>
      </c>
      <c r="B15" s="307" t="s">
        <v>1322</v>
      </c>
      <c r="C15" s="23">
        <f ca="1">ROUND(C14*F15,0)</f>
        <v>0</v>
      </c>
      <c r="D15" s="325" t="s">
        <v>1323</v>
      </c>
      <c r="E15" s="325"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ROUND(INDIRECT("'数据-取费表'!l"&amp;$G$1)*F43*F16,0)</f>
        <v>0</v>
      </c>
      <c r="D16" s="307" t="s">
        <v>1323</v>
      </c>
      <c r="E16" s="307" t="s">
        <v>1324</v>
      </c>
      <c r="F16" s="327">
        <f ca="1">IF(INDIRECT("'数据-取费表'!c"&amp;$G$1)="住宅",'数据-取费表'!B34,0)</f>
        <v>0</v>
      </c>
      <c r="G16" s="1537"/>
      <c r="H16" s="1210" t="s">
        <v>998</v>
      </c>
      <c r="I16" s="1211" t="s">
        <v>1326</v>
      </c>
      <c r="J16" s="315">
        <f ca="1">ROUND(J17+J22+J23+J24,0)</f>
        <v>0</v>
      </c>
      <c r="K16" s="1218" t="s">
        <v>1327</v>
      </c>
      <c r="L16" s="1219"/>
      <c r="M16" s="1203"/>
    </row>
    <row r="17" spans="1:37" s="1550" customFormat="1" ht="18" customHeight="1">
      <c r="A17" s="1112" t="s">
        <v>1292</v>
      </c>
      <c r="B17" s="307" t="s">
        <v>1328</v>
      </c>
      <c r="C17" s="23">
        <f ca="1">ROUND(F17*(F43+INDIRECT("'数据-取费表'!S"&amp;$G$1)),0)</f>
        <v>0</v>
      </c>
      <c r="D17" s="307" t="s">
        <v>1329</v>
      </c>
      <c r="E17" s="307" t="s">
        <v>1330</v>
      </c>
      <c r="F17" s="25">
        <f>'数据-取费表'!B35</f>
        <v>200</v>
      </c>
      <c r="G17" s="1549"/>
      <c r="H17" s="1112" t="s">
        <v>1003</v>
      </c>
      <c r="I17" s="307" t="s">
        <v>1331</v>
      </c>
      <c r="J17" s="2503">
        <f ca="1">ROUND(IF(AND(项目基本情况!B11="自然人",项目基本情况!B10="北京市"),J6*M17/(1+'数据-取费表'!C42),J18+J19+J20),0)</f>
        <v>0</v>
      </c>
      <c r="K17" s="1498" t="s">
        <v>1332</v>
      </c>
      <c r="L17" s="1497"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0</v>
      </c>
      <c r="D18" s="307" t="s">
        <v>1323</v>
      </c>
      <c r="E18" s="307" t="s">
        <v>1324</v>
      </c>
      <c r="F18" s="327">
        <f>'数据-取费表'!B36</f>
        <v>1.4999999999999999E-2</v>
      </c>
      <c r="G18" s="1549"/>
      <c r="H18" s="1112" t="s">
        <v>1002</v>
      </c>
      <c r="I18" s="307" t="s">
        <v>1335</v>
      </c>
      <c r="J18" s="23">
        <f ca="1">ROUND(J6*M18/(1+'数据-取费表'!C42),0)</f>
        <v>0</v>
      </c>
      <c r="K18" s="1497"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0</v>
      </c>
      <c r="D19" s="135" t="s">
        <v>1338</v>
      </c>
      <c r="E19" s="1513"/>
      <c r="F19" s="25"/>
      <c r="G19" s="1537"/>
      <c r="H19" s="1112" t="s">
        <v>1004</v>
      </c>
      <c r="I19" s="307" t="s">
        <v>1339</v>
      </c>
      <c r="J19" s="23">
        <f ca="1">IF(K19="按租金收入计税",ROUND(J6*M19/(1+'数据-取费表'!C42),0),ROUND(C29*M19*0.7,0))</f>
        <v>0</v>
      </c>
      <c r="K19" s="1523" t="s">
        <v>1340</v>
      </c>
      <c r="L19" s="307" t="s">
        <v>1324</v>
      </c>
      <c r="M19" s="327">
        <f>IF(K19="按租金收入计税",'数据-取费表'!B51,'数据-取费表'!B50)</f>
        <v>1.2E-2</v>
      </c>
    </row>
    <row r="20" spans="1:37" s="1550" customFormat="1" ht="18" customHeight="1">
      <c r="A20" s="1112" t="s">
        <v>1007</v>
      </c>
      <c r="B20" s="307" t="s">
        <v>1341</v>
      </c>
      <c r="C20" s="23">
        <f ca="1">ROUND(C19*F20,0)</f>
        <v>0</v>
      </c>
      <c r="D20" s="328" t="s">
        <v>1342</v>
      </c>
      <c r="E20" s="307" t="s">
        <v>1324</v>
      </c>
      <c r="F20" s="327">
        <f>'数据-取费表'!B37</f>
        <v>0.02</v>
      </c>
      <c r="G20" s="1549"/>
      <c r="H20" s="1112" t="s">
        <v>1291</v>
      </c>
      <c r="I20" s="159" t="s">
        <v>1343</v>
      </c>
      <c r="J20" s="24">
        <f ca="1">ROUND(M20*M21,0)</f>
        <v>0</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v>
      </c>
      <c r="D21" s="328" t="s">
        <v>1347</v>
      </c>
      <c r="E21" s="307" t="s">
        <v>1348</v>
      </c>
      <c r="F21" s="327">
        <f>'数据-取费表'!B38</f>
        <v>0.02</v>
      </c>
      <c r="G21" s="1549"/>
      <c r="H21" s="331"/>
      <c r="I21" s="316"/>
      <c r="J21" s="28"/>
      <c r="K21" s="332"/>
      <c r="L21" s="307" t="s">
        <v>1349</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1513"/>
      <c r="F22" s="25"/>
      <c r="G22" s="1537"/>
      <c r="H22" s="1112" t="s">
        <v>1007</v>
      </c>
      <c r="I22" s="307" t="s">
        <v>1351</v>
      </c>
      <c r="J22" s="23">
        <f ca="1">ROUND(J14*M22,0)</f>
        <v>0</v>
      </c>
      <c r="K22" s="1497" t="s">
        <v>1352</v>
      </c>
      <c r="L22" s="307" t="s">
        <v>1324</v>
      </c>
      <c r="M22" s="333">
        <f ca="1">INDIRECT("'数据-取费表'!Ak"&amp;$G$1)</f>
        <v>0</v>
      </c>
    </row>
    <row r="23" spans="1:37" s="1550" customFormat="1" ht="18" customHeight="1">
      <c r="A23" s="1112" t="s">
        <v>1002</v>
      </c>
      <c r="B23" s="307" t="s">
        <v>1353</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ROUND(J13*M23,0)</f>
        <v>0</v>
      </c>
      <c r="K23" s="1497" t="s">
        <v>1356</v>
      </c>
      <c r="L23" s="307" t="s">
        <v>1357</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1295</v>
      </c>
      <c r="I24" s="1221" t="s">
        <v>1341</v>
      </c>
      <c r="J24" s="1222">
        <f ca="1">ROUND(J5*M24,0)</f>
        <v>0</v>
      </c>
      <c r="K24" s="1223" t="s">
        <v>1361</v>
      </c>
      <c r="L24" s="1221" t="s">
        <v>1357</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1362</v>
      </c>
      <c r="B25" s="307" t="s">
        <v>1363</v>
      </c>
      <c r="C25" s="23"/>
      <c r="D25" s="135" t="s">
        <v>1364</v>
      </c>
      <c r="E25" s="1513"/>
      <c r="F25" s="25"/>
      <c r="G25" s="1537"/>
      <c r="H25" s="1210" t="s">
        <v>999</v>
      </c>
      <c r="I25" s="1225" t="s">
        <v>1365</v>
      </c>
      <c r="J25" s="315">
        <f ca="1">J5-J16</f>
        <v>0</v>
      </c>
      <c r="K25" s="1226" t="s">
        <v>1366</v>
      </c>
      <c r="L25" s="1227"/>
      <c r="M25" s="1228"/>
    </row>
    <row r="26" spans="1:37" ht="18" customHeight="1">
      <c r="A26" s="1112" t="s">
        <v>1002</v>
      </c>
      <c r="B26" s="307" t="s">
        <v>1367</v>
      </c>
      <c r="C26" s="23">
        <f ca="1">ROUND((C19+C20)*F26,0)</f>
        <v>0</v>
      </c>
      <c r="D26" s="328" t="s">
        <v>1368</v>
      </c>
      <c r="E26" s="318" t="s">
        <v>1369</v>
      </c>
      <c r="F26" s="317">
        <f ca="1">INDIRECT("'数据-取费表'!q"&amp;$G$1)</f>
        <v>0</v>
      </c>
      <c r="G26" s="1537"/>
      <c r="H26" s="304" t="s">
        <v>1000</v>
      </c>
      <c r="I26" s="305" t="s">
        <v>1370</v>
      </c>
      <c r="J26" s="306">
        <f ca="1">IF(J5&lt;&gt;0,ROUND(J25*(1-((1+M28)/(1+M26))^M27)/(M26-M28),0),0)</f>
        <v>0</v>
      </c>
      <c r="K26" s="329" t="s">
        <v>1371</v>
      </c>
      <c r="L26" s="307" t="s">
        <v>1372</v>
      </c>
      <c r="M26" s="317">
        <f ca="1">INDIRECT("'数据-取费表'!I"&amp;$G$1)</f>
        <v>0</v>
      </c>
    </row>
    <row r="27" spans="1:37" ht="18" customHeight="1">
      <c r="A27" s="1112" t="s">
        <v>1004</v>
      </c>
      <c r="B27" s="307" t="s">
        <v>1373</v>
      </c>
      <c r="C27" s="23">
        <f ca="1">ROUND(F21*F26,4)</f>
        <v>0</v>
      </c>
      <c r="D27" s="328" t="s">
        <v>1374</v>
      </c>
      <c r="E27" s="325"/>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0</v>
      </c>
      <c r="D29" s="1223"/>
      <c r="E29" s="1221"/>
      <c r="F29" s="1224"/>
      <c r="G29" s="1549"/>
      <c r="H29" s="339" t="s">
        <v>1001</v>
      </c>
      <c r="I29" s="340" t="s">
        <v>1381</v>
      </c>
      <c r="J29" s="341">
        <f ca="1">ROUND(J26/(1+F40)^F41,0)</f>
        <v>0</v>
      </c>
      <c r="K29" s="342" t="s">
        <v>1382</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0</v>
      </c>
      <c r="D30" s="1218" t="s">
        <v>1327</v>
      </c>
      <c r="E30" s="1219"/>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0</v>
      </c>
      <c r="D31" s="1498" t="s">
        <v>1332</v>
      </c>
      <c r="E31" s="1497"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IF(项目基本情况!B11="自然人","——",ROUND(C6*F32/(1+'数据-取费表'!C42),0))</f>
        <v>0</v>
      </c>
      <c r="D32" s="1497"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IF(项目基本情况!B11="自然人","——",IF(D33="按租金收入计税",ROUND(C6*F33/(1+'数据-取费表'!C42),0),IF(D33="按房产原值计税",ROUND(C29*F33*0.7,0),INDIRECT("'数据-取费表'!Aj"&amp;$G$1))))</f>
        <v>0</v>
      </c>
      <c r="D33" s="1523" t="s">
        <v>1340</v>
      </c>
      <c r="E33" s="307" t="s">
        <v>1324</v>
      </c>
      <c r="F33" s="327">
        <f>IF(D33="按票据","——",IF(D33="按租金收入计税",'数据-取费表'!B51,'数据-取费表'!B50))</f>
        <v>1.2E-2</v>
      </c>
      <c r="G33" s="1537"/>
      <c r="H33" s="2896"/>
      <c r="I33" s="1551"/>
      <c r="J33" s="1552"/>
      <c r="K33" s="2897"/>
      <c r="L33" s="2896"/>
      <c r="M33" s="2896"/>
    </row>
    <row r="34" spans="1:18" ht="18" customHeight="1">
      <c r="A34" s="1200" t="s">
        <v>1291</v>
      </c>
      <c r="B34" s="159" t="s">
        <v>1343</v>
      </c>
      <c r="C34" s="24">
        <f ca="1">IF(项目基本情况!B11="自然人","——",ROUND(F34*F35,))</f>
        <v>0</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0</v>
      </c>
      <c r="G35" s="1537"/>
      <c r="H35" s="2893"/>
      <c r="I35" s="1551"/>
      <c r="J35" s="1552"/>
      <c r="K35" s="2897"/>
      <c r="L35" s="2896"/>
      <c r="M35" s="2896"/>
    </row>
    <row r="36" spans="1:18" ht="18" customHeight="1">
      <c r="A36" s="1233" t="s">
        <v>1007</v>
      </c>
      <c r="B36" s="307" t="s">
        <v>1351</v>
      </c>
      <c r="C36" s="23">
        <f ca="1">ROUND(C29*F36,0)</f>
        <v>0</v>
      </c>
      <c r="D36" s="1497" t="s">
        <v>1384</v>
      </c>
      <c r="E36" s="307" t="s">
        <v>1324</v>
      </c>
      <c r="F36" s="333">
        <f ca="1">INDIRECT("'数据-取费表'!Ak"&amp;$G$1)</f>
        <v>0</v>
      </c>
      <c r="G36" s="1537"/>
      <c r="H36" s="2896"/>
      <c r="I36" s="1551"/>
      <c r="J36" s="1552"/>
      <c r="K36" s="2737"/>
      <c r="L36" s="2896"/>
      <c r="M36" s="2896"/>
    </row>
    <row r="37" spans="1:18" ht="18" customHeight="1">
      <c r="A37" s="1112" t="s">
        <v>1043</v>
      </c>
      <c r="B37" s="307" t="s">
        <v>1355</v>
      </c>
      <c r="C37" s="23">
        <f ca="1">ROUND(C13*F37,0)</f>
        <v>0</v>
      </c>
      <c r="D37" s="1497" t="s">
        <v>1356</v>
      </c>
      <c r="E37" s="307" t="s">
        <v>1357</v>
      </c>
      <c r="F37" s="335">
        <f ca="1">INDIRECT("'数据-取费表'!Al"&amp;$G$1)</f>
        <v>0</v>
      </c>
      <c r="G37" s="1537"/>
      <c r="H37" s="2896"/>
      <c r="I37" s="1551"/>
      <c r="J37" s="1552"/>
      <c r="K37" s="2737"/>
      <c r="L37" s="2896"/>
      <c r="M37" s="2896"/>
    </row>
    <row r="38" spans="1:18" ht="18" customHeight="1" thickBot="1">
      <c r="A38" s="1220" t="s">
        <v>1295</v>
      </c>
      <c r="B38" s="1221" t="s">
        <v>1341</v>
      </c>
      <c r="C38" s="1222">
        <f ca="1">ROUND(C5*F38,1)</f>
        <v>0</v>
      </c>
      <c r="D38" s="1223" t="s">
        <v>1361</v>
      </c>
      <c r="E38" s="1221" t="s">
        <v>1357</v>
      </c>
      <c r="F38" s="1217">
        <f ca="1">INDIRECT("'数据-取费表'!Am"&amp;$G$1)</f>
        <v>0</v>
      </c>
      <c r="G38" s="1537"/>
      <c r="H38" s="2896"/>
      <c r="I38" s="1551"/>
      <c r="J38" s="1552"/>
      <c r="K38" s="2900"/>
      <c r="L38" s="2896"/>
      <c r="M38" s="2896"/>
    </row>
    <row r="39" spans="1:18" ht="24.6" customHeight="1" thickTop="1">
      <c r="A39" s="1210" t="s">
        <v>999</v>
      </c>
      <c r="B39" s="1225" t="s">
        <v>1385</v>
      </c>
      <c r="C39" s="315">
        <f ca="1">C5-C30</f>
        <v>0</v>
      </c>
      <c r="D39" s="1226" t="s">
        <v>1386</v>
      </c>
      <c r="E39" s="1227"/>
      <c r="F39" s="1228"/>
      <c r="G39" s="1537"/>
      <c r="H39" s="2896"/>
      <c r="I39" s="1551"/>
      <c r="J39" s="1552"/>
      <c r="K39" s="2900"/>
      <c r="L39" s="2896"/>
      <c r="M39" s="2896"/>
    </row>
    <row r="40" spans="1:18" ht="18" customHeight="1">
      <c r="A40" s="304" t="s">
        <v>1000</v>
      </c>
      <c r="B40" s="305" t="s">
        <v>1387</v>
      </c>
      <c r="C40" s="306" t="e">
        <f ca="1">ROUND(C39*(1-((1+F42)/(1+F40))^F41)/(F40-F42),0)</f>
        <v>#DIV/0!</v>
      </c>
      <c r="D40" s="329" t="s">
        <v>1371</v>
      </c>
      <c r="E40" s="307" t="s">
        <v>1372</v>
      </c>
      <c r="F40" s="317">
        <f ca="1">INDIRECT("'数据-取费表'!I"&amp;$G$1)</f>
        <v>0</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0</v>
      </c>
      <c r="G41" s="1537"/>
      <c r="H41" s="1324"/>
      <c r="I41" s="1551"/>
      <c r="J41" s="1552"/>
      <c r="K41" s="2737"/>
      <c r="L41" s="1324"/>
      <c r="M41" s="1324"/>
    </row>
    <row r="42" spans="1:18" ht="18" customHeight="1">
      <c r="A42" s="313"/>
      <c r="B42" s="314"/>
      <c r="C42" s="315"/>
      <c r="D42" s="332"/>
      <c r="E42" s="307" t="s">
        <v>1379</v>
      </c>
      <c r="F42" s="317">
        <f ca="1">INDIRECT("'数据-取费表'!v"&amp;$G$1)</f>
        <v>0</v>
      </c>
      <c r="G42" s="1537"/>
      <c r="H42" s="1324"/>
      <c r="I42" s="1551"/>
      <c r="J42" s="1552"/>
      <c r="K42" s="2737"/>
      <c r="L42" s="1324"/>
      <c r="M42" s="1324"/>
    </row>
    <row r="43" spans="1:18" ht="18" customHeight="1" thickBot="1">
      <c r="A43" s="339" t="s">
        <v>1001</v>
      </c>
      <c r="B43" s="340" t="s">
        <v>1389</v>
      </c>
      <c r="C43" s="341" t="e">
        <f ca="1">ROUND(C40/F43,0)</f>
        <v>#DIV/0!</v>
      </c>
      <c r="D43" s="342" t="s">
        <v>1390</v>
      </c>
      <c r="E43" s="343" t="s">
        <v>1391</v>
      </c>
      <c r="F43" s="344">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1506</v>
      </c>
      <c r="E45" s="1553"/>
      <c r="F45" s="1553"/>
      <c r="O45" s="1556" t="s">
        <v>1421</v>
      </c>
      <c r="P45" s="1614"/>
      <c r="Q45" s="1614"/>
      <c r="R45" s="1614"/>
    </row>
    <row r="46" spans="1:18" s="1537" customFormat="1" ht="13.8" thickBot="1">
      <c r="A46" s="1557" t="s">
        <v>1422</v>
      </c>
      <c r="C46" s="1558" t="e">
        <f ca="1">ROUND(C45/10000,0)</f>
        <v>#DIV/0!</v>
      </c>
      <c r="D46" s="1559" t="str">
        <f>C2</f>
        <v>万元</v>
      </c>
      <c r="I46" s="1560" t="s">
        <v>1423</v>
      </c>
      <c r="J46" s="1561"/>
      <c r="K46" s="1562"/>
      <c r="L46" s="1563" t="e">
        <f ca="1">IF(M47="住宅",0,IF(L48&gt;J51,L60,J60))</f>
        <v>#DIV/0!</v>
      </c>
      <c r="O46" s="1564" t="s">
        <v>1424</v>
      </c>
      <c r="P46" s="1565" t="s">
        <v>1425</v>
      </c>
      <c r="Q46" s="1566" t="s">
        <v>1426</v>
      </c>
      <c r="R46" s="1566" t="s">
        <v>1427</v>
      </c>
    </row>
    <row r="47" spans="1:18" s="1537" customFormat="1" ht="13.8" thickBot="1">
      <c r="A47" s="1076" t="s">
        <v>1298</v>
      </c>
      <c r="B47" s="1108" t="s">
        <v>1299</v>
      </c>
      <c r="C47" s="1108" t="s">
        <v>1300</v>
      </c>
      <c r="D47" s="1108" t="s">
        <v>1301</v>
      </c>
      <c r="E47" s="1188" t="s">
        <v>1302</v>
      </c>
      <c r="F47" s="1189"/>
      <c r="G47" s="730"/>
      <c r="I47" s="1567" t="s">
        <v>1428</v>
      </c>
      <c r="J47" s="1568"/>
      <c r="K47" s="1569" t="s">
        <v>1429</v>
      </c>
      <c r="L47" s="1570">
        <f ca="1">INDIRECT("'数据-取费表'!d"&amp;$G$1)</f>
        <v>0</v>
      </c>
      <c r="M47" s="1533" t="str">
        <f>IF(ISNUMBER(FIND("住宅",C1)),"住宅","非住宅")</f>
        <v>非住宅</v>
      </c>
      <c r="O47" s="1571" t="s">
        <v>1008</v>
      </c>
      <c r="P47" s="1572" t="s">
        <v>1430</v>
      </c>
      <c r="Q47" s="1573" t="e">
        <f ca="1">C40+J29</f>
        <v>#DIV/0!</v>
      </c>
      <c r="R47" s="1573" t="s">
        <v>1431</v>
      </c>
    </row>
    <row r="48" spans="1:18" s="1537" customFormat="1" ht="40.200000000000003" thickBot="1">
      <c r="A48" s="1241" t="s">
        <v>1044</v>
      </c>
      <c r="B48" s="305" t="s">
        <v>1303</v>
      </c>
      <c r="C48" s="1512">
        <f ca="1">C49+C53+C55</f>
        <v>0</v>
      </c>
      <c r="D48" s="1243"/>
      <c r="E48" s="1244"/>
      <c r="F48" s="1092"/>
      <c r="G48" s="730"/>
      <c r="H48" s="731"/>
      <c r="I48" s="1574" t="s">
        <v>1432</v>
      </c>
      <c r="J48" s="1575"/>
      <c r="K48" s="1576" t="s">
        <v>1433</v>
      </c>
      <c r="L48" s="1577">
        <f ca="1">INDIRECT("'数据-取费表'!f"&amp;$G$1)</f>
        <v>0</v>
      </c>
      <c r="O48" s="1571" t="s">
        <v>1009</v>
      </c>
      <c r="P48" s="1572" t="s">
        <v>1434</v>
      </c>
      <c r="Q48" s="1573" t="e">
        <f ca="1">J60</f>
        <v>#DIV/0!</v>
      </c>
      <c r="R48" s="1573" t="s">
        <v>1435</v>
      </c>
    </row>
    <row r="49" spans="1:18" s="1537" customFormat="1" ht="13.8" thickBot="1">
      <c r="A49" s="1105" t="s">
        <v>1045</v>
      </c>
      <c r="B49" s="1524" t="s">
        <v>1392</v>
      </c>
      <c r="C49" s="1245">
        <f ca="1">ROUND(F49*F51*F50*(1-F52),0)</f>
        <v>0</v>
      </c>
      <c r="D49" s="1185" t="s">
        <v>1306</v>
      </c>
      <c r="E49" s="1525" t="s">
        <v>1393</v>
      </c>
      <c r="F49" s="1190"/>
      <c r="G49" s="1578"/>
      <c r="H49" s="731"/>
      <c r="I49" s="1574" t="s">
        <v>1436</v>
      </c>
      <c r="J49" s="1579"/>
      <c r="K49" s="1576" t="s">
        <v>1437</v>
      </c>
      <c r="L49" s="1580"/>
      <c r="O49" s="1581" t="s">
        <v>1010</v>
      </c>
      <c r="P49" s="1572" t="s">
        <v>1438</v>
      </c>
      <c r="Q49" s="1573">
        <f ca="1">C29</f>
        <v>0</v>
      </c>
      <c r="R49" s="1573" t="s">
        <v>1431</v>
      </c>
    </row>
    <row r="50" spans="1:18" s="1537" customFormat="1" ht="13.8" thickBot="1">
      <c r="A50" s="1106"/>
      <c r="B50" s="1109"/>
      <c r="C50" s="1110"/>
      <c r="D50" s="1083"/>
      <c r="E50" s="1186" t="s">
        <v>1308</v>
      </c>
      <c r="F50" s="1187">
        <f ca="1">F7</f>
        <v>0</v>
      </c>
      <c r="H50" s="731"/>
      <c r="I50" s="1574" t="s">
        <v>1439</v>
      </c>
      <c r="J50" s="1582">
        <f>SUMPRODUCT((I63:I65=J47)*(J62:L62=J48)*(J63:L65))</f>
        <v>0</v>
      </c>
      <c r="K50" s="1576" t="s">
        <v>1440</v>
      </c>
      <c r="L50" s="1580"/>
      <c r="M50" s="1583"/>
      <c r="O50" s="1581" t="s">
        <v>1011</v>
      </c>
      <c r="P50" s="1572" t="s">
        <v>1441</v>
      </c>
      <c r="Q50" s="1584" t="e">
        <f ca="1">J58</f>
        <v>#DIV/0!</v>
      </c>
      <c r="R50" s="1573"/>
    </row>
    <row r="51" spans="1:18" s="1537" customFormat="1" ht="13.8" thickBot="1">
      <c r="A51" s="1107"/>
      <c r="B51" s="1109"/>
      <c r="C51" s="1110"/>
      <c r="D51" s="1083"/>
      <c r="E51" s="1111" t="s">
        <v>1309</v>
      </c>
      <c r="F51" s="308">
        <f ca="1">F8</f>
        <v>0</v>
      </c>
      <c r="I51" s="1585" t="s">
        <v>1442</v>
      </c>
      <c r="J51" s="1586">
        <f>IF(J49="",J50,J49+J50-YEAR('数据-取费表'!B2))</f>
        <v>0</v>
      </c>
      <c r="K51" s="1587" t="s">
        <v>1443</v>
      </c>
      <c r="L51" s="1588">
        <f ca="1">ROUND(-PV(INDIRECT("'数据-取费表'!h"&amp;$G$1),J51,(C39-C13*C76),0),0)</f>
        <v>0</v>
      </c>
      <c r="M51" s="1589"/>
      <c r="O51" s="1581" t="s">
        <v>1012</v>
      </c>
      <c r="P51" s="1572" t="s">
        <v>1444</v>
      </c>
      <c r="Q51" s="1584">
        <f>J52</f>
        <v>0</v>
      </c>
      <c r="R51" s="1573"/>
    </row>
    <row r="52" spans="1:18" s="1537" customFormat="1" ht="13.8" thickBot="1">
      <c r="A52" s="1107"/>
      <c r="B52" s="1109"/>
      <c r="C52" s="1110"/>
      <c r="D52" s="1083"/>
      <c r="E52" s="1111" t="s">
        <v>1310</v>
      </c>
      <c r="F52" s="1184"/>
      <c r="I52" s="1590" t="s">
        <v>1445</v>
      </c>
      <c r="J52" s="1591"/>
      <c r="K52" s="1590" t="s">
        <v>1446</v>
      </c>
      <c r="L52" s="1591"/>
      <c r="O52" s="1581" t="s">
        <v>1013</v>
      </c>
      <c r="P52" s="1572" t="s">
        <v>1447</v>
      </c>
      <c r="Q52" s="1573">
        <f ca="1">J53</f>
        <v>0</v>
      </c>
      <c r="R52" s="1573" t="s">
        <v>1448</v>
      </c>
    </row>
    <row r="53" spans="1:18" s="1537" customFormat="1" ht="30.75" customHeight="1" thickBot="1">
      <c r="A53" s="1242" t="s">
        <v>1046</v>
      </c>
      <c r="B53" s="328" t="s">
        <v>1311</v>
      </c>
      <c r="C53" s="321">
        <f ca="1">ROUND(IF(F53="押一",C49/12*F11,IF(F53="押二",C49/12*2*F11,IF(F53="押三",C49/12*3*F11,C54*F11))),0)</f>
        <v>0</v>
      </c>
      <c r="D53" s="1519" t="s">
        <v>2796</v>
      </c>
      <c r="E53" s="318" t="s">
        <v>1312</v>
      </c>
      <c r="F53" s="1247"/>
      <c r="I53" s="1592" t="s">
        <v>1449</v>
      </c>
      <c r="J53" s="2355">
        <f ca="1">IF(M47="住宅",IF(D1="——",MAX(J51,L48),MAX(J51,L48-'数据-取费表'!B24)),IF(D1="——",MIN(J51,L48),MIN(J51,L48-'数据-取费表'!B24)))</f>
        <v>0</v>
      </c>
      <c r="K53" s="3514" t="s">
        <v>1450</v>
      </c>
      <c r="L53" s="3515"/>
      <c r="O53" s="1571" t="s">
        <v>1014</v>
      </c>
      <c r="P53" s="1572" t="s">
        <v>1451</v>
      </c>
      <c r="Q53" s="1573" t="e">
        <f ca="1">Q47+Q48</f>
        <v>#DIV/0!</v>
      </c>
      <c r="R53" s="1573" t="s">
        <v>1015</v>
      </c>
    </row>
    <row r="54" spans="1:18" s="1537" customFormat="1" ht="13.8" thickBot="1">
      <c r="A54" s="1105"/>
      <c r="B54" s="1627" t="s">
        <v>1505</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1452</v>
      </c>
      <c r="P54" s="1534"/>
      <c r="Q54" s="1534"/>
      <c r="R54" s="1534"/>
    </row>
    <row r="55" spans="1:18" s="1537" customFormat="1" ht="13.8" thickBot="1">
      <c r="A55" s="1214" t="s">
        <v>1043</v>
      </c>
      <c r="B55" s="1522" t="s">
        <v>1315</v>
      </c>
      <c r="C55" s="1215"/>
      <c r="D55" s="1519"/>
      <c r="E55" s="1527"/>
      <c r="F55" s="1593"/>
      <c r="I55" s="1596" t="s">
        <v>1453</v>
      </c>
      <c r="J55" s="1597" t="e">
        <f ca="1">ROUND(IF(J47="钢混",J57/J50,1-(1-2%)*(J50-J57)/J50),3)</f>
        <v>#DIV/0!</v>
      </c>
      <c r="K55" s="1598" t="s">
        <v>1454</v>
      </c>
      <c r="L55" s="1599"/>
      <c r="O55" s="1564" t="s">
        <v>1424</v>
      </c>
      <c r="P55" s="1565" t="s">
        <v>1425</v>
      </c>
      <c r="Q55" s="1566" t="s">
        <v>1426</v>
      </c>
      <c r="R55" s="1566" t="s">
        <v>1427</v>
      </c>
    </row>
    <row r="56" spans="1:18" s="1537" customFormat="1" ht="36" customHeight="1" thickTop="1" thickBot="1">
      <c r="A56" s="1087">
        <v>2</v>
      </c>
      <c r="B56" s="1088" t="s">
        <v>1316</v>
      </c>
      <c r="C56" s="237">
        <f ca="1">C13</f>
        <v>0</v>
      </c>
      <c r="D56" s="1600"/>
      <c r="E56" s="1601"/>
      <c r="F56" s="1593"/>
      <c r="I56" s="1602" t="s">
        <v>1456</v>
      </c>
      <c r="J56" s="1603"/>
      <c r="K56" s="1574" t="s">
        <v>1457</v>
      </c>
      <c r="L56" s="1577">
        <f ca="1">IF(L48&lt;J51,"——",L48-J51)</f>
        <v>0</v>
      </c>
      <c r="O56" s="1571" t="s">
        <v>1008</v>
      </c>
      <c r="P56" s="1572" t="s">
        <v>1430</v>
      </c>
      <c r="Q56" s="1573" t="e">
        <f ca="1">C40+J29</f>
        <v>#DIV/0!</v>
      </c>
      <c r="R56" s="1573" t="s">
        <v>1431</v>
      </c>
    </row>
    <row r="57" spans="1:18" s="1537" customFormat="1" ht="24.6" thickBot="1">
      <c r="A57" s="1604"/>
      <c r="B57" s="1080" t="s">
        <v>1380</v>
      </c>
      <c r="C57" s="243">
        <f ca="1">C29</f>
        <v>0</v>
      </c>
      <c r="D57" s="1605"/>
      <c r="E57" s="1606"/>
      <c r="F57" s="1607"/>
      <c r="I57" s="1608" t="s">
        <v>1458</v>
      </c>
      <c r="J57" s="1609">
        <f ca="1">IF(OR(M47="住宅",J51&lt;L48,J56="是"),"——",J51-L48)</f>
        <v>0</v>
      </c>
      <c r="K57" s="1574" t="s">
        <v>1507</v>
      </c>
      <c r="L57" s="1577">
        <f ca="1">IF(L48&lt;J51,"——",IF(L55="比较法",L49,IF(L55="基准地价",L50,L51)))</f>
        <v>0</v>
      </c>
      <c r="O57" s="1571" t="s">
        <v>1009</v>
      </c>
      <c r="P57" s="1572" t="s">
        <v>1508</v>
      </c>
      <c r="Q57" s="1573" t="e">
        <f ca="1">L60</f>
        <v>#DIV/0!</v>
      </c>
      <c r="R57" s="1573" t="s">
        <v>1509</v>
      </c>
    </row>
    <row r="58" spans="1:18" s="1537" customFormat="1" ht="24.6" thickBot="1">
      <c r="A58" s="320" t="s">
        <v>998</v>
      </c>
      <c r="B58" s="1088" t="s">
        <v>1326</v>
      </c>
      <c r="C58" s="321">
        <f ca="1">ROUND(C59+C64+C65+C66,0)</f>
        <v>0</v>
      </c>
      <c r="D58" s="1090" t="s">
        <v>1327</v>
      </c>
      <c r="E58" s="1091"/>
      <c r="F58" s="1092"/>
      <c r="I58" s="1608" t="s">
        <v>1462</v>
      </c>
      <c r="J58" s="1610" t="e">
        <f ca="1">IF(J55&lt;0.4,0.4,J55)</f>
        <v>#DIV/0!</v>
      </c>
      <c r="K58" s="1587" t="s">
        <v>1510</v>
      </c>
      <c r="L58" s="1577" t="e">
        <f ca="1">ROUND(POWER(1+L52,L47-L48)*(POWER(1+L52,L48)-1)/(POWER(1+L52,L47)-1),4)</f>
        <v>#DIV/0!</v>
      </c>
      <c r="O58" s="1581" t="s">
        <v>1010</v>
      </c>
      <c r="P58" s="1572" t="s">
        <v>1464</v>
      </c>
      <c r="Q58" s="1573">
        <f>IF(L55="比较法",L49,IF(L55="基准地价",L50,0))</f>
        <v>0</v>
      </c>
      <c r="R58" s="1573" t="s">
        <v>1431</v>
      </c>
    </row>
    <row r="59" spans="1:18" s="1537" customFormat="1" ht="24.6" thickBot="1">
      <c r="A59" s="1112" t="s">
        <v>1003</v>
      </c>
      <c r="B59" s="1080" t="s">
        <v>1331</v>
      </c>
      <c r="C59" s="2503">
        <f ca="1">ROUND(IF(AND(项目基本情况!B11="自然人",项目基本情况!B10="北京市"),C49*F59/(1+'数据-取费表'!C42),C60+C61+C62),0)</f>
        <v>0</v>
      </c>
      <c r="D59" s="1093" t="s">
        <v>1332</v>
      </c>
      <c r="E59" s="1094" t="s">
        <v>1333</v>
      </c>
      <c r="F59" s="2502" t="str">
        <f>IF(项目基本情况!B11="企业","——",IF('数据-取费表'!B10="住宅",IF(F49*F50*F51/12/(1+'数据-取费表'!F30)&gt;100000,4%,2.5%),IF(F49*F50*F51/12/(1+'数据-取费表'!F30)&gt;100000,12%,7%)))</f>
        <v>——</v>
      </c>
      <c r="I59" s="1608" t="s">
        <v>1465</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1466</v>
      </c>
      <c r="Q59" s="1584">
        <f>L52</f>
        <v>0</v>
      </c>
      <c r="R59" s="1573"/>
    </row>
    <row r="60" spans="1:18" s="1537" customFormat="1" ht="16.2" thickBot="1">
      <c r="A60" s="1112" t="s">
        <v>1002</v>
      </c>
      <c r="B60" s="1080" t="s">
        <v>1335</v>
      </c>
      <c r="C60" s="23">
        <f ca="1">IF(项目基本情况!B11="自然人","——",ROUND(C48*F60/(1+'数据-取费表'!C42),0))</f>
        <v>0</v>
      </c>
      <c r="D60" s="1094" t="s">
        <v>1336</v>
      </c>
      <c r="E60" s="1080" t="s">
        <v>1324</v>
      </c>
      <c r="F60" s="336">
        <f t="shared" ref="F60:F66" si="0">F32</f>
        <v>5.6000000000000001E-2</v>
      </c>
      <c r="I60" s="1611" t="s">
        <v>1467</v>
      </c>
      <c r="J60" s="1612" t="e">
        <f ca="1">IF(OR(M47="住宅",J51&lt;L48,J56="是"),"0",ROUND(J59/(1+J52)^J53,0))</f>
        <v>#DIV/0!</v>
      </c>
      <c r="K60" s="1613" t="s">
        <v>1468</v>
      </c>
      <c r="L60" s="1612" t="e">
        <f ca="1">IF(OR(M47="住宅",L48&lt;J51),0,ROUND(L57*(L58/L59-1),0))</f>
        <v>#DIV/0!</v>
      </c>
      <c r="O60" s="1581" t="s">
        <v>1012</v>
      </c>
      <c r="P60" s="1572" t="s">
        <v>1469</v>
      </c>
      <c r="Q60" s="1573" t="e">
        <f ca="1">L58</f>
        <v>#DIV/0!</v>
      </c>
      <c r="R60" s="1573" t="s">
        <v>1470</v>
      </c>
    </row>
    <row r="61" spans="1:18" s="1537" customFormat="1" ht="13.8" thickBot="1">
      <c r="A61" s="1112" t="s">
        <v>1394</v>
      </c>
      <c r="B61" s="1080" t="s">
        <v>1395</v>
      </c>
      <c r="C61" s="23">
        <f ca="1">IF(项目基本情况!B11="自然人","——",IF(D61="按租金收入计税",ROUND(C49*F61/(1+'数据-取费表'!C42),0),IF(D61="按房产原值计税",ROUND(C57*F61*0.7,0),INDIRECT("'数据-取费表'!Aj"&amp;$G$1))))</f>
        <v>0</v>
      </c>
      <c r="D61" s="1523" t="s">
        <v>1340</v>
      </c>
      <c r="E61" s="1080" t="s">
        <v>1396</v>
      </c>
      <c r="F61" s="327">
        <f t="shared" si="0"/>
        <v>1.2E-2</v>
      </c>
      <c r="I61" s="1614"/>
      <c r="J61" s="1614"/>
      <c r="K61" s="1614"/>
      <c r="L61" s="1614"/>
      <c r="O61" s="1581" t="s">
        <v>1013</v>
      </c>
      <c r="P61" s="1572" t="str">
        <f>K59</f>
        <v>建设期及建筑物耐用年限下的土地年期修正系数Kn</v>
      </c>
      <c r="Q61" s="1573" t="e">
        <f ca="1">L59</f>
        <v>#DIV/0!</v>
      </c>
      <c r="R61" s="1573" t="s">
        <v>1471</v>
      </c>
    </row>
    <row r="62" spans="1:18" s="1537" customFormat="1" ht="13.8" thickBot="1">
      <c r="A62" s="1112" t="s">
        <v>1397</v>
      </c>
      <c r="B62" s="1079" t="s">
        <v>1398</v>
      </c>
      <c r="C62" s="24">
        <f ca="1">IF(项目基本情况!B11="自然人","——",ROUND(F62*F63,0))</f>
        <v>0</v>
      </c>
      <c r="D62" s="1095" t="s">
        <v>1399</v>
      </c>
      <c r="E62" s="1080" t="s">
        <v>1400</v>
      </c>
      <c r="F62" s="330">
        <f t="shared" si="0"/>
        <v>3</v>
      </c>
      <c r="I62" s="1615" t="s">
        <v>1472</v>
      </c>
      <c r="J62" s="1616" t="s">
        <v>1473</v>
      </c>
      <c r="K62" s="1616" t="s">
        <v>1474</v>
      </c>
      <c r="L62" s="1616" t="s">
        <v>1475</v>
      </c>
      <c r="M62" s="1617" t="s">
        <v>1476</v>
      </c>
      <c r="O62" s="1571" t="s">
        <v>1014</v>
      </c>
      <c r="P62" s="1572" t="s">
        <v>1477</v>
      </c>
      <c r="Q62" s="1573" t="e">
        <f ca="1">Q56+Q57</f>
        <v>#DIV/0!</v>
      </c>
      <c r="R62" s="1573" t="s">
        <v>1015</v>
      </c>
    </row>
    <row r="63" spans="1:18" s="1537" customFormat="1" ht="13.8" thickBot="1">
      <c r="A63" s="331"/>
      <c r="B63" s="1086"/>
      <c r="C63" s="28"/>
      <c r="D63" s="1096"/>
      <c r="E63" s="1080" t="s">
        <v>1401</v>
      </c>
      <c r="F63" s="308">
        <f t="shared" ca="1" si="0"/>
        <v>0</v>
      </c>
      <c r="I63" s="1615" t="s">
        <v>1478</v>
      </c>
      <c r="J63" s="1616">
        <v>70</v>
      </c>
      <c r="K63" s="1616">
        <v>50</v>
      </c>
      <c r="L63" s="1616">
        <v>80</v>
      </c>
      <c r="M63" s="1618">
        <v>0.02</v>
      </c>
      <c r="O63" s="1556" t="s">
        <v>1479</v>
      </c>
      <c r="P63" s="1534"/>
      <c r="Q63" s="1534"/>
      <c r="R63" s="1534"/>
    </row>
    <row r="64" spans="1:18" s="1537" customFormat="1" ht="13.8" thickBot="1">
      <c r="A64" s="1112" t="s">
        <v>1402</v>
      </c>
      <c r="B64" s="1080" t="s">
        <v>1403</v>
      </c>
      <c r="C64" s="23">
        <f ca="1">ROUND(C57*F64,0)</f>
        <v>0</v>
      </c>
      <c r="D64" s="1094" t="s">
        <v>1404</v>
      </c>
      <c r="E64" s="1080" t="s">
        <v>1396</v>
      </c>
      <c r="F64" s="333">
        <f t="shared" ca="1" si="0"/>
        <v>0</v>
      </c>
      <c r="I64" s="1615" t="s">
        <v>1480</v>
      </c>
      <c r="J64" s="1616">
        <v>50</v>
      </c>
      <c r="K64" s="1616">
        <v>35</v>
      </c>
      <c r="L64" s="1616">
        <v>60</v>
      </c>
      <c r="M64" s="1617">
        <v>0</v>
      </c>
      <c r="O64" s="1564" t="s">
        <v>1424</v>
      </c>
      <c r="P64" s="1565" t="s">
        <v>1425</v>
      </c>
      <c r="Q64" s="1566" t="s">
        <v>1426</v>
      </c>
      <c r="R64" s="1566" t="s">
        <v>1427</v>
      </c>
    </row>
    <row r="65" spans="1:18" s="1537" customFormat="1" ht="13.8" thickBot="1">
      <c r="A65" s="1112" t="s">
        <v>1405</v>
      </c>
      <c r="B65" s="1080" t="s">
        <v>1355</v>
      </c>
      <c r="C65" s="23">
        <f ca="1">ROUND(C56*F65,0)</f>
        <v>0</v>
      </c>
      <c r="D65" s="1094" t="s">
        <v>1356</v>
      </c>
      <c r="E65" s="1080" t="s">
        <v>1357</v>
      </c>
      <c r="F65" s="335">
        <f t="shared" ca="1" si="0"/>
        <v>0</v>
      </c>
      <c r="I65" s="1615" t="s">
        <v>1481</v>
      </c>
      <c r="J65" s="1616">
        <v>40</v>
      </c>
      <c r="K65" s="1616">
        <v>30</v>
      </c>
      <c r="L65" s="1616">
        <v>50</v>
      </c>
      <c r="M65" s="1618">
        <v>0.02</v>
      </c>
      <c r="O65" s="1571" t="s">
        <v>1008</v>
      </c>
      <c r="P65" s="1572" t="s">
        <v>1482</v>
      </c>
      <c r="Q65" s="1573" t="e">
        <f ca="1">C40+J29</f>
        <v>#DIV/0!</v>
      </c>
      <c r="R65" s="1573" t="s">
        <v>1431</v>
      </c>
    </row>
    <row r="66" spans="1:18" s="1537" customFormat="1" ht="16.2" thickBot="1">
      <c r="A66" s="1112" t="s">
        <v>1406</v>
      </c>
      <c r="B66" s="1080" t="s">
        <v>1341</v>
      </c>
      <c r="C66" s="23">
        <f ca="1">ROUND(C48*F66,0)</f>
        <v>0</v>
      </c>
      <c r="D66" s="1094" t="s">
        <v>1407</v>
      </c>
      <c r="E66" s="1080" t="s">
        <v>1324</v>
      </c>
      <c r="F66" s="317">
        <f t="shared" ca="1" si="0"/>
        <v>0</v>
      </c>
      <c r="O66" s="1571" t="s">
        <v>1009</v>
      </c>
      <c r="P66" s="1572" t="s">
        <v>1460</v>
      </c>
      <c r="Q66" s="1573" t="e">
        <f ca="1">L60</f>
        <v>#DIV/0!</v>
      </c>
      <c r="R66" s="1573" t="s">
        <v>1483</v>
      </c>
    </row>
    <row r="67" spans="1:18" s="1537" customFormat="1" ht="24.6" thickBot="1">
      <c r="A67" s="1087" t="s">
        <v>999</v>
      </c>
      <c r="B67" s="1097" t="s">
        <v>1365</v>
      </c>
      <c r="C67" s="321">
        <f ca="1">C48-C58</f>
        <v>0</v>
      </c>
      <c r="D67" s="1093" t="s">
        <v>1366</v>
      </c>
      <c r="E67" s="1098"/>
      <c r="F67" s="1099"/>
      <c r="O67" s="1581" t="s">
        <v>1010</v>
      </c>
      <c r="P67" s="1572" t="s">
        <v>1464</v>
      </c>
      <c r="Q67" s="1619">
        <f ca="1">L51</f>
        <v>0</v>
      </c>
      <c r="R67" s="1573" t="s">
        <v>1484</v>
      </c>
    </row>
    <row r="68" spans="1:18" s="1537" customFormat="1" ht="16.2" thickBot="1">
      <c r="A68" s="1077" t="s">
        <v>1000</v>
      </c>
      <c r="B68" s="1078" t="s">
        <v>1387</v>
      </c>
      <c r="C68" s="306" t="e">
        <f ca="1">ROUND(C67*(1-((1+F70)/(1+F68))^F69)/(F68-F70),0)</f>
        <v>#DIV/0!</v>
      </c>
      <c r="D68" s="1095" t="s">
        <v>1371</v>
      </c>
      <c r="E68" s="1080" t="s">
        <v>1372</v>
      </c>
      <c r="F68" s="317">
        <f ca="1">F40</f>
        <v>0</v>
      </c>
      <c r="O68" s="1581" t="s">
        <v>1011</v>
      </c>
      <c r="P68" s="1620" t="s">
        <v>1485</v>
      </c>
      <c r="Q68" s="1573">
        <f ca="1">ROUND(Q69-Q70*Q71,0)</f>
        <v>0</v>
      </c>
      <c r="R68" s="1573" t="s">
        <v>1019</v>
      </c>
    </row>
    <row r="69" spans="1:18" s="1537" customFormat="1" ht="13.8" thickBot="1">
      <c r="A69" s="1081"/>
      <c r="B69" s="1082"/>
      <c r="C69" s="311"/>
      <c r="D69" s="1100" t="s">
        <v>1375</v>
      </c>
      <c r="E69" s="1080" t="s">
        <v>1376</v>
      </c>
      <c r="F69" s="338">
        <f ca="1">F41</f>
        <v>0</v>
      </c>
      <c r="O69" s="1581" t="s">
        <v>1016</v>
      </c>
      <c r="P69" s="1620" t="s">
        <v>1486</v>
      </c>
      <c r="Q69" s="1573">
        <f ca="1">C39</f>
        <v>0</v>
      </c>
      <c r="R69" s="1573" t="s">
        <v>1431</v>
      </c>
    </row>
    <row r="70" spans="1:18" s="1537" customFormat="1" ht="13.8" thickBot="1">
      <c r="A70" s="1084"/>
      <c r="B70" s="1085"/>
      <c r="C70" s="315"/>
      <c r="D70" s="1096"/>
      <c r="E70" s="1080" t="s">
        <v>1379</v>
      </c>
      <c r="F70" s="1184">
        <f ca="1">F42</f>
        <v>0</v>
      </c>
      <c r="O70" s="1581" t="s">
        <v>1017</v>
      </c>
      <c r="P70" s="1620" t="s">
        <v>1487</v>
      </c>
      <c r="Q70" s="1573">
        <f ca="1">C13</f>
        <v>0</v>
      </c>
      <c r="R70" s="1573" t="s">
        <v>1431</v>
      </c>
    </row>
    <row r="71" spans="1:18" s="1537" customFormat="1" ht="13.8" thickBot="1">
      <c r="A71" s="1101" t="s">
        <v>1001</v>
      </c>
      <c r="B71" s="1102" t="s">
        <v>1389</v>
      </c>
      <c r="C71" s="341" t="e">
        <f ca="1">ROUND(C68/F71,0)</f>
        <v>#DIV/0!</v>
      </c>
      <c r="D71" s="1103" t="s">
        <v>1390</v>
      </c>
      <c r="E71" s="1104" t="s">
        <v>1391</v>
      </c>
      <c r="F71" s="344">
        <f ca="1">F43</f>
        <v>0</v>
      </c>
      <c r="O71" s="1581" t="s">
        <v>1018</v>
      </c>
      <c r="P71" s="1620" t="s">
        <v>1488</v>
      </c>
      <c r="Q71" s="1584">
        <f ca="1">C76</f>
        <v>0</v>
      </c>
      <c r="R71" s="1573"/>
    </row>
    <row r="72" spans="1:18" s="1537" customFormat="1" ht="13.8" thickBot="1">
      <c r="B72" s="734"/>
      <c r="C72" s="734"/>
      <c r="O72" s="1581" t="s">
        <v>1012</v>
      </c>
      <c r="P72" s="1572" t="s">
        <v>1466</v>
      </c>
      <c r="Q72" s="1584">
        <f>L52</f>
        <v>0</v>
      </c>
      <c r="R72" s="1573"/>
    </row>
    <row r="73" spans="1:18" ht="16.2" thickBot="1">
      <c r="A73" s="1537"/>
      <c r="B73" s="734"/>
      <c r="C73" s="734"/>
      <c r="D73" s="1537"/>
      <c r="E73" s="1537"/>
      <c r="F73" s="1537"/>
      <c r="O73" s="1581" t="s">
        <v>1013</v>
      </c>
      <c r="P73" s="1572" t="s">
        <v>1469</v>
      </c>
      <c r="Q73" s="1573" t="e">
        <f ca="1">L58</f>
        <v>#DIV/0!</v>
      </c>
      <c r="R73" s="1573" t="s">
        <v>1470</v>
      </c>
    </row>
    <row r="74" spans="1:18" ht="13.8" thickBot="1">
      <c r="A74" s="1537"/>
      <c r="B74" s="278" t="s">
        <v>1489</v>
      </c>
      <c r="C74" s="1622"/>
      <c r="D74" s="1537"/>
      <c r="E74" s="1537"/>
      <c r="F74" s="1537"/>
      <c r="O74" s="1581" t="s">
        <v>1020</v>
      </c>
      <c r="P74" s="1572" t="str">
        <f>K59</f>
        <v>建设期及建筑物耐用年限下的土地年期修正系数Kn</v>
      </c>
      <c r="Q74" s="1573" t="e">
        <f ca="1">L59</f>
        <v>#DIV/0!</v>
      </c>
      <c r="R74" s="1573" t="s">
        <v>1471</v>
      </c>
    </row>
    <row r="75" spans="1:18" ht="13.8" thickBot="1">
      <c r="A75" s="1537"/>
      <c r="B75" s="345" t="s">
        <v>1408</v>
      </c>
      <c r="C75" s="346">
        <f ca="1">ROUND(C13*C76,0)</f>
        <v>0</v>
      </c>
      <c r="D75" s="1537"/>
      <c r="E75" s="1537"/>
      <c r="F75" s="1537"/>
      <c r="K75" s="1555"/>
      <c r="L75" s="1537"/>
      <c r="O75" s="1571" t="s">
        <v>1014</v>
      </c>
      <c r="P75" s="1572" t="s">
        <v>1451</v>
      </c>
      <c r="Q75" s="1573" t="e">
        <f ca="1">Q65+Q66</f>
        <v>#DIV/0!</v>
      </c>
      <c r="R75" s="1573" t="s">
        <v>1015</v>
      </c>
    </row>
    <row r="76" spans="1:18">
      <c r="B76" s="347" t="s">
        <v>1409</v>
      </c>
      <c r="C76" s="348">
        <f ca="1">INDIRECT("'数据-取费表'!j"&amp;$G$1)</f>
        <v>0</v>
      </c>
      <c r="I76" s="1537"/>
      <c r="J76" s="1537"/>
      <c r="K76" s="1555"/>
      <c r="L76" s="1537"/>
    </row>
    <row r="77" spans="1:18">
      <c r="B77" s="349" t="s">
        <v>1410</v>
      </c>
      <c r="C77" s="350"/>
      <c r="I77" s="1537"/>
      <c r="J77" s="1537"/>
      <c r="K77" s="1555"/>
      <c r="L77" s="1537"/>
    </row>
    <row r="78" spans="1:18">
      <c r="B78" s="275" t="s">
        <v>1411</v>
      </c>
      <c r="C78" s="351"/>
    </row>
    <row r="79" spans="1:18">
      <c r="B79" s="345" t="s">
        <v>1412</v>
      </c>
      <c r="C79" s="279" t="e">
        <f ca="1">1-C80</f>
        <v>#DIV/0!</v>
      </c>
    </row>
    <row r="80" spans="1:18">
      <c r="B80" s="345" t="s">
        <v>1413</v>
      </c>
      <c r="C80" s="279" t="e">
        <f ca="1">ROUND(C75/C39,3)</f>
        <v>#DIV/0!</v>
      </c>
    </row>
    <row r="81" spans="2:3">
      <c r="B81" s="275" t="s">
        <v>1414</v>
      </c>
      <c r="C81" s="243"/>
    </row>
    <row r="82" spans="2:3">
      <c r="B82" s="278" t="s">
        <v>1415</v>
      </c>
      <c r="C82" s="280" t="e">
        <f ca="1">1-C83</f>
        <v>#DIV/0!</v>
      </c>
    </row>
    <row r="83" spans="2:3">
      <c r="B83" s="278" t="s">
        <v>1416</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3040" customWidth="1"/>
    <col min="2" max="2" width="8.88671875" style="3040"/>
    <col min="3" max="5" width="12.88671875" style="3040" customWidth="1"/>
    <col min="6" max="6" width="47.44140625" style="3040" customWidth="1"/>
    <col min="7" max="7" width="13" style="3199" customWidth="1"/>
    <col min="8" max="8" width="8.88671875" style="3034"/>
    <col min="9" max="9" width="8.88671875" style="3035"/>
    <col min="10" max="10" width="5.77734375" style="3200" customWidth="1"/>
    <col min="11" max="11" width="11.77734375" style="3200" customWidth="1"/>
    <col min="12" max="13" width="10.77734375" style="3200" customWidth="1"/>
    <col min="14" max="14" width="10" style="3200" customWidth="1"/>
    <col min="15" max="16" width="10.44140625" style="3200" bestFit="1" customWidth="1"/>
    <col min="17" max="17" width="10" style="3200" customWidth="1"/>
    <col min="18" max="18" width="10.109375" style="3200" customWidth="1"/>
    <col min="19" max="19" width="10" style="3200" customWidth="1"/>
    <col min="20" max="20" width="26.109375" style="3200" customWidth="1"/>
    <col min="21" max="21" width="8.88671875" style="3200"/>
    <col min="22" max="22" width="8.88671875" style="3035"/>
    <col min="23" max="256" width="8.88671875" style="3040"/>
    <col min="257" max="257" width="9.44140625" style="3040" customWidth="1"/>
    <col min="258" max="258" width="8.88671875" style="3040"/>
    <col min="259" max="261" width="12.88671875" style="3040" customWidth="1"/>
    <col min="262" max="262" width="47.44140625" style="3040" customWidth="1"/>
    <col min="263" max="263" width="13" style="3040" customWidth="1"/>
    <col min="264" max="265" width="8.88671875" style="3040"/>
    <col min="266" max="266" width="5.77734375" style="3040" customWidth="1"/>
    <col min="267" max="267" width="11.77734375" style="3040" customWidth="1"/>
    <col min="268" max="269" width="10.77734375" style="3040" customWidth="1"/>
    <col min="270" max="270" width="10" style="3040" customWidth="1"/>
    <col min="271" max="272" width="10.44140625" style="3040" bestFit="1" customWidth="1"/>
    <col min="273" max="273" width="10" style="3040" customWidth="1"/>
    <col min="274" max="274" width="10.109375" style="3040" customWidth="1"/>
    <col min="275" max="275" width="10" style="3040" customWidth="1"/>
    <col min="276" max="276" width="26.109375" style="3040" customWidth="1"/>
    <col min="277" max="512" width="8.88671875" style="3040"/>
    <col min="513" max="513" width="9.44140625" style="3040" customWidth="1"/>
    <col min="514" max="514" width="8.88671875" style="3040"/>
    <col min="515" max="517" width="12.88671875" style="3040" customWidth="1"/>
    <col min="518" max="518" width="47.44140625" style="3040" customWidth="1"/>
    <col min="519" max="519" width="13" style="3040" customWidth="1"/>
    <col min="520" max="521" width="8.88671875" style="3040"/>
    <col min="522" max="522" width="5.77734375" style="3040" customWidth="1"/>
    <col min="523" max="523" width="11.77734375" style="3040" customWidth="1"/>
    <col min="524" max="525" width="10.77734375" style="3040" customWidth="1"/>
    <col min="526" max="526" width="10" style="3040" customWidth="1"/>
    <col min="527" max="528" width="10.44140625" style="3040" bestFit="1" customWidth="1"/>
    <col min="529" max="529" width="10" style="3040" customWidth="1"/>
    <col min="530" max="530" width="10.109375" style="3040" customWidth="1"/>
    <col min="531" max="531" width="10" style="3040" customWidth="1"/>
    <col min="532" max="532" width="26.109375" style="3040" customWidth="1"/>
    <col min="533" max="768" width="8.88671875" style="3040"/>
    <col min="769" max="769" width="9.44140625" style="3040" customWidth="1"/>
    <col min="770" max="770" width="8.88671875" style="3040"/>
    <col min="771" max="773" width="12.88671875" style="3040" customWidth="1"/>
    <col min="774" max="774" width="47.44140625" style="3040" customWidth="1"/>
    <col min="775" max="775" width="13" style="3040" customWidth="1"/>
    <col min="776" max="777" width="8.88671875" style="3040"/>
    <col min="778" max="778" width="5.77734375" style="3040" customWidth="1"/>
    <col min="779" max="779" width="11.77734375" style="3040" customWidth="1"/>
    <col min="780" max="781" width="10.77734375" style="3040" customWidth="1"/>
    <col min="782" max="782" width="10" style="3040" customWidth="1"/>
    <col min="783" max="784" width="10.44140625" style="3040" bestFit="1" customWidth="1"/>
    <col min="785" max="785" width="10" style="3040" customWidth="1"/>
    <col min="786" max="786" width="10.109375" style="3040" customWidth="1"/>
    <col min="787" max="787" width="10" style="3040" customWidth="1"/>
    <col min="788" max="788" width="26.109375" style="3040" customWidth="1"/>
    <col min="789" max="1024" width="8.88671875" style="3040"/>
    <col min="1025" max="1025" width="9.44140625" style="3040" customWidth="1"/>
    <col min="1026" max="1026" width="8.88671875" style="3040"/>
    <col min="1027" max="1029" width="12.88671875" style="3040" customWidth="1"/>
    <col min="1030" max="1030" width="47.44140625" style="3040" customWidth="1"/>
    <col min="1031" max="1031" width="13" style="3040" customWidth="1"/>
    <col min="1032" max="1033" width="8.88671875" style="3040"/>
    <col min="1034" max="1034" width="5.77734375" style="3040" customWidth="1"/>
    <col min="1035" max="1035" width="11.77734375" style="3040" customWidth="1"/>
    <col min="1036" max="1037" width="10.77734375" style="3040" customWidth="1"/>
    <col min="1038" max="1038" width="10" style="3040" customWidth="1"/>
    <col min="1039" max="1040" width="10.44140625" style="3040" bestFit="1" customWidth="1"/>
    <col min="1041" max="1041" width="10" style="3040" customWidth="1"/>
    <col min="1042" max="1042" width="10.109375" style="3040" customWidth="1"/>
    <col min="1043" max="1043" width="10" style="3040" customWidth="1"/>
    <col min="1044" max="1044" width="26.109375" style="3040" customWidth="1"/>
    <col min="1045" max="1280" width="8.88671875" style="3040"/>
    <col min="1281" max="1281" width="9.44140625" style="3040" customWidth="1"/>
    <col min="1282" max="1282" width="8.88671875" style="3040"/>
    <col min="1283" max="1285" width="12.88671875" style="3040" customWidth="1"/>
    <col min="1286" max="1286" width="47.44140625" style="3040" customWidth="1"/>
    <col min="1287" max="1287" width="13" style="3040" customWidth="1"/>
    <col min="1288" max="1289" width="8.88671875" style="3040"/>
    <col min="1290" max="1290" width="5.77734375" style="3040" customWidth="1"/>
    <col min="1291" max="1291" width="11.77734375" style="3040" customWidth="1"/>
    <col min="1292" max="1293" width="10.77734375" style="3040" customWidth="1"/>
    <col min="1294" max="1294" width="10" style="3040" customWidth="1"/>
    <col min="1295" max="1296" width="10.44140625" style="3040" bestFit="1" customWidth="1"/>
    <col min="1297" max="1297" width="10" style="3040" customWidth="1"/>
    <col min="1298" max="1298" width="10.109375" style="3040" customWidth="1"/>
    <col min="1299" max="1299" width="10" style="3040" customWidth="1"/>
    <col min="1300" max="1300" width="26.109375" style="3040" customWidth="1"/>
    <col min="1301" max="1536" width="8.88671875" style="3040"/>
    <col min="1537" max="1537" width="9.44140625" style="3040" customWidth="1"/>
    <col min="1538" max="1538" width="8.88671875" style="3040"/>
    <col min="1539" max="1541" width="12.88671875" style="3040" customWidth="1"/>
    <col min="1542" max="1542" width="47.44140625" style="3040" customWidth="1"/>
    <col min="1543" max="1543" width="13" style="3040" customWidth="1"/>
    <col min="1544" max="1545" width="8.88671875" style="3040"/>
    <col min="1546" max="1546" width="5.77734375" style="3040" customWidth="1"/>
    <col min="1547" max="1547" width="11.77734375" style="3040" customWidth="1"/>
    <col min="1548" max="1549" width="10.77734375" style="3040" customWidth="1"/>
    <col min="1550" max="1550" width="10" style="3040" customWidth="1"/>
    <col min="1551" max="1552" width="10.44140625" style="3040" bestFit="1" customWidth="1"/>
    <col min="1553" max="1553" width="10" style="3040" customWidth="1"/>
    <col min="1554" max="1554" width="10.109375" style="3040" customWidth="1"/>
    <col min="1555" max="1555" width="10" style="3040" customWidth="1"/>
    <col min="1556" max="1556" width="26.109375" style="3040" customWidth="1"/>
    <col min="1557" max="1792" width="8.88671875" style="3040"/>
    <col min="1793" max="1793" width="9.44140625" style="3040" customWidth="1"/>
    <col min="1794" max="1794" width="8.88671875" style="3040"/>
    <col min="1795" max="1797" width="12.88671875" style="3040" customWidth="1"/>
    <col min="1798" max="1798" width="47.44140625" style="3040" customWidth="1"/>
    <col min="1799" max="1799" width="13" style="3040" customWidth="1"/>
    <col min="1800" max="1801" width="8.88671875" style="3040"/>
    <col min="1802" max="1802" width="5.77734375" style="3040" customWidth="1"/>
    <col min="1803" max="1803" width="11.77734375" style="3040" customWidth="1"/>
    <col min="1804" max="1805" width="10.77734375" style="3040" customWidth="1"/>
    <col min="1806" max="1806" width="10" style="3040" customWidth="1"/>
    <col min="1807" max="1808" width="10.44140625" style="3040" bestFit="1" customWidth="1"/>
    <col min="1809" max="1809" width="10" style="3040" customWidth="1"/>
    <col min="1810" max="1810" width="10.109375" style="3040" customWidth="1"/>
    <col min="1811" max="1811" width="10" style="3040" customWidth="1"/>
    <col min="1812" max="1812" width="26.109375" style="3040" customWidth="1"/>
    <col min="1813" max="2048" width="8.88671875" style="3040"/>
    <col min="2049" max="2049" width="9.44140625" style="3040" customWidth="1"/>
    <col min="2050" max="2050" width="8.88671875" style="3040"/>
    <col min="2051" max="2053" width="12.88671875" style="3040" customWidth="1"/>
    <col min="2054" max="2054" width="47.44140625" style="3040" customWidth="1"/>
    <col min="2055" max="2055" width="13" style="3040" customWidth="1"/>
    <col min="2056" max="2057" width="8.88671875" style="3040"/>
    <col min="2058" max="2058" width="5.77734375" style="3040" customWidth="1"/>
    <col min="2059" max="2059" width="11.77734375" style="3040" customWidth="1"/>
    <col min="2060" max="2061" width="10.77734375" style="3040" customWidth="1"/>
    <col min="2062" max="2062" width="10" style="3040" customWidth="1"/>
    <col min="2063" max="2064" width="10.44140625" style="3040" bestFit="1" customWidth="1"/>
    <col min="2065" max="2065" width="10" style="3040" customWidth="1"/>
    <col min="2066" max="2066" width="10.109375" style="3040" customWidth="1"/>
    <col min="2067" max="2067" width="10" style="3040" customWidth="1"/>
    <col min="2068" max="2068" width="26.109375" style="3040" customWidth="1"/>
    <col min="2069" max="2304" width="8.88671875" style="3040"/>
    <col min="2305" max="2305" width="9.44140625" style="3040" customWidth="1"/>
    <col min="2306" max="2306" width="8.88671875" style="3040"/>
    <col min="2307" max="2309" width="12.88671875" style="3040" customWidth="1"/>
    <col min="2310" max="2310" width="47.44140625" style="3040" customWidth="1"/>
    <col min="2311" max="2311" width="13" style="3040" customWidth="1"/>
    <col min="2312" max="2313" width="8.88671875" style="3040"/>
    <col min="2314" max="2314" width="5.77734375" style="3040" customWidth="1"/>
    <col min="2315" max="2315" width="11.77734375" style="3040" customWidth="1"/>
    <col min="2316" max="2317" width="10.77734375" style="3040" customWidth="1"/>
    <col min="2318" max="2318" width="10" style="3040" customWidth="1"/>
    <col min="2319" max="2320" width="10.44140625" style="3040" bestFit="1" customWidth="1"/>
    <col min="2321" max="2321" width="10" style="3040" customWidth="1"/>
    <col min="2322" max="2322" width="10.109375" style="3040" customWidth="1"/>
    <col min="2323" max="2323" width="10" style="3040" customWidth="1"/>
    <col min="2324" max="2324" width="26.109375" style="3040" customWidth="1"/>
    <col min="2325" max="2560" width="8.88671875" style="3040"/>
    <col min="2561" max="2561" width="9.44140625" style="3040" customWidth="1"/>
    <col min="2562" max="2562" width="8.88671875" style="3040"/>
    <col min="2563" max="2565" width="12.88671875" style="3040" customWidth="1"/>
    <col min="2566" max="2566" width="47.44140625" style="3040" customWidth="1"/>
    <col min="2567" max="2567" width="13" style="3040" customWidth="1"/>
    <col min="2568" max="2569" width="8.88671875" style="3040"/>
    <col min="2570" max="2570" width="5.77734375" style="3040" customWidth="1"/>
    <col min="2571" max="2571" width="11.77734375" style="3040" customWidth="1"/>
    <col min="2572" max="2573" width="10.77734375" style="3040" customWidth="1"/>
    <col min="2574" max="2574" width="10" style="3040" customWidth="1"/>
    <col min="2575" max="2576" width="10.44140625" style="3040" bestFit="1" customWidth="1"/>
    <col min="2577" max="2577" width="10" style="3040" customWidth="1"/>
    <col min="2578" max="2578" width="10.109375" style="3040" customWidth="1"/>
    <col min="2579" max="2579" width="10" style="3040" customWidth="1"/>
    <col min="2580" max="2580" width="26.109375" style="3040" customWidth="1"/>
    <col min="2581" max="2816" width="8.88671875" style="3040"/>
    <col min="2817" max="2817" width="9.44140625" style="3040" customWidth="1"/>
    <col min="2818" max="2818" width="8.88671875" style="3040"/>
    <col min="2819" max="2821" width="12.88671875" style="3040" customWidth="1"/>
    <col min="2822" max="2822" width="47.44140625" style="3040" customWidth="1"/>
    <col min="2823" max="2823" width="13" style="3040" customWidth="1"/>
    <col min="2824" max="2825" width="8.88671875" style="3040"/>
    <col min="2826" max="2826" width="5.77734375" style="3040" customWidth="1"/>
    <col min="2827" max="2827" width="11.77734375" style="3040" customWidth="1"/>
    <col min="2828" max="2829" width="10.77734375" style="3040" customWidth="1"/>
    <col min="2830" max="2830" width="10" style="3040" customWidth="1"/>
    <col min="2831" max="2832" width="10.44140625" style="3040" bestFit="1" customWidth="1"/>
    <col min="2833" max="2833" width="10" style="3040" customWidth="1"/>
    <col min="2834" max="2834" width="10.109375" style="3040" customWidth="1"/>
    <col min="2835" max="2835" width="10" style="3040" customWidth="1"/>
    <col min="2836" max="2836" width="26.109375" style="3040" customWidth="1"/>
    <col min="2837" max="3072" width="8.88671875" style="3040"/>
    <col min="3073" max="3073" width="9.44140625" style="3040" customWidth="1"/>
    <col min="3074" max="3074" width="8.88671875" style="3040"/>
    <col min="3075" max="3077" width="12.88671875" style="3040" customWidth="1"/>
    <col min="3078" max="3078" width="47.44140625" style="3040" customWidth="1"/>
    <col min="3079" max="3079" width="13" style="3040" customWidth="1"/>
    <col min="3080" max="3081" width="8.88671875" style="3040"/>
    <col min="3082" max="3082" width="5.77734375" style="3040" customWidth="1"/>
    <col min="3083" max="3083" width="11.77734375" style="3040" customWidth="1"/>
    <col min="3084" max="3085" width="10.77734375" style="3040" customWidth="1"/>
    <col min="3086" max="3086" width="10" style="3040" customWidth="1"/>
    <col min="3087" max="3088" width="10.44140625" style="3040" bestFit="1" customWidth="1"/>
    <col min="3089" max="3089" width="10" style="3040" customWidth="1"/>
    <col min="3090" max="3090" width="10.109375" style="3040" customWidth="1"/>
    <col min="3091" max="3091" width="10" style="3040" customWidth="1"/>
    <col min="3092" max="3092" width="26.109375" style="3040" customWidth="1"/>
    <col min="3093" max="3328" width="8.88671875" style="3040"/>
    <col min="3329" max="3329" width="9.44140625" style="3040" customWidth="1"/>
    <col min="3330" max="3330" width="8.88671875" style="3040"/>
    <col min="3331" max="3333" width="12.88671875" style="3040" customWidth="1"/>
    <col min="3334" max="3334" width="47.44140625" style="3040" customWidth="1"/>
    <col min="3335" max="3335" width="13" style="3040" customWidth="1"/>
    <col min="3336" max="3337" width="8.88671875" style="3040"/>
    <col min="3338" max="3338" width="5.77734375" style="3040" customWidth="1"/>
    <col min="3339" max="3339" width="11.77734375" style="3040" customWidth="1"/>
    <col min="3340" max="3341" width="10.77734375" style="3040" customWidth="1"/>
    <col min="3342" max="3342" width="10" style="3040" customWidth="1"/>
    <col min="3343" max="3344" width="10.44140625" style="3040" bestFit="1" customWidth="1"/>
    <col min="3345" max="3345" width="10" style="3040" customWidth="1"/>
    <col min="3346" max="3346" width="10.109375" style="3040" customWidth="1"/>
    <col min="3347" max="3347" width="10" style="3040" customWidth="1"/>
    <col min="3348" max="3348" width="26.109375" style="3040" customWidth="1"/>
    <col min="3349" max="3584" width="8.88671875" style="3040"/>
    <col min="3585" max="3585" width="9.44140625" style="3040" customWidth="1"/>
    <col min="3586" max="3586" width="8.88671875" style="3040"/>
    <col min="3587" max="3589" width="12.88671875" style="3040" customWidth="1"/>
    <col min="3590" max="3590" width="47.44140625" style="3040" customWidth="1"/>
    <col min="3591" max="3591" width="13" style="3040" customWidth="1"/>
    <col min="3592" max="3593" width="8.88671875" style="3040"/>
    <col min="3594" max="3594" width="5.77734375" style="3040" customWidth="1"/>
    <col min="3595" max="3595" width="11.77734375" style="3040" customWidth="1"/>
    <col min="3596" max="3597" width="10.77734375" style="3040" customWidth="1"/>
    <col min="3598" max="3598" width="10" style="3040" customWidth="1"/>
    <col min="3599" max="3600" width="10.44140625" style="3040" bestFit="1" customWidth="1"/>
    <col min="3601" max="3601" width="10" style="3040" customWidth="1"/>
    <col min="3602" max="3602" width="10.109375" style="3040" customWidth="1"/>
    <col min="3603" max="3603" width="10" style="3040" customWidth="1"/>
    <col min="3604" max="3604" width="26.109375" style="3040" customWidth="1"/>
    <col min="3605" max="3840" width="8.88671875" style="3040"/>
    <col min="3841" max="3841" width="9.44140625" style="3040" customWidth="1"/>
    <col min="3842" max="3842" width="8.88671875" style="3040"/>
    <col min="3843" max="3845" width="12.88671875" style="3040" customWidth="1"/>
    <col min="3846" max="3846" width="47.44140625" style="3040" customWidth="1"/>
    <col min="3847" max="3847" width="13" style="3040" customWidth="1"/>
    <col min="3848" max="3849" width="8.88671875" style="3040"/>
    <col min="3850" max="3850" width="5.77734375" style="3040" customWidth="1"/>
    <col min="3851" max="3851" width="11.77734375" style="3040" customWidth="1"/>
    <col min="3852" max="3853" width="10.77734375" style="3040" customWidth="1"/>
    <col min="3854" max="3854" width="10" style="3040" customWidth="1"/>
    <col min="3855" max="3856" width="10.44140625" style="3040" bestFit="1" customWidth="1"/>
    <col min="3857" max="3857" width="10" style="3040" customWidth="1"/>
    <col min="3858" max="3858" width="10.109375" style="3040" customWidth="1"/>
    <col min="3859" max="3859" width="10" style="3040" customWidth="1"/>
    <col min="3860" max="3860" width="26.109375" style="3040" customWidth="1"/>
    <col min="3861" max="4096" width="8.88671875" style="3040"/>
    <col min="4097" max="4097" width="9.44140625" style="3040" customWidth="1"/>
    <col min="4098" max="4098" width="8.88671875" style="3040"/>
    <col min="4099" max="4101" width="12.88671875" style="3040" customWidth="1"/>
    <col min="4102" max="4102" width="47.44140625" style="3040" customWidth="1"/>
    <col min="4103" max="4103" width="13" style="3040" customWidth="1"/>
    <col min="4104" max="4105" width="8.88671875" style="3040"/>
    <col min="4106" max="4106" width="5.77734375" style="3040" customWidth="1"/>
    <col min="4107" max="4107" width="11.77734375" style="3040" customWidth="1"/>
    <col min="4108" max="4109" width="10.77734375" style="3040" customWidth="1"/>
    <col min="4110" max="4110" width="10" style="3040" customWidth="1"/>
    <col min="4111" max="4112" width="10.44140625" style="3040" bestFit="1" customWidth="1"/>
    <col min="4113" max="4113" width="10" style="3040" customWidth="1"/>
    <col min="4114" max="4114" width="10.109375" style="3040" customWidth="1"/>
    <col min="4115" max="4115" width="10" style="3040" customWidth="1"/>
    <col min="4116" max="4116" width="26.109375" style="3040" customWidth="1"/>
    <col min="4117" max="4352" width="8.88671875" style="3040"/>
    <col min="4353" max="4353" width="9.44140625" style="3040" customWidth="1"/>
    <col min="4354" max="4354" width="8.88671875" style="3040"/>
    <col min="4355" max="4357" width="12.88671875" style="3040" customWidth="1"/>
    <col min="4358" max="4358" width="47.44140625" style="3040" customWidth="1"/>
    <col min="4359" max="4359" width="13" style="3040" customWidth="1"/>
    <col min="4360" max="4361" width="8.88671875" style="3040"/>
    <col min="4362" max="4362" width="5.77734375" style="3040" customWidth="1"/>
    <col min="4363" max="4363" width="11.77734375" style="3040" customWidth="1"/>
    <col min="4364" max="4365" width="10.77734375" style="3040" customWidth="1"/>
    <col min="4366" max="4366" width="10" style="3040" customWidth="1"/>
    <col min="4367" max="4368" width="10.44140625" style="3040" bestFit="1" customWidth="1"/>
    <col min="4369" max="4369" width="10" style="3040" customWidth="1"/>
    <col min="4370" max="4370" width="10.109375" style="3040" customWidth="1"/>
    <col min="4371" max="4371" width="10" style="3040" customWidth="1"/>
    <col min="4372" max="4372" width="26.109375" style="3040" customWidth="1"/>
    <col min="4373" max="4608" width="8.88671875" style="3040"/>
    <col min="4609" max="4609" width="9.44140625" style="3040" customWidth="1"/>
    <col min="4610" max="4610" width="8.88671875" style="3040"/>
    <col min="4611" max="4613" width="12.88671875" style="3040" customWidth="1"/>
    <col min="4614" max="4614" width="47.44140625" style="3040" customWidth="1"/>
    <col min="4615" max="4615" width="13" style="3040" customWidth="1"/>
    <col min="4616" max="4617" width="8.88671875" style="3040"/>
    <col min="4618" max="4618" width="5.77734375" style="3040" customWidth="1"/>
    <col min="4619" max="4619" width="11.77734375" style="3040" customWidth="1"/>
    <col min="4620" max="4621" width="10.77734375" style="3040" customWidth="1"/>
    <col min="4622" max="4622" width="10" style="3040" customWidth="1"/>
    <col min="4623" max="4624" width="10.44140625" style="3040" bestFit="1" customWidth="1"/>
    <col min="4625" max="4625" width="10" style="3040" customWidth="1"/>
    <col min="4626" max="4626" width="10.109375" style="3040" customWidth="1"/>
    <col min="4627" max="4627" width="10" style="3040" customWidth="1"/>
    <col min="4628" max="4628" width="26.109375" style="3040" customWidth="1"/>
    <col min="4629" max="4864" width="8.88671875" style="3040"/>
    <col min="4865" max="4865" width="9.44140625" style="3040" customWidth="1"/>
    <col min="4866" max="4866" width="8.88671875" style="3040"/>
    <col min="4867" max="4869" width="12.88671875" style="3040" customWidth="1"/>
    <col min="4870" max="4870" width="47.44140625" style="3040" customWidth="1"/>
    <col min="4871" max="4871" width="13" style="3040" customWidth="1"/>
    <col min="4872" max="4873" width="8.88671875" style="3040"/>
    <col min="4874" max="4874" width="5.77734375" style="3040" customWidth="1"/>
    <col min="4875" max="4875" width="11.77734375" style="3040" customWidth="1"/>
    <col min="4876" max="4877" width="10.77734375" style="3040" customWidth="1"/>
    <col min="4878" max="4878" width="10" style="3040" customWidth="1"/>
    <col min="4879" max="4880" width="10.44140625" style="3040" bestFit="1" customWidth="1"/>
    <col min="4881" max="4881" width="10" style="3040" customWidth="1"/>
    <col min="4882" max="4882" width="10.109375" style="3040" customWidth="1"/>
    <col min="4883" max="4883" width="10" style="3040" customWidth="1"/>
    <col min="4884" max="4884" width="26.109375" style="3040" customWidth="1"/>
    <col min="4885" max="5120" width="8.88671875" style="3040"/>
    <col min="5121" max="5121" width="9.44140625" style="3040" customWidth="1"/>
    <col min="5122" max="5122" width="8.88671875" style="3040"/>
    <col min="5123" max="5125" width="12.88671875" style="3040" customWidth="1"/>
    <col min="5126" max="5126" width="47.44140625" style="3040" customWidth="1"/>
    <col min="5127" max="5127" width="13" style="3040" customWidth="1"/>
    <col min="5128" max="5129" width="8.88671875" style="3040"/>
    <col min="5130" max="5130" width="5.77734375" style="3040" customWidth="1"/>
    <col min="5131" max="5131" width="11.77734375" style="3040" customWidth="1"/>
    <col min="5132" max="5133" width="10.77734375" style="3040" customWidth="1"/>
    <col min="5134" max="5134" width="10" style="3040" customWidth="1"/>
    <col min="5135" max="5136" width="10.44140625" style="3040" bestFit="1" customWidth="1"/>
    <col min="5137" max="5137" width="10" style="3040" customWidth="1"/>
    <col min="5138" max="5138" width="10.109375" style="3040" customWidth="1"/>
    <col min="5139" max="5139" width="10" style="3040" customWidth="1"/>
    <col min="5140" max="5140" width="26.109375" style="3040" customWidth="1"/>
    <col min="5141" max="5376" width="8.88671875" style="3040"/>
    <col min="5377" max="5377" width="9.44140625" style="3040" customWidth="1"/>
    <col min="5378" max="5378" width="8.88671875" style="3040"/>
    <col min="5379" max="5381" width="12.88671875" style="3040" customWidth="1"/>
    <col min="5382" max="5382" width="47.44140625" style="3040" customWidth="1"/>
    <col min="5383" max="5383" width="13" style="3040" customWidth="1"/>
    <col min="5384" max="5385" width="8.88671875" style="3040"/>
    <col min="5386" max="5386" width="5.77734375" style="3040" customWidth="1"/>
    <col min="5387" max="5387" width="11.77734375" style="3040" customWidth="1"/>
    <col min="5388" max="5389" width="10.77734375" style="3040" customWidth="1"/>
    <col min="5390" max="5390" width="10" style="3040" customWidth="1"/>
    <col min="5391" max="5392" width="10.44140625" style="3040" bestFit="1" customWidth="1"/>
    <col min="5393" max="5393" width="10" style="3040" customWidth="1"/>
    <col min="5394" max="5394" width="10.109375" style="3040" customWidth="1"/>
    <col min="5395" max="5395" width="10" style="3040" customWidth="1"/>
    <col min="5396" max="5396" width="26.109375" style="3040" customWidth="1"/>
    <col min="5397" max="5632" width="8.88671875" style="3040"/>
    <col min="5633" max="5633" width="9.44140625" style="3040" customWidth="1"/>
    <col min="5634" max="5634" width="8.88671875" style="3040"/>
    <col min="5635" max="5637" width="12.88671875" style="3040" customWidth="1"/>
    <col min="5638" max="5638" width="47.44140625" style="3040" customWidth="1"/>
    <col min="5639" max="5639" width="13" style="3040" customWidth="1"/>
    <col min="5640" max="5641" width="8.88671875" style="3040"/>
    <col min="5642" max="5642" width="5.77734375" style="3040" customWidth="1"/>
    <col min="5643" max="5643" width="11.77734375" style="3040" customWidth="1"/>
    <col min="5644" max="5645" width="10.77734375" style="3040" customWidth="1"/>
    <col min="5646" max="5646" width="10" style="3040" customWidth="1"/>
    <col min="5647" max="5648" width="10.44140625" style="3040" bestFit="1" customWidth="1"/>
    <col min="5649" max="5649" width="10" style="3040" customWidth="1"/>
    <col min="5650" max="5650" width="10.109375" style="3040" customWidth="1"/>
    <col min="5651" max="5651" width="10" style="3040" customWidth="1"/>
    <col min="5652" max="5652" width="26.109375" style="3040" customWidth="1"/>
    <col min="5653" max="5888" width="8.88671875" style="3040"/>
    <col min="5889" max="5889" width="9.44140625" style="3040" customWidth="1"/>
    <col min="5890" max="5890" width="8.88671875" style="3040"/>
    <col min="5891" max="5893" width="12.88671875" style="3040" customWidth="1"/>
    <col min="5894" max="5894" width="47.44140625" style="3040" customWidth="1"/>
    <col min="5895" max="5895" width="13" style="3040" customWidth="1"/>
    <col min="5896" max="5897" width="8.88671875" style="3040"/>
    <col min="5898" max="5898" width="5.77734375" style="3040" customWidth="1"/>
    <col min="5899" max="5899" width="11.77734375" style="3040" customWidth="1"/>
    <col min="5900" max="5901" width="10.77734375" style="3040" customWidth="1"/>
    <col min="5902" max="5902" width="10" style="3040" customWidth="1"/>
    <col min="5903" max="5904" width="10.44140625" style="3040" bestFit="1" customWidth="1"/>
    <col min="5905" max="5905" width="10" style="3040" customWidth="1"/>
    <col min="5906" max="5906" width="10.109375" style="3040" customWidth="1"/>
    <col min="5907" max="5907" width="10" style="3040" customWidth="1"/>
    <col min="5908" max="5908" width="26.109375" style="3040" customWidth="1"/>
    <col min="5909" max="6144" width="8.88671875" style="3040"/>
    <col min="6145" max="6145" width="9.44140625" style="3040" customWidth="1"/>
    <col min="6146" max="6146" width="8.88671875" style="3040"/>
    <col min="6147" max="6149" width="12.88671875" style="3040" customWidth="1"/>
    <col min="6150" max="6150" width="47.44140625" style="3040" customWidth="1"/>
    <col min="6151" max="6151" width="13" style="3040" customWidth="1"/>
    <col min="6152" max="6153" width="8.88671875" style="3040"/>
    <col min="6154" max="6154" width="5.77734375" style="3040" customWidth="1"/>
    <col min="6155" max="6155" width="11.77734375" style="3040" customWidth="1"/>
    <col min="6156" max="6157" width="10.77734375" style="3040" customWidth="1"/>
    <col min="6158" max="6158" width="10" style="3040" customWidth="1"/>
    <col min="6159" max="6160" width="10.44140625" style="3040" bestFit="1" customWidth="1"/>
    <col min="6161" max="6161" width="10" style="3040" customWidth="1"/>
    <col min="6162" max="6162" width="10.109375" style="3040" customWidth="1"/>
    <col min="6163" max="6163" width="10" style="3040" customWidth="1"/>
    <col min="6164" max="6164" width="26.109375" style="3040" customWidth="1"/>
    <col min="6165" max="6400" width="8.88671875" style="3040"/>
    <col min="6401" max="6401" width="9.44140625" style="3040" customWidth="1"/>
    <col min="6402" max="6402" width="8.88671875" style="3040"/>
    <col min="6403" max="6405" width="12.88671875" style="3040" customWidth="1"/>
    <col min="6406" max="6406" width="47.44140625" style="3040" customWidth="1"/>
    <col min="6407" max="6407" width="13" style="3040" customWidth="1"/>
    <col min="6408" max="6409" width="8.88671875" style="3040"/>
    <col min="6410" max="6410" width="5.77734375" style="3040" customWidth="1"/>
    <col min="6411" max="6411" width="11.77734375" style="3040" customWidth="1"/>
    <col min="6412" max="6413" width="10.77734375" style="3040" customWidth="1"/>
    <col min="6414" max="6414" width="10" style="3040" customWidth="1"/>
    <col min="6415" max="6416" width="10.44140625" style="3040" bestFit="1" customWidth="1"/>
    <col min="6417" max="6417" width="10" style="3040" customWidth="1"/>
    <col min="6418" max="6418" width="10.109375" style="3040" customWidth="1"/>
    <col min="6419" max="6419" width="10" style="3040" customWidth="1"/>
    <col min="6420" max="6420" width="26.109375" style="3040" customWidth="1"/>
    <col min="6421" max="6656" width="8.88671875" style="3040"/>
    <col min="6657" max="6657" width="9.44140625" style="3040" customWidth="1"/>
    <col min="6658" max="6658" width="8.88671875" style="3040"/>
    <col min="6659" max="6661" width="12.88671875" style="3040" customWidth="1"/>
    <col min="6662" max="6662" width="47.44140625" style="3040" customWidth="1"/>
    <col min="6663" max="6663" width="13" style="3040" customWidth="1"/>
    <col min="6664" max="6665" width="8.88671875" style="3040"/>
    <col min="6666" max="6666" width="5.77734375" style="3040" customWidth="1"/>
    <col min="6667" max="6667" width="11.77734375" style="3040" customWidth="1"/>
    <col min="6668" max="6669" width="10.77734375" style="3040" customWidth="1"/>
    <col min="6670" max="6670" width="10" style="3040" customWidth="1"/>
    <col min="6671" max="6672" width="10.44140625" style="3040" bestFit="1" customWidth="1"/>
    <col min="6673" max="6673" width="10" style="3040" customWidth="1"/>
    <col min="6674" max="6674" width="10.109375" style="3040" customWidth="1"/>
    <col min="6675" max="6675" width="10" style="3040" customWidth="1"/>
    <col min="6676" max="6676" width="26.109375" style="3040" customWidth="1"/>
    <col min="6677" max="6912" width="8.88671875" style="3040"/>
    <col min="6913" max="6913" width="9.44140625" style="3040" customWidth="1"/>
    <col min="6914" max="6914" width="8.88671875" style="3040"/>
    <col min="6915" max="6917" width="12.88671875" style="3040" customWidth="1"/>
    <col min="6918" max="6918" width="47.44140625" style="3040" customWidth="1"/>
    <col min="6919" max="6919" width="13" style="3040" customWidth="1"/>
    <col min="6920" max="6921" width="8.88671875" style="3040"/>
    <col min="6922" max="6922" width="5.77734375" style="3040" customWidth="1"/>
    <col min="6923" max="6923" width="11.77734375" style="3040" customWidth="1"/>
    <col min="6924" max="6925" width="10.77734375" style="3040" customWidth="1"/>
    <col min="6926" max="6926" width="10" style="3040" customWidth="1"/>
    <col min="6927" max="6928" width="10.44140625" style="3040" bestFit="1" customWidth="1"/>
    <col min="6929" max="6929" width="10" style="3040" customWidth="1"/>
    <col min="6930" max="6930" width="10.109375" style="3040" customWidth="1"/>
    <col min="6931" max="6931" width="10" style="3040" customWidth="1"/>
    <col min="6932" max="6932" width="26.109375" style="3040" customWidth="1"/>
    <col min="6933" max="7168" width="8.88671875" style="3040"/>
    <col min="7169" max="7169" width="9.44140625" style="3040" customWidth="1"/>
    <col min="7170" max="7170" width="8.88671875" style="3040"/>
    <col min="7171" max="7173" width="12.88671875" style="3040" customWidth="1"/>
    <col min="7174" max="7174" width="47.44140625" style="3040" customWidth="1"/>
    <col min="7175" max="7175" width="13" style="3040" customWidth="1"/>
    <col min="7176" max="7177" width="8.88671875" style="3040"/>
    <col min="7178" max="7178" width="5.77734375" style="3040" customWidth="1"/>
    <col min="7179" max="7179" width="11.77734375" style="3040" customWidth="1"/>
    <col min="7180" max="7181" width="10.77734375" style="3040" customWidth="1"/>
    <col min="7182" max="7182" width="10" style="3040" customWidth="1"/>
    <col min="7183" max="7184" width="10.44140625" style="3040" bestFit="1" customWidth="1"/>
    <col min="7185" max="7185" width="10" style="3040" customWidth="1"/>
    <col min="7186" max="7186" width="10.109375" style="3040" customWidth="1"/>
    <col min="7187" max="7187" width="10" style="3040" customWidth="1"/>
    <col min="7188" max="7188" width="26.109375" style="3040" customWidth="1"/>
    <col min="7189" max="7424" width="8.88671875" style="3040"/>
    <col min="7425" max="7425" width="9.44140625" style="3040" customWidth="1"/>
    <col min="7426" max="7426" width="8.88671875" style="3040"/>
    <col min="7427" max="7429" width="12.88671875" style="3040" customWidth="1"/>
    <col min="7430" max="7430" width="47.44140625" style="3040" customWidth="1"/>
    <col min="7431" max="7431" width="13" style="3040" customWidth="1"/>
    <col min="7432" max="7433" width="8.88671875" style="3040"/>
    <col min="7434" max="7434" width="5.77734375" style="3040" customWidth="1"/>
    <col min="7435" max="7435" width="11.77734375" style="3040" customWidth="1"/>
    <col min="7436" max="7437" width="10.77734375" style="3040" customWidth="1"/>
    <col min="7438" max="7438" width="10" style="3040" customWidth="1"/>
    <col min="7439" max="7440" width="10.44140625" style="3040" bestFit="1" customWidth="1"/>
    <col min="7441" max="7441" width="10" style="3040" customWidth="1"/>
    <col min="7442" max="7442" width="10.109375" style="3040" customWidth="1"/>
    <col min="7443" max="7443" width="10" style="3040" customWidth="1"/>
    <col min="7444" max="7444" width="26.109375" style="3040" customWidth="1"/>
    <col min="7445" max="7680" width="8.88671875" style="3040"/>
    <col min="7681" max="7681" width="9.44140625" style="3040" customWidth="1"/>
    <col min="7682" max="7682" width="8.88671875" style="3040"/>
    <col min="7683" max="7685" width="12.88671875" style="3040" customWidth="1"/>
    <col min="7686" max="7686" width="47.44140625" style="3040" customWidth="1"/>
    <col min="7687" max="7687" width="13" style="3040" customWidth="1"/>
    <col min="7688" max="7689" width="8.88671875" style="3040"/>
    <col min="7690" max="7690" width="5.77734375" style="3040" customWidth="1"/>
    <col min="7691" max="7691" width="11.77734375" style="3040" customWidth="1"/>
    <col min="7692" max="7693" width="10.77734375" style="3040" customWidth="1"/>
    <col min="7694" max="7694" width="10" style="3040" customWidth="1"/>
    <col min="7695" max="7696" width="10.44140625" style="3040" bestFit="1" customWidth="1"/>
    <col min="7697" max="7697" width="10" style="3040" customWidth="1"/>
    <col min="7698" max="7698" width="10.109375" style="3040" customWidth="1"/>
    <col min="7699" max="7699" width="10" style="3040" customWidth="1"/>
    <col min="7700" max="7700" width="26.109375" style="3040" customWidth="1"/>
    <col min="7701" max="7936" width="8.88671875" style="3040"/>
    <col min="7937" max="7937" width="9.44140625" style="3040" customWidth="1"/>
    <col min="7938" max="7938" width="8.88671875" style="3040"/>
    <col min="7939" max="7941" width="12.88671875" style="3040" customWidth="1"/>
    <col min="7942" max="7942" width="47.44140625" style="3040" customWidth="1"/>
    <col min="7943" max="7943" width="13" style="3040" customWidth="1"/>
    <col min="7944" max="7945" width="8.88671875" style="3040"/>
    <col min="7946" max="7946" width="5.77734375" style="3040" customWidth="1"/>
    <col min="7947" max="7947" width="11.77734375" style="3040" customWidth="1"/>
    <col min="7948" max="7949" width="10.77734375" style="3040" customWidth="1"/>
    <col min="7950" max="7950" width="10" style="3040" customWidth="1"/>
    <col min="7951" max="7952" width="10.44140625" style="3040" bestFit="1" customWidth="1"/>
    <col min="7953" max="7953" width="10" style="3040" customWidth="1"/>
    <col min="7954" max="7954" width="10.109375" style="3040" customWidth="1"/>
    <col min="7955" max="7955" width="10" style="3040" customWidth="1"/>
    <col min="7956" max="7956" width="26.109375" style="3040" customWidth="1"/>
    <col min="7957" max="8192" width="8.88671875" style="3040"/>
    <col min="8193" max="8193" width="9.44140625" style="3040" customWidth="1"/>
    <col min="8194" max="8194" width="8.88671875" style="3040"/>
    <col min="8195" max="8197" width="12.88671875" style="3040" customWidth="1"/>
    <col min="8198" max="8198" width="47.44140625" style="3040" customWidth="1"/>
    <col min="8199" max="8199" width="13" style="3040" customWidth="1"/>
    <col min="8200" max="8201" width="8.88671875" style="3040"/>
    <col min="8202" max="8202" width="5.77734375" style="3040" customWidth="1"/>
    <col min="8203" max="8203" width="11.77734375" style="3040" customWidth="1"/>
    <col min="8204" max="8205" width="10.77734375" style="3040" customWidth="1"/>
    <col min="8206" max="8206" width="10" style="3040" customWidth="1"/>
    <col min="8207" max="8208" width="10.44140625" style="3040" bestFit="1" customWidth="1"/>
    <col min="8209" max="8209" width="10" style="3040" customWidth="1"/>
    <col min="8210" max="8210" width="10.109375" style="3040" customWidth="1"/>
    <col min="8211" max="8211" width="10" style="3040" customWidth="1"/>
    <col min="8212" max="8212" width="26.109375" style="3040" customWidth="1"/>
    <col min="8213" max="8448" width="8.88671875" style="3040"/>
    <col min="8449" max="8449" width="9.44140625" style="3040" customWidth="1"/>
    <col min="8450" max="8450" width="8.88671875" style="3040"/>
    <col min="8451" max="8453" width="12.88671875" style="3040" customWidth="1"/>
    <col min="8454" max="8454" width="47.44140625" style="3040" customWidth="1"/>
    <col min="8455" max="8455" width="13" style="3040" customWidth="1"/>
    <col min="8456" max="8457" width="8.88671875" style="3040"/>
    <col min="8458" max="8458" width="5.77734375" style="3040" customWidth="1"/>
    <col min="8459" max="8459" width="11.77734375" style="3040" customWidth="1"/>
    <col min="8460" max="8461" width="10.77734375" style="3040" customWidth="1"/>
    <col min="8462" max="8462" width="10" style="3040" customWidth="1"/>
    <col min="8463" max="8464" width="10.44140625" style="3040" bestFit="1" customWidth="1"/>
    <col min="8465" max="8465" width="10" style="3040" customWidth="1"/>
    <col min="8466" max="8466" width="10.109375" style="3040" customWidth="1"/>
    <col min="8467" max="8467" width="10" style="3040" customWidth="1"/>
    <col min="8468" max="8468" width="26.109375" style="3040" customWidth="1"/>
    <col min="8469" max="8704" width="8.88671875" style="3040"/>
    <col min="8705" max="8705" width="9.44140625" style="3040" customWidth="1"/>
    <col min="8706" max="8706" width="8.88671875" style="3040"/>
    <col min="8707" max="8709" width="12.88671875" style="3040" customWidth="1"/>
    <col min="8710" max="8710" width="47.44140625" style="3040" customWidth="1"/>
    <col min="8711" max="8711" width="13" style="3040" customWidth="1"/>
    <col min="8712" max="8713" width="8.88671875" style="3040"/>
    <col min="8714" max="8714" width="5.77734375" style="3040" customWidth="1"/>
    <col min="8715" max="8715" width="11.77734375" style="3040" customWidth="1"/>
    <col min="8716" max="8717" width="10.77734375" style="3040" customWidth="1"/>
    <col min="8718" max="8718" width="10" style="3040" customWidth="1"/>
    <col min="8719" max="8720" width="10.44140625" style="3040" bestFit="1" customWidth="1"/>
    <col min="8721" max="8721" width="10" style="3040" customWidth="1"/>
    <col min="8722" max="8722" width="10.109375" style="3040" customWidth="1"/>
    <col min="8723" max="8723" width="10" style="3040" customWidth="1"/>
    <col min="8724" max="8724" width="26.109375" style="3040" customWidth="1"/>
    <col min="8725" max="8960" width="8.88671875" style="3040"/>
    <col min="8961" max="8961" width="9.44140625" style="3040" customWidth="1"/>
    <col min="8962" max="8962" width="8.88671875" style="3040"/>
    <col min="8963" max="8965" width="12.88671875" style="3040" customWidth="1"/>
    <col min="8966" max="8966" width="47.44140625" style="3040" customWidth="1"/>
    <col min="8967" max="8967" width="13" style="3040" customWidth="1"/>
    <col min="8968" max="8969" width="8.88671875" style="3040"/>
    <col min="8970" max="8970" width="5.77734375" style="3040" customWidth="1"/>
    <col min="8971" max="8971" width="11.77734375" style="3040" customWidth="1"/>
    <col min="8972" max="8973" width="10.77734375" style="3040" customWidth="1"/>
    <col min="8974" max="8974" width="10" style="3040" customWidth="1"/>
    <col min="8975" max="8976" width="10.44140625" style="3040" bestFit="1" customWidth="1"/>
    <col min="8977" max="8977" width="10" style="3040" customWidth="1"/>
    <col min="8978" max="8978" width="10.109375" style="3040" customWidth="1"/>
    <col min="8979" max="8979" width="10" style="3040" customWidth="1"/>
    <col min="8980" max="8980" width="26.109375" style="3040" customWidth="1"/>
    <col min="8981" max="9216" width="8.88671875" style="3040"/>
    <col min="9217" max="9217" width="9.44140625" style="3040" customWidth="1"/>
    <col min="9218" max="9218" width="8.88671875" style="3040"/>
    <col min="9219" max="9221" width="12.88671875" style="3040" customWidth="1"/>
    <col min="9222" max="9222" width="47.44140625" style="3040" customWidth="1"/>
    <col min="9223" max="9223" width="13" style="3040" customWidth="1"/>
    <col min="9224" max="9225" width="8.88671875" style="3040"/>
    <col min="9226" max="9226" width="5.77734375" style="3040" customWidth="1"/>
    <col min="9227" max="9227" width="11.77734375" style="3040" customWidth="1"/>
    <col min="9228" max="9229" width="10.77734375" style="3040" customWidth="1"/>
    <col min="9230" max="9230" width="10" style="3040" customWidth="1"/>
    <col min="9231" max="9232" width="10.44140625" style="3040" bestFit="1" customWidth="1"/>
    <col min="9233" max="9233" width="10" style="3040" customWidth="1"/>
    <col min="9234" max="9234" width="10.109375" style="3040" customWidth="1"/>
    <col min="9235" max="9235" width="10" style="3040" customWidth="1"/>
    <col min="9236" max="9236" width="26.109375" style="3040" customWidth="1"/>
    <col min="9237" max="9472" width="8.88671875" style="3040"/>
    <col min="9473" max="9473" width="9.44140625" style="3040" customWidth="1"/>
    <col min="9474" max="9474" width="8.88671875" style="3040"/>
    <col min="9475" max="9477" width="12.88671875" style="3040" customWidth="1"/>
    <col min="9478" max="9478" width="47.44140625" style="3040" customWidth="1"/>
    <col min="9479" max="9479" width="13" style="3040" customWidth="1"/>
    <col min="9480" max="9481" width="8.88671875" style="3040"/>
    <col min="9482" max="9482" width="5.77734375" style="3040" customWidth="1"/>
    <col min="9483" max="9483" width="11.77734375" style="3040" customWidth="1"/>
    <col min="9484" max="9485" width="10.77734375" style="3040" customWidth="1"/>
    <col min="9486" max="9486" width="10" style="3040" customWidth="1"/>
    <col min="9487" max="9488" width="10.44140625" style="3040" bestFit="1" customWidth="1"/>
    <col min="9489" max="9489" width="10" style="3040" customWidth="1"/>
    <col min="9490" max="9490" width="10.109375" style="3040" customWidth="1"/>
    <col min="9491" max="9491" width="10" style="3040" customWidth="1"/>
    <col min="9492" max="9492" width="26.109375" style="3040" customWidth="1"/>
    <col min="9493" max="9728" width="8.88671875" style="3040"/>
    <col min="9729" max="9729" width="9.44140625" style="3040" customWidth="1"/>
    <col min="9730" max="9730" width="8.88671875" style="3040"/>
    <col min="9731" max="9733" width="12.88671875" style="3040" customWidth="1"/>
    <col min="9734" max="9734" width="47.44140625" style="3040" customWidth="1"/>
    <col min="9735" max="9735" width="13" style="3040" customWidth="1"/>
    <col min="9736" max="9737" width="8.88671875" style="3040"/>
    <col min="9738" max="9738" width="5.77734375" style="3040" customWidth="1"/>
    <col min="9739" max="9739" width="11.77734375" style="3040" customWidth="1"/>
    <col min="9740" max="9741" width="10.77734375" style="3040" customWidth="1"/>
    <col min="9742" max="9742" width="10" style="3040" customWidth="1"/>
    <col min="9743" max="9744" width="10.44140625" style="3040" bestFit="1" customWidth="1"/>
    <col min="9745" max="9745" width="10" style="3040" customWidth="1"/>
    <col min="9746" max="9746" width="10.109375" style="3040" customWidth="1"/>
    <col min="9747" max="9747" width="10" style="3040" customWidth="1"/>
    <col min="9748" max="9748" width="26.109375" style="3040" customWidth="1"/>
    <col min="9749" max="9984" width="8.88671875" style="3040"/>
    <col min="9985" max="9985" width="9.44140625" style="3040" customWidth="1"/>
    <col min="9986" max="9986" width="8.88671875" style="3040"/>
    <col min="9987" max="9989" width="12.88671875" style="3040" customWidth="1"/>
    <col min="9990" max="9990" width="47.44140625" style="3040" customWidth="1"/>
    <col min="9991" max="9991" width="13" style="3040" customWidth="1"/>
    <col min="9992" max="9993" width="8.88671875" style="3040"/>
    <col min="9994" max="9994" width="5.77734375" style="3040" customWidth="1"/>
    <col min="9995" max="9995" width="11.77734375" style="3040" customWidth="1"/>
    <col min="9996" max="9997" width="10.77734375" style="3040" customWidth="1"/>
    <col min="9998" max="9998" width="10" style="3040" customWidth="1"/>
    <col min="9999" max="10000" width="10.44140625" style="3040" bestFit="1" customWidth="1"/>
    <col min="10001" max="10001" width="10" style="3040" customWidth="1"/>
    <col min="10002" max="10002" width="10.109375" style="3040" customWidth="1"/>
    <col min="10003" max="10003" width="10" style="3040" customWidth="1"/>
    <col min="10004" max="10004" width="26.109375" style="3040" customWidth="1"/>
    <col min="10005" max="10240" width="8.88671875" style="3040"/>
    <col min="10241" max="10241" width="9.44140625" style="3040" customWidth="1"/>
    <col min="10242" max="10242" width="8.88671875" style="3040"/>
    <col min="10243" max="10245" width="12.88671875" style="3040" customWidth="1"/>
    <col min="10246" max="10246" width="47.44140625" style="3040" customWidth="1"/>
    <col min="10247" max="10247" width="13" style="3040" customWidth="1"/>
    <col min="10248" max="10249" width="8.88671875" style="3040"/>
    <col min="10250" max="10250" width="5.77734375" style="3040" customWidth="1"/>
    <col min="10251" max="10251" width="11.77734375" style="3040" customWidth="1"/>
    <col min="10252" max="10253" width="10.77734375" style="3040" customWidth="1"/>
    <col min="10254" max="10254" width="10" style="3040" customWidth="1"/>
    <col min="10255" max="10256" width="10.44140625" style="3040" bestFit="1" customWidth="1"/>
    <col min="10257" max="10257" width="10" style="3040" customWidth="1"/>
    <col min="10258" max="10258" width="10.109375" style="3040" customWidth="1"/>
    <col min="10259" max="10259" width="10" style="3040" customWidth="1"/>
    <col min="10260" max="10260" width="26.109375" style="3040" customWidth="1"/>
    <col min="10261" max="10496" width="8.88671875" style="3040"/>
    <col min="10497" max="10497" width="9.44140625" style="3040" customWidth="1"/>
    <col min="10498" max="10498" width="8.88671875" style="3040"/>
    <col min="10499" max="10501" width="12.88671875" style="3040" customWidth="1"/>
    <col min="10502" max="10502" width="47.44140625" style="3040" customWidth="1"/>
    <col min="10503" max="10503" width="13" style="3040" customWidth="1"/>
    <col min="10504" max="10505" width="8.88671875" style="3040"/>
    <col min="10506" max="10506" width="5.77734375" style="3040" customWidth="1"/>
    <col min="10507" max="10507" width="11.77734375" style="3040" customWidth="1"/>
    <col min="10508" max="10509" width="10.77734375" style="3040" customWidth="1"/>
    <col min="10510" max="10510" width="10" style="3040" customWidth="1"/>
    <col min="10511" max="10512" width="10.44140625" style="3040" bestFit="1" customWidth="1"/>
    <col min="10513" max="10513" width="10" style="3040" customWidth="1"/>
    <col min="10514" max="10514" width="10.109375" style="3040" customWidth="1"/>
    <col min="10515" max="10515" width="10" style="3040" customWidth="1"/>
    <col min="10516" max="10516" width="26.109375" style="3040" customWidth="1"/>
    <col min="10517" max="10752" width="8.88671875" style="3040"/>
    <col min="10753" max="10753" width="9.44140625" style="3040" customWidth="1"/>
    <col min="10754" max="10754" width="8.88671875" style="3040"/>
    <col min="10755" max="10757" width="12.88671875" style="3040" customWidth="1"/>
    <col min="10758" max="10758" width="47.44140625" style="3040" customWidth="1"/>
    <col min="10759" max="10759" width="13" style="3040" customWidth="1"/>
    <col min="10760" max="10761" width="8.88671875" style="3040"/>
    <col min="10762" max="10762" width="5.77734375" style="3040" customWidth="1"/>
    <col min="10763" max="10763" width="11.77734375" style="3040" customWidth="1"/>
    <col min="10764" max="10765" width="10.77734375" style="3040" customWidth="1"/>
    <col min="10766" max="10766" width="10" style="3040" customWidth="1"/>
    <col min="10767" max="10768" width="10.44140625" style="3040" bestFit="1" customWidth="1"/>
    <col min="10769" max="10769" width="10" style="3040" customWidth="1"/>
    <col min="10770" max="10770" width="10.109375" style="3040" customWidth="1"/>
    <col min="10771" max="10771" width="10" style="3040" customWidth="1"/>
    <col min="10772" max="10772" width="26.109375" style="3040" customWidth="1"/>
    <col min="10773" max="11008" width="8.88671875" style="3040"/>
    <col min="11009" max="11009" width="9.44140625" style="3040" customWidth="1"/>
    <col min="11010" max="11010" width="8.88671875" style="3040"/>
    <col min="11011" max="11013" width="12.88671875" style="3040" customWidth="1"/>
    <col min="11014" max="11014" width="47.44140625" style="3040" customWidth="1"/>
    <col min="11015" max="11015" width="13" style="3040" customWidth="1"/>
    <col min="11016" max="11017" width="8.88671875" style="3040"/>
    <col min="11018" max="11018" width="5.77734375" style="3040" customWidth="1"/>
    <col min="11019" max="11019" width="11.77734375" style="3040" customWidth="1"/>
    <col min="11020" max="11021" width="10.77734375" style="3040" customWidth="1"/>
    <col min="11022" max="11022" width="10" style="3040" customWidth="1"/>
    <col min="11023" max="11024" width="10.44140625" style="3040" bestFit="1" customWidth="1"/>
    <col min="11025" max="11025" width="10" style="3040" customWidth="1"/>
    <col min="11026" max="11026" width="10.109375" style="3040" customWidth="1"/>
    <col min="11027" max="11027" width="10" style="3040" customWidth="1"/>
    <col min="11028" max="11028" width="26.109375" style="3040" customWidth="1"/>
    <col min="11029" max="11264" width="8.88671875" style="3040"/>
    <col min="11265" max="11265" width="9.44140625" style="3040" customWidth="1"/>
    <col min="11266" max="11266" width="8.88671875" style="3040"/>
    <col min="11267" max="11269" width="12.88671875" style="3040" customWidth="1"/>
    <col min="11270" max="11270" width="47.44140625" style="3040" customWidth="1"/>
    <col min="11271" max="11271" width="13" style="3040" customWidth="1"/>
    <col min="11272" max="11273" width="8.88671875" style="3040"/>
    <col min="11274" max="11274" width="5.77734375" style="3040" customWidth="1"/>
    <col min="11275" max="11275" width="11.77734375" style="3040" customWidth="1"/>
    <col min="11276" max="11277" width="10.77734375" style="3040" customWidth="1"/>
    <col min="11278" max="11278" width="10" style="3040" customWidth="1"/>
    <col min="11279" max="11280" width="10.44140625" style="3040" bestFit="1" customWidth="1"/>
    <col min="11281" max="11281" width="10" style="3040" customWidth="1"/>
    <col min="11282" max="11282" width="10.109375" style="3040" customWidth="1"/>
    <col min="11283" max="11283" width="10" style="3040" customWidth="1"/>
    <col min="11284" max="11284" width="26.109375" style="3040" customWidth="1"/>
    <col min="11285" max="11520" width="8.88671875" style="3040"/>
    <col min="11521" max="11521" width="9.44140625" style="3040" customWidth="1"/>
    <col min="11522" max="11522" width="8.88671875" style="3040"/>
    <col min="11523" max="11525" width="12.88671875" style="3040" customWidth="1"/>
    <col min="11526" max="11526" width="47.44140625" style="3040" customWidth="1"/>
    <col min="11527" max="11527" width="13" style="3040" customWidth="1"/>
    <col min="11528" max="11529" width="8.88671875" style="3040"/>
    <col min="11530" max="11530" width="5.77734375" style="3040" customWidth="1"/>
    <col min="11531" max="11531" width="11.77734375" style="3040" customWidth="1"/>
    <col min="11532" max="11533" width="10.77734375" style="3040" customWidth="1"/>
    <col min="11534" max="11534" width="10" style="3040" customWidth="1"/>
    <col min="11535" max="11536" width="10.44140625" style="3040" bestFit="1" customWidth="1"/>
    <col min="11537" max="11537" width="10" style="3040" customWidth="1"/>
    <col min="11538" max="11538" width="10.109375" style="3040" customWidth="1"/>
    <col min="11539" max="11539" width="10" style="3040" customWidth="1"/>
    <col min="11540" max="11540" width="26.109375" style="3040" customWidth="1"/>
    <col min="11541" max="11776" width="8.88671875" style="3040"/>
    <col min="11777" max="11777" width="9.44140625" style="3040" customWidth="1"/>
    <col min="11778" max="11778" width="8.88671875" style="3040"/>
    <col min="11779" max="11781" width="12.88671875" style="3040" customWidth="1"/>
    <col min="11782" max="11782" width="47.44140625" style="3040" customWidth="1"/>
    <col min="11783" max="11783" width="13" style="3040" customWidth="1"/>
    <col min="11784" max="11785" width="8.88671875" style="3040"/>
    <col min="11786" max="11786" width="5.77734375" style="3040" customWidth="1"/>
    <col min="11787" max="11787" width="11.77734375" style="3040" customWidth="1"/>
    <col min="11788" max="11789" width="10.77734375" style="3040" customWidth="1"/>
    <col min="11790" max="11790" width="10" style="3040" customWidth="1"/>
    <col min="11791" max="11792" width="10.44140625" style="3040" bestFit="1" customWidth="1"/>
    <col min="11793" max="11793" width="10" style="3040" customWidth="1"/>
    <col min="11794" max="11794" width="10.109375" style="3040" customWidth="1"/>
    <col min="11795" max="11795" width="10" style="3040" customWidth="1"/>
    <col min="11796" max="11796" width="26.109375" style="3040" customWidth="1"/>
    <col min="11797" max="12032" width="8.88671875" style="3040"/>
    <col min="12033" max="12033" width="9.44140625" style="3040" customWidth="1"/>
    <col min="12034" max="12034" width="8.88671875" style="3040"/>
    <col min="12035" max="12037" width="12.88671875" style="3040" customWidth="1"/>
    <col min="12038" max="12038" width="47.44140625" style="3040" customWidth="1"/>
    <col min="12039" max="12039" width="13" style="3040" customWidth="1"/>
    <col min="12040" max="12041" width="8.88671875" style="3040"/>
    <col min="12042" max="12042" width="5.77734375" style="3040" customWidth="1"/>
    <col min="12043" max="12043" width="11.77734375" style="3040" customWidth="1"/>
    <col min="12044" max="12045" width="10.77734375" style="3040" customWidth="1"/>
    <col min="12046" max="12046" width="10" style="3040" customWidth="1"/>
    <col min="12047" max="12048" width="10.44140625" style="3040" bestFit="1" customWidth="1"/>
    <col min="12049" max="12049" width="10" style="3040" customWidth="1"/>
    <col min="12050" max="12050" width="10.109375" style="3040" customWidth="1"/>
    <col min="12051" max="12051" width="10" style="3040" customWidth="1"/>
    <col min="12052" max="12052" width="26.109375" style="3040" customWidth="1"/>
    <col min="12053" max="12288" width="8.88671875" style="3040"/>
    <col min="12289" max="12289" width="9.44140625" style="3040" customWidth="1"/>
    <col min="12290" max="12290" width="8.88671875" style="3040"/>
    <col min="12291" max="12293" width="12.88671875" style="3040" customWidth="1"/>
    <col min="12294" max="12294" width="47.44140625" style="3040" customWidth="1"/>
    <col min="12295" max="12295" width="13" style="3040" customWidth="1"/>
    <col min="12296" max="12297" width="8.88671875" style="3040"/>
    <col min="12298" max="12298" width="5.77734375" style="3040" customWidth="1"/>
    <col min="12299" max="12299" width="11.77734375" style="3040" customWidth="1"/>
    <col min="12300" max="12301" width="10.77734375" style="3040" customWidth="1"/>
    <col min="12302" max="12302" width="10" style="3040" customWidth="1"/>
    <col min="12303" max="12304" width="10.44140625" style="3040" bestFit="1" customWidth="1"/>
    <col min="12305" max="12305" width="10" style="3040" customWidth="1"/>
    <col min="12306" max="12306" width="10.109375" style="3040" customWidth="1"/>
    <col min="12307" max="12307" width="10" style="3040" customWidth="1"/>
    <col min="12308" max="12308" width="26.109375" style="3040" customWidth="1"/>
    <col min="12309" max="12544" width="8.88671875" style="3040"/>
    <col min="12545" max="12545" width="9.44140625" style="3040" customWidth="1"/>
    <col min="12546" max="12546" width="8.88671875" style="3040"/>
    <col min="12547" max="12549" width="12.88671875" style="3040" customWidth="1"/>
    <col min="12550" max="12550" width="47.44140625" style="3040" customWidth="1"/>
    <col min="12551" max="12551" width="13" style="3040" customWidth="1"/>
    <col min="12552" max="12553" width="8.88671875" style="3040"/>
    <col min="12554" max="12554" width="5.77734375" style="3040" customWidth="1"/>
    <col min="12555" max="12555" width="11.77734375" style="3040" customWidth="1"/>
    <col min="12556" max="12557" width="10.77734375" style="3040" customWidth="1"/>
    <col min="12558" max="12558" width="10" style="3040" customWidth="1"/>
    <col min="12559" max="12560" width="10.44140625" style="3040" bestFit="1" customWidth="1"/>
    <col min="12561" max="12561" width="10" style="3040" customWidth="1"/>
    <col min="12562" max="12562" width="10.109375" style="3040" customWidth="1"/>
    <col min="12563" max="12563" width="10" style="3040" customWidth="1"/>
    <col min="12564" max="12564" width="26.109375" style="3040" customWidth="1"/>
    <col min="12565" max="12800" width="8.88671875" style="3040"/>
    <col min="12801" max="12801" width="9.44140625" style="3040" customWidth="1"/>
    <col min="12802" max="12802" width="8.88671875" style="3040"/>
    <col min="12803" max="12805" width="12.88671875" style="3040" customWidth="1"/>
    <col min="12806" max="12806" width="47.44140625" style="3040" customWidth="1"/>
    <col min="12807" max="12807" width="13" style="3040" customWidth="1"/>
    <col min="12808" max="12809" width="8.88671875" style="3040"/>
    <col min="12810" max="12810" width="5.77734375" style="3040" customWidth="1"/>
    <col min="12811" max="12811" width="11.77734375" style="3040" customWidth="1"/>
    <col min="12812" max="12813" width="10.77734375" style="3040" customWidth="1"/>
    <col min="12814" max="12814" width="10" style="3040" customWidth="1"/>
    <col min="12815" max="12816" width="10.44140625" style="3040" bestFit="1" customWidth="1"/>
    <col min="12817" max="12817" width="10" style="3040" customWidth="1"/>
    <col min="12818" max="12818" width="10.109375" style="3040" customWidth="1"/>
    <col min="12819" max="12819" width="10" style="3040" customWidth="1"/>
    <col min="12820" max="12820" width="26.109375" style="3040" customWidth="1"/>
    <col min="12821" max="13056" width="8.88671875" style="3040"/>
    <col min="13057" max="13057" width="9.44140625" style="3040" customWidth="1"/>
    <col min="13058" max="13058" width="8.88671875" style="3040"/>
    <col min="13059" max="13061" width="12.88671875" style="3040" customWidth="1"/>
    <col min="13062" max="13062" width="47.44140625" style="3040" customWidth="1"/>
    <col min="13063" max="13063" width="13" style="3040" customWidth="1"/>
    <col min="13064" max="13065" width="8.88671875" style="3040"/>
    <col min="13066" max="13066" width="5.77734375" style="3040" customWidth="1"/>
    <col min="13067" max="13067" width="11.77734375" style="3040" customWidth="1"/>
    <col min="13068" max="13069" width="10.77734375" style="3040" customWidth="1"/>
    <col min="13070" max="13070" width="10" style="3040" customWidth="1"/>
    <col min="13071" max="13072" width="10.44140625" style="3040" bestFit="1" customWidth="1"/>
    <col min="13073" max="13073" width="10" style="3040" customWidth="1"/>
    <col min="13074" max="13074" width="10.109375" style="3040" customWidth="1"/>
    <col min="13075" max="13075" width="10" style="3040" customWidth="1"/>
    <col min="13076" max="13076" width="26.109375" style="3040" customWidth="1"/>
    <col min="13077" max="13312" width="8.88671875" style="3040"/>
    <col min="13313" max="13313" width="9.44140625" style="3040" customWidth="1"/>
    <col min="13314" max="13314" width="8.88671875" style="3040"/>
    <col min="13315" max="13317" width="12.88671875" style="3040" customWidth="1"/>
    <col min="13318" max="13318" width="47.44140625" style="3040" customWidth="1"/>
    <col min="13319" max="13319" width="13" style="3040" customWidth="1"/>
    <col min="13320" max="13321" width="8.88671875" style="3040"/>
    <col min="13322" max="13322" width="5.77734375" style="3040" customWidth="1"/>
    <col min="13323" max="13323" width="11.77734375" style="3040" customWidth="1"/>
    <col min="13324" max="13325" width="10.77734375" style="3040" customWidth="1"/>
    <col min="13326" max="13326" width="10" style="3040" customWidth="1"/>
    <col min="13327" max="13328" width="10.44140625" style="3040" bestFit="1" customWidth="1"/>
    <col min="13329" max="13329" width="10" style="3040" customWidth="1"/>
    <col min="13330" max="13330" width="10.109375" style="3040" customWidth="1"/>
    <col min="13331" max="13331" width="10" style="3040" customWidth="1"/>
    <col min="13332" max="13332" width="26.109375" style="3040" customWidth="1"/>
    <col min="13333" max="13568" width="8.88671875" style="3040"/>
    <col min="13569" max="13569" width="9.44140625" style="3040" customWidth="1"/>
    <col min="13570" max="13570" width="8.88671875" style="3040"/>
    <col min="13571" max="13573" width="12.88671875" style="3040" customWidth="1"/>
    <col min="13574" max="13574" width="47.44140625" style="3040" customWidth="1"/>
    <col min="13575" max="13575" width="13" style="3040" customWidth="1"/>
    <col min="13576" max="13577" width="8.88671875" style="3040"/>
    <col min="13578" max="13578" width="5.77734375" style="3040" customWidth="1"/>
    <col min="13579" max="13579" width="11.77734375" style="3040" customWidth="1"/>
    <col min="13580" max="13581" width="10.77734375" style="3040" customWidth="1"/>
    <col min="13582" max="13582" width="10" style="3040" customWidth="1"/>
    <col min="13583" max="13584" width="10.44140625" style="3040" bestFit="1" customWidth="1"/>
    <col min="13585" max="13585" width="10" style="3040" customWidth="1"/>
    <col min="13586" max="13586" width="10.109375" style="3040" customWidth="1"/>
    <col min="13587" max="13587" width="10" style="3040" customWidth="1"/>
    <col min="13588" max="13588" width="26.109375" style="3040" customWidth="1"/>
    <col min="13589" max="13824" width="8.88671875" style="3040"/>
    <col min="13825" max="13825" width="9.44140625" style="3040" customWidth="1"/>
    <col min="13826" max="13826" width="8.88671875" style="3040"/>
    <col min="13827" max="13829" width="12.88671875" style="3040" customWidth="1"/>
    <col min="13830" max="13830" width="47.44140625" style="3040" customWidth="1"/>
    <col min="13831" max="13831" width="13" style="3040" customWidth="1"/>
    <col min="13832" max="13833" width="8.88671875" style="3040"/>
    <col min="13834" max="13834" width="5.77734375" style="3040" customWidth="1"/>
    <col min="13835" max="13835" width="11.77734375" style="3040" customWidth="1"/>
    <col min="13836" max="13837" width="10.77734375" style="3040" customWidth="1"/>
    <col min="13838" max="13838" width="10" style="3040" customWidth="1"/>
    <col min="13839" max="13840" width="10.44140625" style="3040" bestFit="1" customWidth="1"/>
    <col min="13841" max="13841" width="10" style="3040" customWidth="1"/>
    <col min="13842" max="13842" width="10.109375" style="3040" customWidth="1"/>
    <col min="13843" max="13843" width="10" style="3040" customWidth="1"/>
    <col min="13844" max="13844" width="26.109375" style="3040" customWidth="1"/>
    <col min="13845" max="14080" width="8.88671875" style="3040"/>
    <col min="14081" max="14081" width="9.44140625" style="3040" customWidth="1"/>
    <col min="14082" max="14082" width="8.88671875" style="3040"/>
    <col min="14083" max="14085" width="12.88671875" style="3040" customWidth="1"/>
    <col min="14086" max="14086" width="47.44140625" style="3040" customWidth="1"/>
    <col min="14087" max="14087" width="13" style="3040" customWidth="1"/>
    <col min="14088" max="14089" width="8.88671875" style="3040"/>
    <col min="14090" max="14090" width="5.77734375" style="3040" customWidth="1"/>
    <col min="14091" max="14091" width="11.77734375" style="3040" customWidth="1"/>
    <col min="14092" max="14093" width="10.77734375" style="3040" customWidth="1"/>
    <col min="14094" max="14094" width="10" style="3040" customWidth="1"/>
    <col min="14095" max="14096" width="10.44140625" style="3040" bestFit="1" customWidth="1"/>
    <col min="14097" max="14097" width="10" style="3040" customWidth="1"/>
    <col min="14098" max="14098" width="10.109375" style="3040" customWidth="1"/>
    <col min="14099" max="14099" width="10" style="3040" customWidth="1"/>
    <col min="14100" max="14100" width="26.109375" style="3040" customWidth="1"/>
    <col min="14101" max="14336" width="8.88671875" style="3040"/>
    <col min="14337" max="14337" width="9.44140625" style="3040" customWidth="1"/>
    <col min="14338" max="14338" width="8.88671875" style="3040"/>
    <col min="14339" max="14341" width="12.88671875" style="3040" customWidth="1"/>
    <col min="14342" max="14342" width="47.44140625" style="3040" customWidth="1"/>
    <col min="14343" max="14343" width="13" style="3040" customWidth="1"/>
    <col min="14344" max="14345" width="8.88671875" style="3040"/>
    <col min="14346" max="14346" width="5.77734375" style="3040" customWidth="1"/>
    <col min="14347" max="14347" width="11.77734375" style="3040" customWidth="1"/>
    <col min="14348" max="14349" width="10.77734375" style="3040" customWidth="1"/>
    <col min="14350" max="14350" width="10" style="3040" customWidth="1"/>
    <col min="14351" max="14352" width="10.44140625" style="3040" bestFit="1" customWidth="1"/>
    <col min="14353" max="14353" width="10" style="3040" customWidth="1"/>
    <col min="14354" max="14354" width="10.109375" style="3040" customWidth="1"/>
    <col min="14355" max="14355" width="10" style="3040" customWidth="1"/>
    <col min="14356" max="14356" width="26.109375" style="3040" customWidth="1"/>
    <col min="14357" max="14592" width="8.88671875" style="3040"/>
    <col min="14593" max="14593" width="9.44140625" style="3040" customWidth="1"/>
    <col min="14594" max="14594" width="8.88671875" style="3040"/>
    <col min="14595" max="14597" width="12.88671875" style="3040" customWidth="1"/>
    <col min="14598" max="14598" width="47.44140625" style="3040" customWidth="1"/>
    <col min="14599" max="14599" width="13" style="3040" customWidth="1"/>
    <col min="14600" max="14601" width="8.88671875" style="3040"/>
    <col min="14602" max="14602" width="5.77734375" style="3040" customWidth="1"/>
    <col min="14603" max="14603" width="11.77734375" style="3040" customWidth="1"/>
    <col min="14604" max="14605" width="10.77734375" style="3040" customWidth="1"/>
    <col min="14606" max="14606" width="10" style="3040" customWidth="1"/>
    <col min="14607" max="14608" width="10.44140625" style="3040" bestFit="1" customWidth="1"/>
    <col min="14609" max="14609" width="10" style="3040" customWidth="1"/>
    <col min="14610" max="14610" width="10.109375" style="3040" customWidth="1"/>
    <col min="14611" max="14611" width="10" style="3040" customWidth="1"/>
    <col min="14612" max="14612" width="26.109375" style="3040" customWidth="1"/>
    <col min="14613" max="14848" width="8.88671875" style="3040"/>
    <col min="14849" max="14849" width="9.44140625" style="3040" customWidth="1"/>
    <col min="14850" max="14850" width="8.88671875" style="3040"/>
    <col min="14851" max="14853" width="12.88671875" style="3040" customWidth="1"/>
    <col min="14854" max="14854" width="47.44140625" style="3040" customWidth="1"/>
    <col min="14855" max="14855" width="13" style="3040" customWidth="1"/>
    <col min="14856" max="14857" width="8.88671875" style="3040"/>
    <col min="14858" max="14858" width="5.77734375" style="3040" customWidth="1"/>
    <col min="14859" max="14859" width="11.77734375" style="3040" customWidth="1"/>
    <col min="14860" max="14861" width="10.77734375" style="3040" customWidth="1"/>
    <col min="14862" max="14862" width="10" style="3040" customWidth="1"/>
    <col min="14863" max="14864" width="10.44140625" style="3040" bestFit="1" customWidth="1"/>
    <col min="14865" max="14865" width="10" style="3040" customWidth="1"/>
    <col min="14866" max="14866" width="10.109375" style="3040" customWidth="1"/>
    <col min="14867" max="14867" width="10" style="3040" customWidth="1"/>
    <col min="14868" max="14868" width="26.109375" style="3040" customWidth="1"/>
    <col min="14869" max="15104" width="8.88671875" style="3040"/>
    <col min="15105" max="15105" width="9.44140625" style="3040" customWidth="1"/>
    <col min="15106" max="15106" width="8.88671875" style="3040"/>
    <col min="15107" max="15109" width="12.88671875" style="3040" customWidth="1"/>
    <col min="15110" max="15110" width="47.44140625" style="3040" customWidth="1"/>
    <col min="15111" max="15111" width="13" style="3040" customWidth="1"/>
    <col min="15112" max="15113" width="8.88671875" style="3040"/>
    <col min="15114" max="15114" width="5.77734375" style="3040" customWidth="1"/>
    <col min="15115" max="15115" width="11.77734375" style="3040" customWidth="1"/>
    <col min="15116" max="15117" width="10.77734375" style="3040" customWidth="1"/>
    <col min="15118" max="15118" width="10" style="3040" customWidth="1"/>
    <col min="15119" max="15120" width="10.44140625" style="3040" bestFit="1" customWidth="1"/>
    <col min="15121" max="15121" width="10" style="3040" customWidth="1"/>
    <col min="15122" max="15122" width="10.109375" style="3040" customWidth="1"/>
    <col min="15123" max="15123" width="10" style="3040" customWidth="1"/>
    <col min="15124" max="15124" width="26.109375" style="3040" customWidth="1"/>
    <col min="15125" max="15360" width="8.88671875" style="3040"/>
    <col min="15361" max="15361" width="9.44140625" style="3040" customWidth="1"/>
    <col min="15362" max="15362" width="8.88671875" style="3040"/>
    <col min="15363" max="15365" width="12.88671875" style="3040" customWidth="1"/>
    <col min="15366" max="15366" width="47.44140625" style="3040" customWidth="1"/>
    <col min="15367" max="15367" width="13" style="3040" customWidth="1"/>
    <col min="15368" max="15369" width="8.88671875" style="3040"/>
    <col min="15370" max="15370" width="5.77734375" style="3040" customWidth="1"/>
    <col min="15371" max="15371" width="11.77734375" style="3040" customWidth="1"/>
    <col min="15372" max="15373" width="10.77734375" style="3040" customWidth="1"/>
    <col min="15374" max="15374" width="10" style="3040" customWidth="1"/>
    <col min="15375" max="15376" width="10.44140625" style="3040" bestFit="1" customWidth="1"/>
    <col min="15377" max="15377" width="10" style="3040" customWidth="1"/>
    <col min="15378" max="15378" width="10.109375" style="3040" customWidth="1"/>
    <col min="15379" max="15379" width="10" style="3040" customWidth="1"/>
    <col min="15380" max="15380" width="26.109375" style="3040" customWidth="1"/>
    <col min="15381" max="15616" width="8.88671875" style="3040"/>
    <col min="15617" max="15617" width="9.44140625" style="3040" customWidth="1"/>
    <col min="15618" max="15618" width="8.88671875" style="3040"/>
    <col min="15619" max="15621" width="12.88671875" style="3040" customWidth="1"/>
    <col min="15622" max="15622" width="47.44140625" style="3040" customWidth="1"/>
    <col min="15623" max="15623" width="13" style="3040" customWidth="1"/>
    <col min="15624" max="15625" width="8.88671875" style="3040"/>
    <col min="15626" max="15626" width="5.77734375" style="3040" customWidth="1"/>
    <col min="15627" max="15627" width="11.77734375" style="3040" customWidth="1"/>
    <col min="15628" max="15629" width="10.77734375" style="3040" customWidth="1"/>
    <col min="15630" max="15630" width="10" style="3040" customWidth="1"/>
    <col min="15631" max="15632" width="10.44140625" style="3040" bestFit="1" customWidth="1"/>
    <col min="15633" max="15633" width="10" style="3040" customWidth="1"/>
    <col min="15634" max="15634" width="10.109375" style="3040" customWidth="1"/>
    <col min="15635" max="15635" width="10" style="3040" customWidth="1"/>
    <col min="15636" max="15636" width="26.109375" style="3040" customWidth="1"/>
    <col min="15637" max="15872" width="8.88671875" style="3040"/>
    <col min="15873" max="15873" width="9.44140625" style="3040" customWidth="1"/>
    <col min="15874" max="15874" width="8.88671875" style="3040"/>
    <col min="15875" max="15877" width="12.88671875" style="3040" customWidth="1"/>
    <col min="15878" max="15878" width="47.44140625" style="3040" customWidth="1"/>
    <col min="15879" max="15879" width="13" style="3040" customWidth="1"/>
    <col min="15880" max="15881" width="8.88671875" style="3040"/>
    <col min="15882" max="15882" width="5.77734375" style="3040" customWidth="1"/>
    <col min="15883" max="15883" width="11.77734375" style="3040" customWidth="1"/>
    <col min="15884" max="15885" width="10.77734375" style="3040" customWidth="1"/>
    <col min="15886" max="15886" width="10" style="3040" customWidth="1"/>
    <col min="15887" max="15888" width="10.44140625" style="3040" bestFit="1" customWidth="1"/>
    <col min="15889" max="15889" width="10" style="3040" customWidth="1"/>
    <col min="15890" max="15890" width="10.109375" style="3040" customWidth="1"/>
    <col min="15891" max="15891" width="10" style="3040" customWidth="1"/>
    <col min="15892" max="15892" width="26.109375" style="3040" customWidth="1"/>
    <col min="15893" max="16128" width="8.88671875" style="3040"/>
    <col min="16129" max="16129" width="9.44140625" style="3040" customWidth="1"/>
    <col min="16130" max="16130" width="8.88671875" style="3040"/>
    <col min="16131" max="16133" width="12.88671875" style="3040" customWidth="1"/>
    <col min="16134" max="16134" width="47.44140625" style="3040" customWidth="1"/>
    <col min="16135" max="16135" width="13" style="3040" customWidth="1"/>
    <col min="16136" max="16137" width="8.88671875" style="3040"/>
    <col min="16138" max="16138" width="5.77734375" style="3040" customWidth="1"/>
    <col min="16139" max="16139" width="11.77734375" style="3040" customWidth="1"/>
    <col min="16140" max="16141" width="10.77734375" style="3040" customWidth="1"/>
    <col min="16142" max="16142" width="10" style="3040" customWidth="1"/>
    <col min="16143" max="16144" width="10.44140625" style="3040" bestFit="1" customWidth="1"/>
    <col min="16145" max="16145" width="10" style="3040" customWidth="1"/>
    <col min="16146" max="16146" width="10.109375" style="3040" customWidth="1"/>
    <col min="16147" max="16147" width="10" style="3040" customWidth="1"/>
    <col min="16148" max="16148" width="26.109375" style="3040" customWidth="1"/>
    <col min="16149" max="16384" width="8.88671875" style="3040"/>
  </cols>
  <sheetData>
    <row r="1" spans="1:22" ht="21" customHeight="1">
      <c r="A1" s="3029" t="s">
        <v>3115</v>
      </c>
      <c r="B1" s="3030"/>
      <c r="C1" s="3042"/>
      <c r="D1" s="3042"/>
      <c r="E1" s="3031"/>
      <c r="F1" s="3032"/>
      <c r="G1" s="3033"/>
      <c r="J1" s="3036" t="s">
        <v>2994</v>
      </c>
      <c r="K1" s="3037"/>
      <c r="L1" s="3037"/>
      <c r="M1" s="3037"/>
      <c r="N1" s="3037"/>
      <c r="O1" s="3037"/>
      <c r="P1" s="3037"/>
      <c r="Q1" s="3037"/>
      <c r="R1" s="3038"/>
      <c r="S1" s="3039"/>
      <c r="T1" s="3039"/>
      <c r="U1" s="3039"/>
    </row>
    <row r="2" spans="1:22" s="3051" customFormat="1" ht="13.2" customHeight="1">
      <c r="A2" s="1538" t="s">
        <v>2995</v>
      </c>
      <c r="B2" s="3041" t="e">
        <f>C40</f>
        <v>#DIV/0!</v>
      </c>
      <c r="C2" s="3042" t="s">
        <v>2996</v>
      </c>
      <c r="D2" s="3042"/>
      <c r="E2" s="3043"/>
      <c r="F2" s="3044"/>
      <c r="G2" s="3045"/>
      <c r="H2" s="3046"/>
      <c r="I2" s="3047"/>
      <c r="J2" s="3526" t="s">
        <v>2997</v>
      </c>
      <c r="K2" s="3527"/>
      <c r="L2" s="3048" t="s">
        <v>2998</v>
      </c>
      <c r="M2" s="3048" t="s">
        <v>2999</v>
      </c>
      <c r="N2" s="3048" t="s">
        <v>3000</v>
      </c>
      <c r="O2" s="3048" t="s">
        <v>3001</v>
      </c>
      <c r="P2" s="3048" t="s">
        <v>3002</v>
      </c>
      <c r="Q2" s="3049" t="s">
        <v>3003</v>
      </c>
      <c r="R2" s="3050" t="s">
        <v>3004</v>
      </c>
      <c r="S2" s="3039"/>
      <c r="T2" s="3039"/>
      <c r="U2" s="3039"/>
      <c r="V2" s="3047"/>
    </row>
    <row r="3" spans="1:22" s="3051" customFormat="1" ht="13.2" customHeight="1">
      <c r="A3" s="3052" t="s">
        <v>3005</v>
      </c>
      <c r="B3" s="3053" t="e">
        <f>ROUND(B2*10000/B4,0)</f>
        <v>#DIV/0!</v>
      </c>
      <c r="C3" s="3042" t="s">
        <v>3006</v>
      </c>
      <c r="D3" s="3042"/>
      <c r="E3" s="3043"/>
      <c r="F3" s="3044"/>
      <c r="G3" s="3045"/>
      <c r="H3" s="3046"/>
      <c r="I3" s="3047"/>
      <c r="J3" s="3528" t="s">
        <v>3007</v>
      </c>
      <c r="K3" s="3529"/>
      <c r="L3" s="3054"/>
      <c r="M3" s="3054"/>
      <c r="N3" s="3054"/>
      <c r="O3" s="3054"/>
      <c r="P3" s="3054"/>
      <c r="Q3" s="3055"/>
      <c r="R3" s="3056">
        <f>SUM(L3:Q3)</f>
        <v>0</v>
      </c>
      <c r="S3" s="3039"/>
      <c r="T3" s="3039"/>
      <c r="U3" s="3039"/>
      <c r="V3" s="3047"/>
    </row>
    <row r="4" spans="1:22" s="3051" customFormat="1" ht="13.2" customHeight="1">
      <c r="A4" s="3057" t="s">
        <v>3008</v>
      </c>
      <c r="B4" s="3058"/>
      <c r="C4" s="3042"/>
      <c r="D4" s="3042"/>
      <c r="E4" s="3043"/>
      <c r="F4" s="3044"/>
      <c r="G4" s="3045"/>
      <c r="H4" s="3046"/>
      <c r="I4" s="3047"/>
      <c r="J4" s="3528" t="s">
        <v>3009</v>
      </c>
      <c r="K4" s="3529"/>
      <c r="L4" s="3059"/>
      <c r="M4" s="3059"/>
      <c r="N4" s="3059"/>
      <c r="O4" s="3059"/>
      <c r="P4" s="3059"/>
      <c r="Q4" s="3060"/>
      <c r="R4" s="3061">
        <f>SUM(L4:Q4)</f>
        <v>0</v>
      </c>
      <c r="S4" s="3039"/>
      <c r="T4" s="3039"/>
      <c r="U4" s="3039"/>
      <c r="V4" s="3047"/>
    </row>
    <row r="5" spans="1:22" s="3051" customFormat="1" ht="13.2" customHeight="1" thickBot="1">
      <c r="A5" s="3062" t="s">
        <v>3010</v>
      </c>
      <c r="B5" s="3063"/>
      <c r="C5" s="3042"/>
      <c r="D5" s="3064"/>
      <c r="E5" s="3044"/>
      <c r="F5" s="3044"/>
      <c r="G5" s="3045"/>
      <c r="H5" s="3046"/>
      <c r="I5" s="3047"/>
      <c r="J5" s="3065" t="s">
        <v>3011</v>
      </c>
      <c r="K5" s="3066"/>
      <c r="L5" s="3066"/>
      <c r="M5" s="3067"/>
      <c r="N5" s="3067"/>
      <c r="O5" s="3067"/>
      <c r="P5" s="3067"/>
      <c r="Q5" s="3067"/>
      <c r="R5" s="3050">
        <f>SUM(R14,R19,R24,R25,R27,R28)</f>
        <v>0</v>
      </c>
      <c r="S5" s="3039"/>
      <c r="T5" s="3039" t="s">
        <v>3012</v>
      </c>
      <c r="U5" s="3039" t="e">
        <f>ROUND(R5*10000/365/R3,1)</f>
        <v>#DIV/0!</v>
      </c>
      <c r="V5" s="3047"/>
    </row>
    <row r="6" spans="1:22" s="3051" customFormat="1" ht="13.2" customHeight="1" thickBot="1">
      <c r="A6" s="3530" t="s">
        <v>3013</v>
      </c>
      <c r="B6" s="3531"/>
      <c r="C6" s="3532"/>
      <c r="D6" s="3068"/>
      <c r="E6" s="3069"/>
      <c r="F6" s="3070"/>
      <c r="G6" s="3071"/>
      <c r="H6" s="3046"/>
      <c r="I6" s="3047"/>
      <c r="J6" s="3533">
        <v>1</v>
      </c>
      <c r="K6" s="3534" t="s">
        <v>3014</v>
      </c>
      <c r="L6" s="3072" t="s">
        <v>3015</v>
      </c>
      <c r="M6" s="3073" t="s">
        <v>3016</v>
      </c>
      <c r="N6" s="3073" t="s">
        <v>3017</v>
      </c>
      <c r="O6" s="3073" t="s">
        <v>3018</v>
      </c>
      <c r="P6" s="3073" t="s">
        <v>3019</v>
      </c>
      <c r="Q6" s="3073" t="s">
        <v>3020</v>
      </c>
      <c r="R6" s="3056" t="s">
        <v>3021</v>
      </c>
      <c r="S6" s="3039"/>
      <c r="T6" s="3039" t="s">
        <v>3022</v>
      </c>
      <c r="U6" s="3039"/>
      <c r="V6" s="3047"/>
    </row>
    <row r="7" spans="1:22" s="3051" customFormat="1" ht="13.2" customHeight="1">
      <c r="A7" s="3074" t="s">
        <v>3023</v>
      </c>
      <c r="B7" s="3075"/>
      <c r="C7" s="3076"/>
      <c r="D7" s="3077">
        <f>SUM(D9,D10,D11,D17,0)</f>
        <v>0</v>
      </c>
      <c r="E7" s="3078" t="e">
        <f>E9+E10+E11+E17</f>
        <v>#DIV/0!</v>
      </c>
      <c r="F7" s="3079"/>
      <c r="G7" s="3080"/>
      <c r="H7" s="3046"/>
      <c r="I7" s="3047"/>
      <c r="J7" s="3533"/>
      <c r="K7" s="3535"/>
      <c r="L7" s="3081" t="s">
        <v>3024</v>
      </c>
      <c r="M7" s="3082"/>
      <c r="N7" s="3058"/>
      <c r="O7" s="3083"/>
      <c r="P7" s="3083"/>
      <c r="Q7" s="3084">
        <v>365</v>
      </c>
      <c r="R7" s="3085">
        <f>ROUND(M7*N7*O7*P7*Q7/10000,0)</f>
        <v>0</v>
      </c>
      <c r="S7" s="3039"/>
      <c r="T7" s="3039" t="s">
        <v>3025</v>
      </c>
      <c r="U7" s="3039"/>
      <c r="V7" s="3047"/>
    </row>
    <row r="8" spans="1:22" s="3051" customFormat="1" ht="13.2" customHeight="1">
      <c r="A8" s="3086" t="s">
        <v>3026</v>
      </c>
      <c r="B8" s="3537" t="s">
        <v>3027</v>
      </c>
      <c r="C8" s="3538"/>
      <c r="D8" s="3087" t="s">
        <v>3028</v>
      </c>
      <c r="E8" s="3088" t="s">
        <v>3029</v>
      </c>
      <c r="F8" s="3089" t="s">
        <v>3030</v>
      </c>
      <c r="G8" s="3090"/>
      <c r="H8" s="3046"/>
      <c r="I8" s="3047"/>
      <c r="J8" s="3533"/>
      <c r="K8" s="3535"/>
      <c r="L8" s="3081" t="s">
        <v>3031</v>
      </c>
      <c r="M8" s="3082"/>
      <c r="N8" s="3058"/>
      <c r="O8" s="3083"/>
      <c r="P8" s="3083"/>
      <c r="Q8" s="3084">
        <v>365</v>
      </c>
      <c r="R8" s="3085">
        <f t="shared" ref="R8:R13" si="0">ROUND(M8*N8*O8*P8*Q8/10000,0)</f>
        <v>0</v>
      </c>
      <c r="S8" s="3039"/>
      <c r="T8" s="3039" t="s">
        <v>3032</v>
      </c>
      <c r="U8" s="3039"/>
      <c r="V8" s="3047"/>
    </row>
    <row r="9" spans="1:22" s="3051" customFormat="1" ht="13.2" customHeight="1">
      <c r="A9" s="3086">
        <v>1</v>
      </c>
      <c r="B9" s="3537" t="s">
        <v>3033</v>
      </c>
      <c r="C9" s="3538"/>
      <c r="D9" s="3087">
        <f>ROUND(D6*E9,0)</f>
        <v>0</v>
      </c>
      <c r="E9" s="3091"/>
      <c r="F9" s="3092" t="s">
        <v>3034</v>
      </c>
      <c r="G9" s="3071"/>
      <c r="H9" s="3046"/>
      <c r="I9" s="3047"/>
      <c r="J9" s="3533"/>
      <c r="K9" s="3535"/>
      <c r="L9" s="3081" t="s">
        <v>3035</v>
      </c>
      <c r="M9" s="3082"/>
      <c r="N9" s="3058"/>
      <c r="O9" s="3083"/>
      <c r="P9" s="3083"/>
      <c r="Q9" s="3084">
        <v>365</v>
      </c>
      <c r="R9" s="3085">
        <f t="shared" si="0"/>
        <v>0</v>
      </c>
      <c r="S9" s="3039"/>
      <c r="T9" s="3039"/>
      <c r="U9" s="3039"/>
      <c r="V9" s="3047"/>
    </row>
    <row r="10" spans="1:22" s="3051" customFormat="1" ht="13.2" customHeight="1">
      <c r="A10" s="3086">
        <v>2</v>
      </c>
      <c r="B10" s="3537" t="s">
        <v>3036</v>
      </c>
      <c r="C10" s="3538"/>
      <c r="D10" s="3087">
        <f>ROUND(D6*E10,0)</f>
        <v>0</v>
      </c>
      <c r="E10" s="3091"/>
      <c r="F10" s="3092" t="s">
        <v>3037</v>
      </c>
      <c r="G10" s="3071"/>
      <c r="H10" s="3046"/>
      <c r="I10" s="3047"/>
      <c r="J10" s="3533"/>
      <c r="K10" s="3535"/>
      <c r="L10" s="3081" t="s">
        <v>3038</v>
      </c>
      <c r="M10" s="3082"/>
      <c r="N10" s="3058"/>
      <c r="O10" s="3083"/>
      <c r="P10" s="3083"/>
      <c r="Q10" s="3084">
        <v>365</v>
      </c>
      <c r="R10" s="3085">
        <f t="shared" si="0"/>
        <v>0</v>
      </c>
      <c r="S10" s="3039"/>
      <c r="T10" s="3039"/>
      <c r="U10" s="3039"/>
      <c r="V10" s="3047"/>
    </row>
    <row r="11" spans="1:22" s="3051" customFormat="1" ht="13.2" customHeight="1">
      <c r="A11" s="3086">
        <v>3</v>
      </c>
      <c r="B11" s="3537" t="s">
        <v>3039</v>
      </c>
      <c r="C11" s="3538"/>
      <c r="D11" s="3087">
        <f>D12+D14+D15+D16</f>
        <v>0</v>
      </c>
      <c r="E11" s="3093" t="e">
        <f>D11/D6</f>
        <v>#DIV/0!</v>
      </c>
      <c r="F11" s="3089"/>
      <c r="G11" s="3090"/>
      <c r="H11" s="3046"/>
      <c r="I11" s="3047"/>
      <c r="J11" s="3533"/>
      <c r="K11" s="3535"/>
      <c r="L11" s="3081" t="s">
        <v>3040</v>
      </c>
      <c r="M11" s="3082"/>
      <c r="N11" s="3058"/>
      <c r="O11" s="3083"/>
      <c r="P11" s="3083"/>
      <c r="Q11" s="3084">
        <v>365</v>
      </c>
      <c r="R11" s="3085">
        <f t="shared" si="0"/>
        <v>0</v>
      </c>
      <c r="S11" s="3039"/>
      <c r="T11" s="3039"/>
      <c r="U11" s="3039"/>
      <c r="V11" s="3047"/>
    </row>
    <row r="12" spans="1:22" s="3051" customFormat="1" ht="13.2" customHeight="1">
      <c r="A12" s="3094" t="s">
        <v>3041</v>
      </c>
      <c r="B12" s="3539" t="s">
        <v>3042</v>
      </c>
      <c r="C12" s="3540"/>
      <c r="D12" s="3095">
        <f>ROUND(D13*1.2%*(1-30%),0)</f>
        <v>0</v>
      </c>
      <c r="E12" s="3096">
        <v>1.2E-2</v>
      </c>
      <c r="F12" s="3089" t="s">
        <v>3043</v>
      </c>
      <c r="G12" s="3090"/>
      <c r="H12" s="3046"/>
      <c r="I12" s="3047"/>
      <c r="J12" s="3533"/>
      <c r="K12" s="3535"/>
      <c r="L12" s="3081" t="s">
        <v>3044</v>
      </c>
      <c r="M12" s="3082"/>
      <c r="N12" s="3058"/>
      <c r="O12" s="3083"/>
      <c r="P12" s="3083"/>
      <c r="Q12" s="3084">
        <v>365</v>
      </c>
      <c r="R12" s="3085">
        <f t="shared" si="0"/>
        <v>0</v>
      </c>
      <c r="S12" s="3039"/>
      <c r="T12" s="3039"/>
      <c r="U12" s="3039"/>
      <c r="V12" s="3047"/>
    </row>
    <row r="13" spans="1:22" s="3051" customFormat="1" ht="13.2" customHeight="1">
      <c r="A13" s="3094"/>
      <c r="B13" s="3097"/>
      <c r="C13" s="3098" t="s">
        <v>3045</v>
      </c>
      <c r="D13" s="3099"/>
      <c r="E13" s="3100"/>
      <c r="F13" s="3089"/>
      <c r="G13" s="3090"/>
      <c r="H13" s="3046"/>
      <c r="I13" s="3047"/>
      <c r="J13" s="3533"/>
      <c r="K13" s="3535"/>
      <c r="L13" s="3081" t="s">
        <v>3046</v>
      </c>
      <c r="M13" s="3082"/>
      <c r="N13" s="3058"/>
      <c r="O13" s="3083"/>
      <c r="P13" s="3083"/>
      <c r="Q13" s="3084">
        <v>365</v>
      </c>
      <c r="R13" s="3085">
        <f t="shared" si="0"/>
        <v>0</v>
      </c>
      <c r="S13" s="3039"/>
      <c r="T13" s="3039"/>
      <c r="U13" s="3039"/>
      <c r="V13" s="3047"/>
    </row>
    <row r="14" spans="1:22" s="3051" customFormat="1" ht="13.2" customHeight="1">
      <c r="A14" s="3094" t="s">
        <v>3047</v>
      </c>
      <c r="B14" s="3539" t="s">
        <v>3048</v>
      </c>
      <c r="C14" s="3540"/>
      <c r="D14" s="3095">
        <f>ROUND(E14*B5/10000,0)</f>
        <v>0</v>
      </c>
      <c r="E14" s="3084"/>
      <c r="F14" s="3089" t="s">
        <v>3049</v>
      </c>
      <c r="G14" s="3090"/>
      <c r="H14" s="3046"/>
      <c r="I14" s="3047"/>
      <c r="J14" s="3533"/>
      <c r="K14" s="3536"/>
      <c r="L14" s="3101" t="s">
        <v>3050</v>
      </c>
      <c r="M14" s="3102">
        <f>SUM(M7:M13)</f>
        <v>0</v>
      </c>
      <c r="N14" s="3102" t="e">
        <f>ROUND((N7*M7+N8*M8+N9*M9+N10*M10+N11*M11+N12*M12+N13*M13)/M14,0)</f>
        <v>#DIV/0!</v>
      </c>
      <c r="O14" s="3103"/>
      <c r="P14" s="3103"/>
      <c r="Q14" s="3104"/>
      <c r="R14" s="3050">
        <f>SUM(R7:R13)</f>
        <v>0</v>
      </c>
      <c r="S14" s="3039"/>
      <c r="T14" s="3039"/>
      <c r="U14" s="3039"/>
      <c r="V14" s="3047"/>
    </row>
    <row r="15" spans="1:22" s="3051" customFormat="1" ht="13.2" customHeight="1">
      <c r="A15" s="3094" t="s">
        <v>3051</v>
      </c>
      <c r="B15" s="3539" t="s">
        <v>3052</v>
      </c>
      <c r="C15" s="3540"/>
      <c r="D15" s="3095">
        <f>ROUND(D6*E15,0)</f>
        <v>0</v>
      </c>
      <c r="E15" s="3096">
        <v>5.5E-2</v>
      </c>
      <c r="F15" s="3089" t="s">
        <v>3053</v>
      </c>
      <c r="G15" s="3071"/>
      <c r="H15" s="3046"/>
      <c r="I15" s="3047"/>
      <c r="J15" s="3533">
        <v>2</v>
      </c>
      <c r="K15" s="3534" t="s">
        <v>3054</v>
      </c>
      <c r="L15" s="3081" t="s">
        <v>3055</v>
      </c>
      <c r="M15" s="3082" t="s">
        <v>3056</v>
      </c>
      <c r="N15" s="3082" t="s">
        <v>3057</v>
      </c>
      <c r="O15" s="3083" t="s">
        <v>3058</v>
      </c>
      <c r="P15" s="3083" t="s">
        <v>3020</v>
      </c>
      <c r="Q15" s="3058" t="s">
        <v>3059</v>
      </c>
      <c r="R15" s="3105" t="s">
        <v>3021</v>
      </c>
      <c r="S15" s="3039"/>
      <c r="T15" s="3039"/>
      <c r="U15" s="3039"/>
      <c r="V15" s="3047"/>
    </row>
    <row r="16" spans="1:22" s="3051" customFormat="1" ht="13.2" customHeight="1">
      <c r="A16" s="3094" t="s">
        <v>3060</v>
      </c>
      <c r="B16" s="3539" t="s">
        <v>3061</v>
      </c>
      <c r="C16" s="3540"/>
      <c r="D16" s="3106">
        <f>D6*E16</f>
        <v>0</v>
      </c>
      <c r="E16" s="3107"/>
      <c r="F16" s="3092" t="s">
        <v>3062</v>
      </c>
      <c r="G16" s="3071"/>
      <c r="H16" s="3046"/>
      <c r="I16" s="3047"/>
      <c r="J16" s="3533"/>
      <c r="K16" s="3535"/>
      <c r="L16" s="3081" t="s">
        <v>3063</v>
      </c>
      <c r="M16" s="3082"/>
      <c r="N16" s="3082"/>
      <c r="O16" s="3083"/>
      <c r="P16" s="3084">
        <v>365</v>
      </c>
      <c r="Q16" s="3058"/>
      <c r="R16" s="3105">
        <f>ROUND(M16*N16*O16*P16/10000,0)</f>
        <v>0</v>
      </c>
      <c r="S16" s="3039"/>
      <c r="T16" s="3039"/>
      <c r="U16" s="3039"/>
      <c r="V16" s="3047"/>
    </row>
    <row r="17" spans="1:22" s="3051" customFormat="1" ht="13.2" customHeight="1" thickBot="1">
      <c r="A17" s="3108">
        <v>4</v>
      </c>
      <c r="B17" s="3541" t="s">
        <v>3064</v>
      </c>
      <c r="C17" s="3542"/>
      <c r="D17" s="3109">
        <f>ROUND(D6*E17,0)</f>
        <v>0</v>
      </c>
      <c r="E17" s="3110"/>
      <c r="F17" s="3111" t="s">
        <v>3065</v>
      </c>
      <c r="G17" s="3071"/>
      <c r="H17" s="3046"/>
      <c r="I17" s="3047"/>
      <c r="J17" s="3533"/>
      <c r="K17" s="3535"/>
      <c r="L17" s="3081" t="s">
        <v>3066</v>
      </c>
      <c r="M17" s="3082"/>
      <c r="N17" s="3082"/>
      <c r="O17" s="3083"/>
      <c r="P17" s="3084">
        <v>365</v>
      </c>
      <c r="Q17" s="3058"/>
      <c r="R17" s="3105">
        <f>ROUND(M17*N17*O17*P17/10000,0)</f>
        <v>0</v>
      </c>
      <c r="S17" s="3039"/>
      <c r="T17" s="3039"/>
      <c r="U17" s="3039"/>
      <c r="V17" s="3047"/>
    </row>
    <row r="18" spans="1:22" s="3051" customFormat="1" ht="13.2" customHeight="1" thickBot="1">
      <c r="A18" s="3074" t="s">
        <v>3067</v>
      </c>
      <c r="B18" s="3075"/>
      <c r="C18" s="3075"/>
      <c r="D18" s="3112">
        <f>ROUND(D6*E18,0)</f>
        <v>0</v>
      </c>
      <c r="E18" s="3113"/>
      <c r="F18" s="3114" t="s">
        <v>3068</v>
      </c>
      <c r="G18" s="3071"/>
      <c r="H18" s="3046"/>
      <c r="I18" s="3047"/>
      <c r="J18" s="3533"/>
      <c r="K18" s="3535"/>
      <c r="L18" s="3081" t="s">
        <v>3069</v>
      </c>
      <c r="M18" s="3082"/>
      <c r="N18" s="3082"/>
      <c r="O18" s="3083"/>
      <c r="P18" s="3084">
        <v>365</v>
      </c>
      <c r="Q18" s="3058"/>
      <c r="R18" s="3105">
        <f>ROUND(M18*N18*O18*P18/10000,0)</f>
        <v>0</v>
      </c>
      <c r="S18" s="3039"/>
      <c r="T18" s="3039"/>
      <c r="U18" s="3039"/>
      <c r="V18" s="3047"/>
    </row>
    <row r="19" spans="1:22" s="3051" customFormat="1" ht="13.2" customHeight="1" thickBot="1">
      <c r="A19" s="3115" t="s">
        <v>3070</v>
      </c>
      <c r="B19" s="3069"/>
      <c r="C19" s="3069"/>
      <c r="D19" s="3069"/>
      <c r="E19" s="3069"/>
      <c r="F19" s="3070"/>
      <c r="G19" s="3090"/>
      <c r="H19" s="3046"/>
      <c r="I19" s="3047"/>
      <c r="J19" s="3533"/>
      <c r="K19" s="3536"/>
      <c r="L19" s="3101" t="s">
        <v>3050</v>
      </c>
      <c r="M19" s="3102"/>
      <c r="N19" s="3102">
        <f>SUM(N16:N18)</f>
        <v>0</v>
      </c>
      <c r="O19" s="3103"/>
      <c r="P19" s="3116" t="s">
        <v>3114</v>
      </c>
      <c r="Q19" s="3083">
        <v>0</v>
      </c>
      <c r="R19" s="3117">
        <f>ROUND(IF(P19="按比例",R14*Q19,SUM(R16:R18)),0)</f>
        <v>0</v>
      </c>
      <c r="S19" s="3039"/>
      <c r="T19" s="3039"/>
      <c r="U19" s="3039"/>
      <c r="V19" s="3047"/>
    </row>
    <row r="20" spans="1:22" s="3051" customFormat="1" ht="13.2" customHeight="1">
      <c r="A20" s="3074"/>
      <c r="B20" s="3075"/>
      <c r="C20" s="3075"/>
      <c r="D20" s="3075"/>
      <c r="E20" s="3075"/>
      <c r="F20" s="3118"/>
      <c r="G20" s="3090"/>
      <c r="H20" s="3046"/>
      <c r="I20" s="3047"/>
      <c r="J20" s="3533">
        <v>3</v>
      </c>
      <c r="K20" s="3534" t="s">
        <v>3071</v>
      </c>
      <c r="L20" s="3081" t="s">
        <v>3072</v>
      </c>
      <c r="M20" s="3082" t="s">
        <v>3073</v>
      </c>
      <c r="N20" s="3119" t="s">
        <v>3074</v>
      </c>
      <c r="O20" s="3083" t="s">
        <v>3075</v>
      </c>
      <c r="P20" s="3084" t="s">
        <v>3076</v>
      </c>
      <c r="Q20" s="3058" t="s">
        <v>3077</v>
      </c>
      <c r="R20" s="3105" t="s">
        <v>3078</v>
      </c>
      <c r="S20" s="3120"/>
      <c r="T20" s="3120"/>
      <c r="U20" s="3120"/>
      <c r="V20" s="3047"/>
    </row>
    <row r="21" spans="1:22" s="3051" customFormat="1" ht="13.2" customHeight="1">
      <c r="A21" s="3074"/>
      <c r="B21" s="3075"/>
      <c r="C21" s="3121" t="s">
        <v>3079</v>
      </c>
      <c r="D21" s="3122" t="s">
        <v>3080</v>
      </c>
      <c r="E21" s="3123" t="s">
        <v>3081</v>
      </c>
      <c r="F21" s="3118"/>
      <c r="G21" s="3090"/>
      <c r="H21" s="3046"/>
      <c r="I21" s="3047"/>
      <c r="J21" s="3533"/>
      <c r="K21" s="3535"/>
      <c r="L21" s="3081" t="s">
        <v>3082</v>
      </c>
      <c r="M21" s="3082"/>
      <c r="N21" s="3082"/>
      <c r="O21" s="3083"/>
      <c r="P21" s="3084">
        <v>365</v>
      </c>
      <c r="Q21" s="3058"/>
      <c r="R21" s="3124">
        <f>ROUND(M21*N21*O21*P21/10000,0)</f>
        <v>0</v>
      </c>
      <c r="S21" s="3120"/>
      <c r="T21" s="3120"/>
      <c r="U21" s="3120"/>
      <c r="V21" s="3047"/>
    </row>
    <row r="22" spans="1:22" s="3051" customFormat="1" ht="13.2" customHeight="1">
      <c r="A22" s="3074"/>
      <c r="B22" s="3075"/>
      <c r="C22" s="3125" t="s">
        <v>3083</v>
      </c>
      <c r="D22" s="3126" t="s">
        <v>3084</v>
      </c>
      <c r="E22" s="3127" t="s">
        <v>3085</v>
      </c>
      <c r="F22" s="3118"/>
      <c r="G22" s="3128"/>
      <c r="H22" s="3046"/>
      <c r="I22" s="3047"/>
      <c r="J22" s="3533"/>
      <c r="K22" s="3535"/>
      <c r="L22" s="3081" t="s">
        <v>3086</v>
      </c>
      <c r="M22" s="3082"/>
      <c r="N22" s="3082"/>
      <c r="O22" s="3083"/>
      <c r="P22" s="3084">
        <v>365</v>
      </c>
      <c r="Q22" s="3058"/>
      <c r="R22" s="3124">
        <f>ROUND(M22*N22*O22*P22/10000,0)</f>
        <v>0</v>
      </c>
      <c r="S22" s="3120"/>
      <c r="T22" s="3120"/>
      <c r="U22" s="3120"/>
      <c r="V22" s="3047"/>
    </row>
    <row r="23" spans="1:22" s="3051" customFormat="1" ht="13.2" customHeight="1">
      <c r="A23" s="3129">
        <v>1</v>
      </c>
      <c r="B23" s="3130" t="s">
        <v>3087</v>
      </c>
      <c r="C23" s="3131">
        <f>D6</f>
        <v>0</v>
      </c>
      <c r="D23" s="3132">
        <f>C23*(1+D24)</f>
        <v>0</v>
      </c>
      <c r="E23" s="3133">
        <f>D23*(1+E24)</f>
        <v>0</v>
      </c>
      <c r="F23" s="3134"/>
      <c r="G23" s="3135"/>
      <c r="H23" s="3046"/>
      <c r="I23" s="3047"/>
      <c r="J23" s="3533"/>
      <c r="K23" s="3535"/>
      <c r="L23" s="3081" t="s">
        <v>3088</v>
      </c>
      <c r="M23" s="3082"/>
      <c r="N23" s="3082"/>
      <c r="O23" s="3083"/>
      <c r="P23" s="3084">
        <v>365</v>
      </c>
      <c r="Q23" s="3058"/>
      <c r="R23" s="3124">
        <f>ROUND(M23*N23*O23*P23/10000,0)</f>
        <v>0</v>
      </c>
      <c r="S23" s="3039"/>
      <c r="T23" s="3039"/>
      <c r="U23" s="3039"/>
      <c r="V23" s="3047"/>
    </row>
    <row r="24" spans="1:22" s="3051" customFormat="1" ht="13.2" customHeight="1">
      <c r="A24" s="3136"/>
      <c r="B24" s="3137" t="s">
        <v>3089</v>
      </c>
      <c r="C24" s="3138"/>
      <c r="D24" s="3139"/>
      <c r="E24" s="3140"/>
      <c r="F24" s="3141"/>
      <c r="G24" s="3135"/>
      <c r="H24" s="3046"/>
      <c r="I24" s="3047"/>
      <c r="J24" s="3533"/>
      <c r="K24" s="3536"/>
      <c r="L24" s="3101" t="s">
        <v>3050</v>
      </c>
      <c r="M24" s="3102">
        <f>SUM(M21:M23)</f>
        <v>0</v>
      </c>
      <c r="N24" s="3102"/>
      <c r="O24" s="3103"/>
      <c r="P24" s="3116" t="s">
        <v>3114</v>
      </c>
      <c r="Q24" s="3083">
        <v>0</v>
      </c>
      <c r="R24" s="3117">
        <f>ROUND(IF(P24="按比例",R14*Q24,SUM(R21:R23)),0)</f>
        <v>0</v>
      </c>
      <c r="S24" s="3039"/>
      <c r="T24" s="3039"/>
      <c r="U24" s="3039"/>
      <c r="V24" s="3047"/>
    </row>
    <row r="25" spans="1:22" s="3148" customFormat="1" ht="13.2" customHeight="1">
      <c r="A25" s="3136"/>
      <c r="B25" s="3137"/>
      <c r="C25" s="3138"/>
      <c r="D25" s="3139"/>
      <c r="E25" s="3140"/>
      <c r="F25" s="3141"/>
      <c r="G25" s="3128"/>
      <c r="H25" s="3046"/>
      <c r="I25" s="3047"/>
      <c r="J25" s="3142">
        <v>4</v>
      </c>
      <c r="K25" s="3143" t="s">
        <v>3090</v>
      </c>
      <c r="L25" s="3144"/>
      <c r="M25" s="3144"/>
      <c r="N25" s="3144"/>
      <c r="O25" s="3144"/>
      <c r="P25" s="3145"/>
      <c r="Q25" s="3146">
        <v>0</v>
      </c>
      <c r="R25" s="3117">
        <f>ROUND(R14*Q25,0)</f>
        <v>0</v>
      </c>
      <c r="S25" s="3039"/>
      <c r="T25" s="3039"/>
      <c r="U25" s="3039"/>
      <c r="V25" s="3147"/>
    </row>
    <row r="26" spans="1:22" s="3148" customFormat="1" ht="13.2" customHeight="1">
      <c r="A26" s="3129">
        <v>2</v>
      </c>
      <c r="B26" s="3130" t="s">
        <v>3091</v>
      </c>
      <c r="C26" s="3131">
        <f>D7</f>
        <v>0</v>
      </c>
      <c r="D26" s="3132">
        <f>D23*D27</f>
        <v>0</v>
      </c>
      <c r="E26" s="3133">
        <f>E23*E27</f>
        <v>0</v>
      </c>
      <c r="F26" s="3134"/>
      <c r="G26" s="3135"/>
      <c r="H26" s="3046"/>
      <c r="I26" s="3047"/>
      <c r="J26" s="3543">
        <v>5</v>
      </c>
      <c r="K26" s="3149" t="s">
        <v>3092</v>
      </c>
      <c r="L26" s="3150"/>
      <c r="M26" s="3151"/>
      <c r="N26" s="3152" t="s">
        <v>3093</v>
      </c>
      <c r="O26" s="3152" t="s">
        <v>3094</v>
      </c>
      <c r="P26" s="3153" t="s">
        <v>3095</v>
      </c>
      <c r="Q26" s="3153" t="s">
        <v>3096</v>
      </c>
      <c r="R26" s="3056" t="s">
        <v>3021</v>
      </c>
      <c r="S26" s="3154"/>
      <c r="T26" s="3154"/>
      <c r="U26" s="3154"/>
      <c r="V26" s="3147"/>
    </row>
    <row r="27" spans="1:22" s="3051" customFormat="1" ht="13.2" customHeight="1">
      <c r="A27" s="3136"/>
      <c r="B27" s="3137" t="s">
        <v>3097</v>
      </c>
      <c r="C27" s="3155" t="e">
        <f>E7</f>
        <v>#DIV/0!</v>
      </c>
      <c r="D27" s="3139"/>
      <c r="E27" s="3140"/>
      <c r="F27" s="3141"/>
      <c r="G27" s="3135"/>
      <c r="H27" s="3156"/>
      <c r="I27" s="3147"/>
      <c r="J27" s="3544"/>
      <c r="K27" s="3157"/>
      <c r="L27" s="3158"/>
      <c r="M27" s="3159"/>
      <c r="N27" s="3160"/>
      <c r="O27" s="3160"/>
      <c r="P27" s="3160"/>
      <c r="Q27" s="3161"/>
      <c r="R27" s="3117">
        <f>ROUND(O27*N27*P27*(1-Q27)/10000,0)</f>
        <v>0</v>
      </c>
      <c r="S27" s="3039"/>
      <c r="T27" s="3039"/>
      <c r="U27" s="3039"/>
      <c r="V27" s="3047"/>
    </row>
    <row r="28" spans="1:22" s="3148" customFormat="1" ht="13.2" customHeight="1" thickBot="1">
      <c r="A28" s="3136"/>
      <c r="B28" s="3137"/>
      <c r="C28" s="3155"/>
      <c r="D28" s="3139"/>
      <c r="E28" s="3140" t="s">
        <v>3098</v>
      </c>
      <c r="F28" s="3141"/>
      <c r="G28" s="3128"/>
      <c r="H28" s="3156"/>
      <c r="I28" s="3147"/>
      <c r="J28" s="3162">
        <v>6</v>
      </c>
      <c r="K28" s="3163" t="s">
        <v>3099</v>
      </c>
      <c r="L28" s="3164" t="s">
        <v>3100</v>
      </c>
      <c r="M28" s="3165"/>
      <c r="N28" s="3164" t="s">
        <v>3101</v>
      </c>
      <c r="O28" s="3166"/>
      <c r="P28" s="3164" t="s">
        <v>3102</v>
      </c>
      <c r="Q28" s="3167">
        <v>1.4999999999999999E-2</v>
      </c>
      <c r="R28" s="3168"/>
      <c r="S28" s="3120"/>
      <c r="T28" s="3120"/>
      <c r="U28" s="3120"/>
      <c r="V28" s="3147"/>
    </row>
    <row r="29" spans="1:22" s="3148" customFormat="1" ht="13.2" customHeight="1">
      <c r="A29" s="3129">
        <v>3</v>
      </c>
      <c r="B29" s="3130" t="s">
        <v>3103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2" customHeight="1" thickBot="1">
      <c r="A30" s="3136"/>
      <c r="B30" s="3137" t="s">
        <v>3097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2" customHeight="1">
      <c r="A31" s="3136"/>
      <c r="B31" s="3137"/>
      <c r="C31" s="3170"/>
      <c r="D31" s="3169"/>
      <c r="E31" s="3100"/>
      <c r="F31" s="3141"/>
      <c r="G31" s="3128"/>
      <c r="H31" s="3156"/>
      <c r="I31" s="3147"/>
      <c r="J31" s="3036" t="s">
        <v>3104</v>
      </c>
      <c r="K31" s="3037"/>
      <c r="L31" s="3037"/>
      <c r="M31" s="3037"/>
      <c r="N31" s="3037"/>
      <c r="O31" s="3037"/>
      <c r="P31" s="3037"/>
      <c r="Q31" s="3037"/>
      <c r="R31" s="3038"/>
      <c r="S31" s="3120"/>
      <c r="T31" s="3039"/>
      <c r="U31" s="3039"/>
      <c r="V31" s="3147"/>
    </row>
    <row r="32" spans="1:22" s="3148" customFormat="1" ht="13.2" customHeight="1">
      <c r="A32" s="3129">
        <v>4</v>
      </c>
      <c r="B32" s="3130" t="s">
        <v>3105</v>
      </c>
      <c r="C32" s="3131">
        <f>C23-C26-C29</f>
        <v>0</v>
      </c>
      <c r="D32" s="3132">
        <f>D23-D26-D29</f>
        <v>0</v>
      </c>
      <c r="E32" s="3133">
        <f>E23-E26-E29</f>
        <v>0</v>
      </c>
      <c r="F32" s="3134"/>
      <c r="G32" s="3128"/>
      <c r="H32" s="3046"/>
      <c r="I32" s="3047"/>
      <c r="J32" s="3526" t="s">
        <v>2997</v>
      </c>
      <c r="K32" s="3527"/>
      <c r="L32" s="3048" t="s">
        <v>2998</v>
      </c>
      <c r="M32" s="3048" t="s">
        <v>2999</v>
      </c>
      <c r="N32" s="3048" t="s">
        <v>3000</v>
      </c>
      <c r="O32" s="3048" t="s">
        <v>3001</v>
      </c>
      <c r="P32" s="3048" t="s">
        <v>3002</v>
      </c>
      <c r="Q32" s="3049" t="s">
        <v>3003</v>
      </c>
      <c r="R32" s="3171" t="s">
        <v>3004</v>
      </c>
      <c r="S32" s="3120"/>
      <c r="T32" s="3039"/>
      <c r="U32" s="3039"/>
      <c r="V32" s="3147"/>
    </row>
    <row r="33" spans="1:23" s="3051" customFormat="1" ht="13.2" customHeight="1">
      <c r="A33" s="3129"/>
      <c r="B33" s="3130"/>
      <c r="C33" s="3131"/>
      <c r="D33" s="3172"/>
      <c r="E33" s="3173"/>
      <c r="F33" s="3134"/>
      <c r="G33" s="3128"/>
      <c r="H33" s="3156"/>
      <c r="I33" s="3147"/>
      <c r="J33" s="3528" t="s">
        <v>3007</v>
      </c>
      <c r="K33" s="3529"/>
      <c r="L33" s="3054"/>
      <c r="M33" s="3054"/>
      <c r="N33" s="3054"/>
      <c r="O33" s="3054"/>
      <c r="P33" s="3054"/>
      <c r="Q33" s="3055"/>
      <c r="R33" s="3174">
        <f>SUM(L33:Q33)</f>
        <v>0</v>
      </c>
      <c r="S33" s="3120"/>
      <c r="T33" s="3039"/>
      <c r="U33" s="3039"/>
      <c r="V33" s="3047"/>
    </row>
    <row r="34" spans="1:23" s="3051" customFormat="1" ht="13.2" customHeight="1">
      <c r="A34" s="3129">
        <v>5</v>
      </c>
      <c r="B34" s="3130" t="s">
        <v>3106</v>
      </c>
      <c r="C34" s="3175"/>
      <c r="D34" s="3176"/>
      <c r="E34" s="3177"/>
      <c r="F34" s="3134"/>
      <c r="G34" s="3128"/>
      <c r="H34" s="3156"/>
      <c r="I34" s="3147"/>
      <c r="J34" s="3528" t="s">
        <v>3009</v>
      </c>
      <c r="K34" s="3529"/>
      <c r="L34" s="3059"/>
      <c r="M34" s="3059"/>
      <c r="N34" s="3059"/>
      <c r="O34" s="3059"/>
      <c r="P34" s="3059"/>
      <c r="Q34" s="3060"/>
      <c r="R34" s="3178">
        <f>SUM(L34:Q34)</f>
        <v>0</v>
      </c>
      <c r="S34" s="3120"/>
      <c r="T34" s="3039"/>
      <c r="U34" s="3039" t="e">
        <f>ROUND(R35*10000/365/R33,1)</f>
        <v>#DIV/0!</v>
      </c>
      <c r="V34" s="3047"/>
    </row>
    <row r="35" spans="1:23" s="3051" customFormat="1" ht="13.2" customHeight="1">
      <c r="A35" s="3129">
        <v>6</v>
      </c>
      <c r="B35" s="3130" t="s">
        <v>3107</v>
      </c>
      <c r="C35" s="3179"/>
      <c r="D35" s="3180"/>
      <c r="E35" s="3181"/>
      <c r="F35" s="3134"/>
      <c r="G35" s="3182"/>
      <c r="H35" s="3046"/>
      <c r="I35" s="3147"/>
      <c r="J35" s="3065" t="s">
        <v>3011</v>
      </c>
      <c r="K35" s="3066"/>
      <c r="L35" s="3066"/>
      <c r="M35" s="3067"/>
      <c r="N35" s="3067"/>
      <c r="O35" s="3067"/>
      <c r="P35" s="3067"/>
      <c r="Q35" s="3067"/>
      <c r="R35" s="3183">
        <f>R40+R41+R43</f>
        <v>0</v>
      </c>
      <c r="S35" s="3120"/>
      <c r="T35" s="3039" t="s">
        <v>3012</v>
      </c>
      <c r="U35" s="3039"/>
      <c r="V35" s="3047"/>
    </row>
    <row r="36" spans="1:23" s="3051" customFormat="1" ht="13.2" customHeight="1" thickBot="1">
      <c r="A36" s="3129">
        <v>7</v>
      </c>
      <c r="B36" s="3184" t="s">
        <v>3108</v>
      </c>
      <c r="C36" s="3185"/>
      <c r="D36" s="3186"/>
      <c r="E36" s="3187"/>
      <c r="F36" s="3188">
        <f>C36+D36+E36</f>
        <v>0</v>
      </c>
      <c r="G36" s="3128"/>
      <c r="H36" s="3046"/>
      <c r="I36" s="3047"/>
      <c r="J36" s="3533">
        <v>1</v>
      </c>
      <c r="K36" s="3534" t="s">
        <v>3109</v>
      </c>
      <c r="L36" s="3072"/>
      <c r="M36" s="3073"/>
      <c r="N36" s="3073"/>
      <c r="O36" s="3073"/>
      <c r="P36" s="3073"/>
      <c r="Q36" s="3073"/>
      <c r="R36" s="3056" t="s">
        <v>3021</v>
      </c>
      <c r="S36" s="3120"/>
      <c r="T36" s="3039" t="s">
        <v>3022</v>
      </c>
      <c r="U36" s="3039"/>
      <c r="V36" s="3047"/>
    </row>
    <row r="37" spans="1:23" s="3051" customFormat="1" ht="13.2" customHeight="1">
      <c r="A37" s="3129"/>
      <c r="B37" s="3130"/>
      <c r="C37" s="3130"/>
      <c r="D37" s="3130"/>
      <c r="E37" s="3130"/>
      <c r="F37" s="3134"/>
      <c r="G37" s="3128"/>
      <c r="H37" s="3046"/>
      <c r="I37" s="3047"/>
      <c r="J37" s="3533"/>
      <c r="K37" s="3535"/>
      <c r="L37" s="3081"/>
      <c r="M37" s="3082"/>
      <c r="N37" s="3058"/>
      <c r="O37" s="3083"/>
      <c r="P37" s="3083"/>
      <c r="Q37" s="3084"/>
      <c r="R37" s="3085"/>
      <c r="S37" s="3120"/>
      <c r="T37" s="3039" t="s">
        <v>3025</v>
      </c>
      <c r="U37" s="3039"/>
      <c r="V37" s="3047"/>
    </row>
    <row r="38" spans="1:23" s="3051" customFormat="1" ht="13.2" customHeight="1">
      <c r="A38" s="3129">
        <v>8</v>
      </c>
      <c r="B38" s="3130"/>
      <c r="C38" s="3087" t="e">
        <f>ROUND(C32*(1-((1+C35)/(1+C34))^C36)/(C34-C35),0)</f>
        <v>#DIV/0!</v>
      </c>
      <c r="D38" s="3087">
        <f>IF(D23=0,0,ROUND(D32*(1-((1+D35)/(1+D34))^D36)/(D34-D35),0))</f>
        <v>0</v>
      </c>
      <c r="E38" s="3087">
        <f>IF(E23=0,0,ROUND(E32*(1-((1+E35)/(1+E34))^E36)/(E34-E35),0))</f>
        <v>0</v>
      </c>
      <c r="F38" s="3134"/>
      <c r="G38" s="3128"/>
      <c r="H38" s="3046"/>
      <c r="I38" s="3047"/>
      <c r="J38" s="3533"/>
      <c r="K38" s="3535"/>
      <c r="L38" s="3081"/>
      <c r="M38" s="3082"/>
      <c r="N38" s="3058"/>
      <c r="O38" s="3083"/>
      <c r="P38" s="3083"/>
      <c r="Q38" s="3084"/>
      <c r="R38" s="3085"/>
      <c r="S38" s="3120"/>
      <c r="T38" s="3039" t="s">
        <v>3032</v>
      </c>
      <c r="U38" s="3039"/>
      <c r="V38" s="3047"/>
    </row>
    <row r="39" spans="1:23" s="3051" customFormat="1" ht="13.2" customHeight="1">
      <c r="A39" s="3129">
        <v>9</v>
      </c>
      <c r="B39" s="3130" t="s">
        <v>3110</v>
      </c>
      <c r="C39" s="3095" t="e">
        <f>C38</f>
        <v>#DIV/0!</v>
      </c>
      <c r="D39" s="3130">
        <f>D38/(1+D34)^C36</f>
        <v>0</v>
      </c>
      <c r="E39" s="3130">
        <f>E38/(1+E34)^(C36+D36)</f>
        <v>0</v>
      </c>
      <c r="F39" s="3134"/>
      <c r="G39" s="3189"/>
      <c r="H39" s="3046"/>
      <c r="I39" s="3047"/>
      <c r="J39" s="3533"/>
      <c r="K39" s="3535"/>
      <c r="L39" s="3081"/>
      <c r="M39" s="3082"/>
      <c r="N39" s="3058"/>
      <c r="O39" s="3083"/>
      <c r="P39" s="3083"/>
      <c r="Q39" s="3084"/>
      <c r="R39" s="3085"/>
      <c r="S39" s="3120"/>
      <c r="T39" s="3039"/>
      <c r="U39" s="3039"/>
      <c r="V39" s="3047"/>
    </row>
    <row r="40" spans="1:23" s="3051" customFormat="1" ht="13.2" customHeight="1">
      <c r="A40" s="3190">
        <v>10</v>
      </c>
      <c r="B40" s="3130" t="s">
        <v>3111</v>
      </c>
      <c r="C40" s="3191" t="e">
        <f>C39+D39+E39</f>
        <v>#DIV/0!</v>
      </c>
      <c r="D40" s="3192"/>
      <c r="E40" s="3192"/>
      <c r="F40" s="3193"/>
      <c r="G40" s="3128"/>
      <c r="H40" s="3046"/>
      <c r="I40" s="3047"/>
      <c r="J40" s="3533"/>
      <c r="K40" s="3536"/>
      <c r="L40" s="3101" t="s">
        <v>3050</v>
      </c>
      <c r="M40" s="3102"/>
      <c r="N40" s="3102"/>
      <c r="O40" s="3103"/>
      <c r="P40" s="3103"/>
      <c r="Q40" s="3104"/>
      <c r="R40" s="3050">
        <f>SUM(R37:R39)</f>
        <v>0</v>
      </c>
      <c r="S40" s="3120"/>
      <c r="T40" s="3039"/>
      <c r="U40" s="3039"/>
      <c r="V40" s="3047"/>
    </row>
    <row r="41" spans="1:23" s="3051" customFormat="1" ht="13.2" customHeight="1" thickBot="1">
      <c r="A41" s="3194">
        <v>11</v>
      </c>
      <c r="B41" s="3195" t="s">
        <v>3112</v>
      </c>
      <c r="C41" s="3195" t="e">
        <f>ROUND(C40*10000/B4,0)</f>
        <v>#DIV/0!</v>
      </c>
      <c r="D41" s="3196"/>
      <c r="E41" s="3196"/>
      <c r="F41" s="3197"/>
      <c r="G41" s="3198"/>
      <c r="H41" s="3046"/>
      <c r="I41" s="3047"/>
      <c r="J41" s="3142">
        <v>2</v>
      </c>
      <c r="K41" s="3143" t="s">
        <v>3090</v>
      </c>
      <c r="L41" s="3144"/>
      <c r="M41" s="3144"/>
      <c r="N41" s="3144"/>
      <c r="O41" s="3144"/>
      <c r="P41" s="3145"/>
      <c r="Q41" s="3146"/>
      <c r="R41" s="3117">
        <f>ROUND(R40*Q41,0)</f>
        <v>0</v>
      </c>
      <c r="S41" s="3120"/>
      <c r="T41" s="3039"/>
      <c r="U41" s="3154"/>
      <c r="V41" s="3047"/>
    </row>
    <row r="42" spans="1:23" s="3051" customFormat="1" ht="13.2" customHeight="1">
      <c r="G42" s="3198"/>
      <c r="H42" s="3046"/>
      <c r="I42" s="3047"/>
      <c r="J42" s="3543">
        <v>3</v>
      </c>
      <c r="K42" s="3149" t="s">
        <v>3092</v>
      </c>
      <c r="L42" s="3150"/>
      <c r="M42" s="3151"/>
      <c r="N42" s="3152" t="s">
        <v>3093</v>
      </c>
      <c r="O42" s="3152" t="s">
        <v>3094</v>
      </c>
      <c r="P42" s="3153" t="s">
        <v>3095</v>
      </c>
      <c r="Q42" s="3153" t="s">
        <v>3096</v>
      </c>
      <c r="R42" s="3056" t="s">
        <v>3021</v>
      </c>
      <c r="S42" s="3154"/>
      <c r="T42" s="3154"/>
      <c r="U42" s="3039"/>
      <c r="V42" s="3047"/>
    </row>
    <row r="43" spans="1:23" ht="13.2" customHeight="1">
      <c r="A43" s="3051"/>
      <c r="B43" s="3051"/>
      <c r="C43" s="3051"/>
      <c r="D43" s="3051"/>
      <c r="E43" s="3051"/>
      <c r="F43" s="3051"/>
      <c r="I43" s="3034"/>
      <c r="J43" s="3544"/>
      <c r="K43" s="3157"/>
      <c r="L43" s="3158"/>
      <c r="M43" s="3159"/>
      <c r="N43" s="3082"/>
      <c r="O43" s="3082"/>
      <c r="P43" s="3082"/>
      <c r="Q43" s="3146"/>
      <c r="R43" s="3117">
        <f>ROUND(O43*N43*P43*(1-Q43)/10000,0)</f>
        <v>0</v>
      </c>
      <c r="S43" s="3120"/>
      <c r="T43" s="3039"/>
      <c r="V43" s="3200"/>
      <c r="W43" s="3201"/>
    </row>
    <row r="44" spans="1:23" ht="13.2" customHeight="1" thickBot="1">
      <c r="J44" s="3162">
        <v>6</v>
      </c>
      <c r="K44" s="3163" t="s">
        <v>3099</v>
      </c>
      <c r="L44" s="3202" t="s">
        <v>3100</v>
      </c>
      <c r="M44" s="3165"/>
      <c r="N44" s="3202" t="s">
        <v>3101</v>
      </c>
      <c r="O44" s="3165"/>
      <c r="P44" s="3202" t="s">
        <v>3102</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3.8"/>
  <cols>
    <col min="1" max="1" width="23.6640625" style="1631" customWidth="1"/>
    <col min="2" max="2" width="12" style="1631" customWidth="1"/>
    <col min="3" max="3" width="9" style="1631"/>
    <col min="4" max="4" width="14.109375" style="1631" customWidth="1"/>
    <col min="5" max="5" width="9" style="1631"/>
    <col min="6" max="6" width="12.88671875" style="1631" customWidth="1"/>
    <col min="7" max="16384" width="9" style="1631"/>
  </cols>
  <sheetData>
    <row r="1" spans="1:22" ht="21.6">
      <c r="A1" s="2022" t="s">
        <v>2284</v>
      </c>
      <c r="B1" s="2023"/>
      <c r="C1" s="2023"/>
      <c r="D1" s="2023"/>
      <c r="E1" s="2024"/>
      <c r="F1" s="2903"/>
      <c r="G1" s="1643"/>
      <c r="H1" s="1643"/>
      <c r="I1" s="1643"/>
      <c r="J1" s="1643"/>
      <c r="K1" s="1643"/>
      <c r="L1" s="1643"/>
      <c r="M1" s="1643"/>
      <c r="N1" s="1643"/>
      <c r="O1" s="1643"/>
      <c r="P1" s="1643"/>
      <c r="Q1" s="1643"/>
      <c r="R1" s="1643"/>
      <c r="S1" s="1643"/>
    </row>
    <row r="2" spans="1:22" ht="15.6">
      <c r="A2" s="2025" t="s">
        <v>2085</v>
      </c>
      <c r="B2" s="2026">
        <f ca="1">SUMIF(B6:B13,"&lt;&gt;#ref!",B6:B13)</f>
        <v>33381</v>
      </c>
      <c r="C2" s="2027" t="s">
        <v>2277</v>
      </c>
      <c r="D2" s="2028" t="s">
        <v>2278</v>
      </c>
      <c r="E2" s="2800">
        <f>SUM(E6:E13)</f>
        <v>17650.91</v>
      </c>
      <c r="F2" s="2903"/>
      <c r="G2" s="1643"/>
      <c r="H2" s="1643"/>
      <c r="I2" s="1643"/>
      <c r="J2" s="1643"/>
      <c r="K2" s="1643"/>
      <c r="L2" s="1643"/>
      <c r="M2" s="1643"/>
      <c r="N2" s="1643"/>
      <c r="O2" s="1643"/>
      <c r="P2" s="1643"/>
      <c r="Q2" s="1643"/>
      <c r="R2" s="1643"/>
      <c r="S2" s="1643"/>
    </row>
    <row r="3" spans="1:22" ht="15.6">
      <c r="A3" s="2025" t="s">
        <v>1297</v>
      </c>
      <c r="B3" s="2794">
        <f ca="1">ROUND(B2*10000/E2,0)</f>
        <v>18912</v>
      </c>
      <c r="C3" s="2027" t="s">
        <v>2285</v>
      </c>
      <c r="D3" s="2905"/>
      <c r="E3" s="2907"/>
      <c r="F3" s="2903"/>
      <c r="G3" s="1643"/>
      <c r="H3" s="1643"/>
      <c r="I3" s="1643"/>
      <c r="J3" s="1643"/>
      <c r="K3" s="1643"/>
      <c r="L3" s="1643"/>
      <c r="M3" s="1643"/>
      <c r="N3" s="1643"/>
      <c r="O3" s="1643"/>
      <c r="P3" s="1643"/>
      <c r="Q3" s="1643"/>
      <c r="R3" s="1643"/>
      <c r="S3" s="1643"/>
    </row>
    <row r="4" spans="1:22" ht="15.6">
      <c r="A4" s="2908"/>
      <c r="B4" s="2905"/>
      <c r="C4" s="2905"/>
      <c r="D4" s="2905"/>
      <c r="E4" s="2907"/>
      <c r="F4" s="2903"/>
      <c r="G4" s="1643"/>
      <c r="H4" s="1643"/>
      <c r="I4" s="1643"/>
      <c r="J4" s="1643"/>
      <c r="K4" s="1643"/>
      <c r="L4" s="1643"/>
      <c r="M4" s="1643"/>
      <c r="N4" s="1643"/>
      <c r="O4" s="1643"/>
      <c r="P4" s="1643"/>
      <c r="Q4" s="1643"/>
      <c r="R4" s="1643"/>
      <c r="S4" s="1643"/>
    </row>
    <row r="5" spans="1:22" ht="14.4">
      <c r="A5" s="2796" t="s">
        <v>2279</v>
      </c>
      <c r="B5" s="3545" t="s">
        <v>2280</v>
      </c>
      <c r="C5" s="3546"/>
      <c r="D5" s="2904"/>
      <c r="E5" s="2029" t="s">
        <v>2281</v>
      </c>
      <c r="F5" s="2030" t="s">
        <v>2282</v>
      </c>
      <c r="G5" s="1643"/>
      <c r="H5" s="1643"/>
      <c r="I5" s="1643"/>
      <c r="J5" s="1643"/>
      <c r="K5" s="1643"/>
      <c r="L5" s="1643"/>
      <c r="M5" s="1643"/>
      <c r="N5" s="1643"/>
      <c r="O5" s="1643"/>
      <c r="P5" s="1643"/>
      <c r="Q5" s="1643"/>
      <c r="R5" s="1643"/>
      <c r="S5" s="1643"/>
    </row>
    <row r="6" spans="1:22" ht="14.4">
      <c r="A6" s="2797" t="str">
        <f>'数据-取费表'!AN6</f>
        <v>收益法</v>
      </c>
      <c r="B6" s="2795">
        <f ca="1">IF(F6="是",'数据-取费表'!AO6,0)</f>
        <v>22631</v>
      </c>
      <c r="C6" s="2027" t="s">
        <v>2277</v>
      </c>
      <c r="D6" s="2905"/>
      <c r="E6" s="2799">
        <f>IF(OR(A6=0,F6="否"),0,'数据-取费表'!K6+'数据-取费表'!S6)</f>
        <v>14586.08</v>
      </c>
      <c r="F6" s="2031" t="s">
        <v>2283</v>
      </c>
      <c r="G6" s="1643"/>
      <c r="H6" s="1643"/>
      <c r="I6" s="1643"/>
      <c r="J6" s="1643"/>
      <c r="K6" s="1643"/>
      <c r="L6" s="1643"/>
      <c r="M6" s="1643"/>
      <c r="N6" s="1643"/>
      <c r="O6" s="1643"/>
      <c r="P6" s="1643"/>
      <c r="Q6" s="1643"/>
      <c r="R6" s="1643"/>
      <c r="S6" s="1643"/>
    </row>
    <row r="7" spans="1:22" ht="14.4">
      <c r="A7" s="2797" t="str">
        <f>'数据-取费表'!AN7</f>
        <v>收益法 (2)</v>
      </c>
      <c r="B7" s="2795">
        <f ca="1">IF(F7="是",'数据-取费表'!AO7,0)</f>
        <v>9164</v>
      </c>
      <c r="C7" s="2027" t="s">
        <v>2277</v>
      </c>
      <c r="D7" s="2905"/>
      <c r="E7" s="2799">
        <f>IF(OR(A7=0,F7="否"),0,'数据-取费表'!K7+'数据-取费表'!S7)</f>
        <v>2542.8199999999997</v>
      </c>
      <c r="F7" s="2031" t="s">
        <v>2283</v>
      </c>
      <c r="G7" s="1643"/>
      <c r="H7" s="1643"/>
      <c r="I7" s="1643"/>
      <c r="J7" s="1643"/>
      <c r="K7" s="1643"/>
      <c r="L7" s="1643"/>
      <c r="M7" s="1643"/>
      <c r="N7" s="1643"/>
      <c r="O7" s="1643"/>
      <c r="P7" s="1643"/>
      <c r="Q7" s="1643"/>
      <c r="R7" s="1643"/>
      <c r="S7" s="1643"/>
    </row>
    <row r="8" spans="1:22" ht="14.4">
      <c r="A8" s="2797" t="str">
        <f>'数据-取费表'!AN8</f>
        <v>收益法 (3)</v>
      </c>
      <c r="B8" s="2795">
        <f ca="1">IF(F8="是",'数据-取费表'!AO8,0)</f>
        <v>1586</v>
      </c>
      <c r="C8" s="2027" t="s">
        <v>2277</v>
      </c>
      <c r="D8" s="2905"/>
      <c r="E8" s="2799">
        <f>IF(OR(A8=0,F8="否"),0,'数据-取费表'!K8+'数据-取费表'!S8)</f>
        <v>522.01</v>
      </c>
      <c r="F8" s="2031" t="s">
        <v>2283</v>
      </c>
      <c r="G8" s="1643"/>
      <c r="H8" s="1643"/>
      <c r="I8" s="1643"/>
      <c r="J8" s="1643"/>
      <c r="K8" s="1643"/>
      <c r="L8" s="1643"/>
      <c r="M8" s="1643"/>
      <c r="N8" s="1643"/>
      <c r="O8" s="1643"/>
      <c r="P8" s="1643"/>
      <c r="Q8" s="1643"/>
      <c r="R8" s="1643"/>
      <c r="S8" s="1643"/>
    </row>
    <row r="9" spans="1:22" ht="14.4">
      <c r="A9" s="2797">
        <f>'数据-取费表'!AN9</f>
        <v>0</v>
      </c>
      <c r="B9" s="2795" t="e">
        <f ca="1">IF(F9="是",'数据-取费表'!AO9,0)</f>
        <v>#REF!</v>
      </c>
      <c r="C9" s="2027" t="s">
        <v>2277</v>
      </c>
      <c r="D9" s="2905"/>
      <c r="E9" s="2799">
        <f>IF(OR(A9=0,F9="否"),0,'数据-取费表'!K9+'数据-取费表'!S9)</f>
        <v>0</v>
      </c>
      <c r="F9" s="2031" t="s">
        <v>2283</v>
      </c>
      <c r="G9" s="1643"/>
      <c r="H9" s="1643"/>
      <c r="I9" s="1643"/>
      <c r="J9" s="1643"/>
      <c r="K9" s="1643"/>
      <c r="L9" s="1643"/>
      <c r="M9" s="1643"/>
      <c r="N9" s="1643"/>
      <c r="O9" s="1643"/>
      <c r="P9" s="1643"/>
      <c r="Q9" s="1643"/>
      <c r="R9" s="1643"/>
      <c r="S9" s="1643"/>
    </row>
    <row r="10" spans="1:22" ht="14.4">
      <c r="A10" s="2797">
        <f>'数据-取费表'!AN10</f>
        <v>0</v>
      </c>
      <c r="B10" s="2795" t="e">
        <f ca="1">IF(F10="是",'数据-取费表'!AO10,0)</f>
        <v>#REF!</v>
      </c>
      <c r="C10" s="2027" t="s">
        <v>2277</v>
      </c>
      <c r="D10" s="2905"/>
      <c r="E10" s="2799">
        <f>IF(OR(A10=0,F10="否"),0,'数据-取费表'!K10+'数据-取费表'!S10)</f>
        <v>0</v>
      </c>
      <c r="F10" s="2031" t="s">
        <v>2283</v>
      </c>
      <c r="G10" s="1643"/>
      <c r="H10" s="1643"/>
      <c r="I10" s="1643"/>
      <c r="J10" s="1643"/>
      <c r="K10" s="1643"/>
      <c r="L10" s="1643"/>
      <c r="M10" s="1643"/>
      <c r="N10" s="1643"/>
      <c r="O10" s="1643"/>
      <c r="P10" s="1643"/>
      <c r="Q10" s="1643"/>
      <c r="R10" s="1643"/>
      <c r="S10" s="1643"/>
    </row>
    <row r="11" spans="1:22" ht="14.4">
      <c r="A11" s="2797">
        <f>'数据-取费表'!AN11</f>
        <v>0</v>
      </c>
      <c r="B11" s="2795" t="e">
        <f ca="1">IF(F11="是",'数据-取费表'!AO11,0)</f>
        <v>#REF!</v>
      </c>
      <c r="C11" s="2027" t="s">
        <v>2277</v>
      </c>
      <c r="D11" s="2905"/>
      <c r="E11" s="2799">
        <f>IF(OR(A11=0,F11="否"),0,'数据-取费表'!K11+'数据-取费表'!S11)</f>
        <v>0</v>
      </c>
      <c r="F11" s="2031" t="s">
        <v>2283</v>
      </c>
      <c r="G11" s="1643"/>
      <c r="H11" s="1643"/>
      <c r="I11" s="1643"/>
      <c r="J11" s="1643"/>
      <c r="K11" s="1643"/>
      <c r="L11" s="1643"/>
      <c r="M11" s="1643"/>
      <c r="N11" s="1643"/>
      <c r="O11" s="1643"/>
      <c r="P11" s="1643"/>
      <c r="Q11" s="1643"/>
      <c r="R11" s="1643"/>
      <c r="S11" s="1643"/>
    </row>
    <row r="12" spans="1:22" ht="14.4">
      <c r="A12" s="2797">
        <f>'数据-取费表'!AN12</f>
        <v>0</v>
      </c>
      <c r="B12" s="2795" t="e">
        <f ca="1">IF(F12="是",'数据-取费表'!AO12,0)</f>
        <v>#REF!</v>
      </c>
      <c r="C12" s="2027" t="s">
        <v>2277</v>
      </c>
      <c r="D12" s="2905"/>
      <c r="E12" s="2799">
        <f>IF(OR(A12=0,F12="否"),0,'数据-取费表'!K12+'数据-取费表'!S12)</f>
        <v>0</v>
      </c>
      <c r="F12" s="2031" t="s">
        <v>2283</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2" t="s">
        <v>2277</v>
      </c>
      <c r="D13" s="2906"/>
      <c r="E13" s="2799">
        <f>IF(OR(A13=0,F13="否"),0,'数据-取费表'!K13+'数据-取费表'!S13)</f>
        <v>0</v>
      </c>
      <c r="F13" s="2031" t="s">
        <v>2283</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2286</v>
      </c>
      <c r="B1" s="2033" t="s">
        <v>2287</v>
      </c>
      <c r="C1" s="1377" t="s">
        <v>2288</v>
      </c>
      <c r="D1" s="1364"/>
      <c r="E1" s="2513"/>
      <c r="F1" s="2034" t="s">
        <v>2289</v>
      </c>
      <c r="G1" s="1374" t="s">
        <v>2290</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1296</v>
      </c>
      <c r="B2" s="1297" t="e">
        <f ca="1">IF(C2="——",ROUND(C49*D3/10000,0),ROUND(C49*D3/10000,0)-D2)</f>
        <v>#DIV/0!</v>
      </c>
      <c r="C2" s="2036"/>
      <c r="D2" s="1246" t="e">
        <f ca="1">SUMIF(INDIRECT("'"&amp;F2&amp;"'"&amp;"!A:A"),"承租人权益价值",INDIRECT("'"&amp;F2&amp;"'"&amp;"!c:c"))</f>
        <v>#REF!</v>
      </c>
      <c r="E2" s="2037" t="s">
        <v>2291</v>
      </c>
      <c r="F2" s="2038"/>
      <c r="G2" s="1037"/>
      <c r="H2" s="1037"/>
      <c r="I2" s="1037"/>
      <c r="J2" s="1037"/>
      <c r="K2" s="2039"/>
      <c r="L2" s="2909"/>
      <c r="M2" s="2910"/>
      <c r="N2" s="2910"/>
      <c r="O2" s="2910"/>
      <c r="P2" s="2040"/>
      <c r="Q2" s="2041"/>
      <c r="R2" s="2041"/>
      <c r="S2" s="2041"/>
      <c r="T2" s="2041"/>
      <c r="U2" s="2041"/>
      <c r="V2" s="2041"/>
      <c r="W2" s="2041"/>
      <c r="X2" s="2041"/>
      <c r="Y2" s="2041"/>
      <c r="Z2" s="2041"/>
      <c r="AA2" s="2041"/>
      <c r="AB2" s="2041"/>
      <c r="AC2" s="2042"/>
    </row>
    <row r="3" spans="1:29" s="352" customFormat="1" ht="28.5" customHeight="1" thickBot="1">
      <c r="A3" s="208" t="s">
        <v>1297</v>
      </c>
      <c r="B3" s="358" t="e">
        <f ca="1">IF(C2="——",C49,ROUND(B2*10000/D3,0))</f>
        <v>#DIV/0!</v>
      </c>
      <c r="C3" s="359" t="s">
        <v>2292</v>
      </c>
      <c r="D3" s="358">
        <f>IF(D1="",'数据-汇总表'!E3,SUMIF('数据-汇总表'!$C19:$C33,D1,'数据-汇总表'!$E19:$E33))</f>
        <v>17650.910000000003</v>
      </c>
      <c r="E3" s="1037"/>
      <c r="F3" s="2043"/>
      <c r="G3" s="1037"/>
      <c r="H3" s="1037"/>
      <c r="I3" s="1037"/>
      <c r="J3" s="1037"/>
      <c r="K3" s="2039"/>
      <c r="L3" s="2909"/>
      <c r="M3" s="2910"/>
      <c r="N3" s="2910"/>
      <c r="O3" s="2910"/>
      <c r="P3" s="2040"/>
      <c r="Q3" s="2041"/>
      <c r="R3" s="2041"/>
      <c r="S3" s="2041"/>
      <c r="T3" s="2041"/>
      <c r="U3" s="2041"/>
      <c r="V3" s="2041"/>
      <c r="W3" s="2041"/>
      <c r="X3" s="2041"/>
      <c r="Y3" s="2041"/>
      <c r="Z3" s="2041"/>
      <c r="AA3" s="2041"/>
      <c r="AB3" s="2041"/>
      <c r="AC3" s="1191"/>
    </row>
    <row r="4" spans="1:29" ht="14.4">
      <c r="A4" s="360" t="s">
        <v>2293</v>
      </c>
      <c r="B4" s="361"/>
      <c r="C4" s="3565" t="s">
        <v>2294</v>
      </c>
      <c r="D4" s="3566"/>
      <c r="E4" s="3567" t="s">
        <v>2295</v>
      </c>
      <c r="F4" s="3568"/>
      <c r="G4" s="3565" t="s">
        <v>2296</v>
      </c>
      <c r="H4" s="3566"/>
      <c r="I4" s="3565" t="s">
        <v>2297</v>
      </c>
      <c r="J4" s="3566"/>
      <c r="K4" s="2044" t="s">
        <v>2298</v>
      </c>
      <c r="L4" s="2911"/>
      <c r="M4" s="2912"/>
      <c r="N4" s="2912"/>
      <c r="O4" s="2912"/>
      <c r="P4" s="3569" t="s">
        <v>2299</v>
      </c>
      <c r="Q4" s="3570"/>
      <c r="R4" s="3552" t="s">
        <v>2295</v>
      </c>
      <c r="S4" s="3553"/>
      <c r="T4" s="3552" t="s">
        <v>2296</v>
      </c>
      <c r="U4" s="3553"/>
      <c r="V4" s="3577" t="s">
        <v>2297</v>
      </c>
      <c r="W4" s="3577"/>
      <c r="X4" s="1508"/>
      <c r="Y4" s="3552" t="s">
        <v>2299</v>
      </c>
      <c r="Z4" s="3553"/>
      <c r="AA4" s="3547" t="s">
        <v>2295</v>
      </c>
      <c r="AB4" s="3547" t="s">
        <v>2296</v>
      </c>
      <c r="AC4" s="3547" t="s">
        <v>2297</v>
      </c>
    </row>
    <row r="5" spans="1:29">
      <c r="A5" s="363"/>
      <c r="B5" s="364"/>
      <c r="C5" s="3558" t="s">
        <v>2300</v>
      </c>
      <c r="D5" s="3559"/>
      <c r="E5" s="3556" t="s">
        <v>2301</v>
      </c>
      <c r="F5" s="3557"/>
      <c r="G5" s="3558" t="s">
        <v>2302</v>
      </c>
      <c r="H5" s="3559"/>
      <c r="I5" s="3558" t="s">
        <v>2303</v>
      </c>
      <c r="J5" s="3559"/>
      <c r="K5" s="2045"/>
      <c r="L5" s="2911"/>
      <c r="M5" s="2912"/>
      <c r="N5" s="2912"/>
      <c r="O5" s="2912"/>
      <c r="P5" s="3571"/>
      <c r="Q5" s="3572"/>
      <c r="R5" s="3554"/>
      <c r="S5" s="3555"/>
      <c r="T5" s="3554"/>
      <c r="U5" s="3555"/>
      <c r="V5" s="3577"/>
      <c r="W5" s="3577"/>
      <c r="X5" s="1508"/>
      <c r="Y5" s="3554"/>
      <c r="Z5" s="3555"/>
      <c r="AA5" s="3548"/>
      <c r="AB5" s="3548"/>
      <c r="AC5" s="3548"/>
    </row>
    <row r="6" spans="1:29" ht="15" thickBot="1">
      <c r="A6" s="365"/>
      <c r="B6" s="366"/>
      <c r="C6" s="3560" t="s">
        <v>2304</v>
      </c>
      <c r="D6" s="3561"/>
      <c r="E6" s="3562" t="s">
        <v>2304</v>
      </c>
      <c r="F6" s="3563"/>
      <c r="G6" s="3560" t="s">
        <v>2304</v>
      </c>
      <c r="H6" s="3561"/>
      <c r="I6" s="3560" t="s">
        <v>2304</v>
      </c>
      <c r="J6" s="3561"/>
      <c r="K6" s="2045" t="s">
        <v>2305</v>
      </c>
      <c r="L6" s="2911"/>
      <c r="M6" s="2912"/>
      <c r="N6" s="2912"/>
      <c r="O6" s="2912"/>
      <c r="P6" s="3573"/>
      <c r="Q6" s="3574"/>
      <c r="R6" s="3554"/>
      <c r="S6" s="3555"/>
      <c r="T6" s="3575"/>
      <c r="U6" s="3576"/>
      <c r="V6" s="3577"/>
      <c r="W6" s="3577"/>
      <c r="X6" s="1508"/>
      <c r="Y6" s="3575"/>
      <c r="Z6" s="3576"/>
      <c r="AA6" s="3549"/>
      <c r="AB6" s="3549"/>
      <c r="AC6" s="3549"/>
    </row>
    <row r="7" spans="1:29" s="112" customFormat="1" ht="15" thickBot="1">
      <c r="A7" s="367" t="s">
        <v>2306</v>
      </c>
      <c r="B7" s="368"/>
      <c r="C7" s="369">
        <f>'数据-取费表'!B2</f>
        <v>44610</v>
      </c>
      <c r="D7" s="370">
        <v>100</v>
      </c>
      <c r="E7" s="371"/>
      <c r="F7" s="372">
        <f>SUMIF(58:58,YEAR(E7)&amp;"-"&amp;MONTH(E7),59:59)</f>
        <v>0</v>
      </c>
      <c r="G7" s="371"/>
      <c r="H7" s="370">
        <f>SUMIF(58:58,YEAR(G7)&amp;"-"&amp;MONTH(G7),59:59)</f>
        <v>0</v>
      </c>
      <c r="I7" s="371"/>
      <c r="J7" s="370">
        <f>SUMIF(58:58,YEAR(I7)&amp;"-"&amp;MONTH(I7),59:59)</f>
        <v>0</v>
      </c>
      <c r="K7" s="2046"/>
      <c r="L7" s="2913"/>
      <c r="M7" s="2914"/>
      <c r="N7" s="2914"/>
      <c r="O7" s="2914"/>
      <c r="P7" s="3550" t="s">
        <v>2307</v>
      </c>
      <c r="Q7" s="3578"/>
      <c r="R7" s="709" t="s">
        <v>23</v>
      </c>
      <c r="S7" s="710">
        <f t="shared" ref="S7:S15" si="0">F7</f>
        <v>0</v>
      </c>
      <c r="T7" s="709" t="s">
        <v>23</v>
      </c>
      <c r="U7" s="710">
        <f t="shared" ref="U7:U15" si="1">H7</f>
        <v>0</v>
      </c>
      <c r="V7" s="709" t="s">
        <v>23</v>
      </c>
      <c r="W7" s="710">
        <f t="shared" ref="W7:W15" si="2">J7</f>
        <v>0</v>
      </c>
      <c r="X7" s="711"/>
      <c r="Y7" s="3550" t="s">
        <v>2307</v>
      </c>
      <c r="Z7" s="3551"/>
      <c r="AA7" s="712" t="e">
        <f>D7/F7</f>
        <v>#DIV/0!</v>
      </c>
      <c r="AB7" s="712" t="e">
        <f>D7/H7</f>
        <v>#DIV/0!</v>
      </c>
      <c r="AC7" s="712" t="e">
        <f>D7/J7</f>
        <v>#DIV/0!</v>
      </c>
    </row>
    <row r="8" spans="1:29" s="112" customFormat="1" ht="15" thickBot="1">
      <c r="A8" s="367" t="s">
        <v>2308</v>
      </c>
      <c r="B8" s="368"/>
      <c r="C8" s="373" t="s">
        <v>2309</v>
      </c>
      <c r="D8" s="370">
        <v>100</v>
      </c>
      <c r="E8" s="2047"/>
      <c r="F8" s="372">
        <f>SUMIF(61:61,E8,62:62)-SUMIF(61:61,C8,62:62)+100</f>
        <v>0</v>
      </c>
      <c r="G8" s="373"/>
      <c r="H8" s="370">
        <f>SUMIF(61:61,G8,62:62)-SUMIF(61:61,C8,62:62)+100</f>
        <v>0</v>
      </c>
      <c r="I8" s="2047"/>
      <c r="J8" s="370">
        <f>SUMIF(61:61,I8,62:62)-SUMIF(61:61,C8,62:62)+100</f>
        <v>0</v>
      </c>
      <c r="K8" s="2046"/>
      <c r="L8" s="2913"/>
      <c r="M8" s="2914"/>
      <c r="N8" s="2914"/>
      <c r="O8" s="2914"/>
      <c r="P8" s="3550" t="s">
        <v>2310</v>
      </c>
      <c r="Q8" s="3551"/>
      <c r="R8" s="709" t="s">
        <v>23</v>
      </c>
      <c r="S8" s="710">
        <f t="shared" si="0"/>
        <v>0</v>
      </c>
      <c r="T8" s="709" t="s">
        <v>23</v>
      </c>
      <c r="U8" s="710">
        <f t="shared" si="1"/>
        <v>0</v>
      </c>
      <c r="V8" s="709" t="s">
        <v>23</v>
      </c>
      <c r="W8" s="710">
        <f t="shared" si="2"/>
        <v>0</v>
      </c>
      <c r="X8" s="711"/>
      <c r="Y8" s="3550" t="s">
        <v>2310</v>
      </c>
      <c r="Z8" s="3551"/>
      <c r="AA8" s="712" t="e">
        <f t="shared" ref="AA8:AA19" si="3">D8/F8</f>
        <v>#DIV/0!</v>
      </c>
      <c r="AB8" s="712" t="e">
        <f t="shared" ref="AB8:AB19" si="4">D8/H8</f>
        <v>#DIV/0!</v>
      </c>
      <c r="AC8" s="712" t="e">
        <f t="shared" ref="AC8:AC19" si="5">D8/J8</f>
        <v>#DIV/0!</v>
      </c>
    </row>
    <row r="9" spans="1:29" s="112" customFormat="1" ht="14.4">
      <c r="A9" s="374" t="s">
        <v>2311</v>
      </c>
      <c r="B9" s="66" t="s">
        <v>2312</v>
      </c>
      <c r="C9" s="375"/>
      <c r="D9" s="130">
        <v>100</v>
      </c>
      <c r="E9" s="376"/>
      <c r="F9" s="377">
        <f>SUMIF(63:63,E9,64:64)-SUMIF(63:63,C9,64:64)+100</f>
        <v>100</v>
      </c>
      <c r="G9" s="378"/>
      <c r="H9" s="130">
        <f>SUMIF(63:63,G9,64:64)-SUMIF(63:63,C9,64:64)+100</f>
        <v>100</v>
      </c>
      <c r="I9" s="378"/>
      <c r="J9" s="130">
        <f>SUMIF(63:63,I9,64:64)-SUMIF(63:63,C9,64:64)+100</f>
        <v>100</v>
      </c>
      <c r="K9" s="2046"/>
      <c r="L9" s="2913"/>
      <c r="M9" s="2914"/>
      <c r="N9" s="2914"/>
      <c r="O9" s="2914"/>
      <c r="P9" s="3564"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712">
        <f t="shared" si="5"/>
        <v>1</v>
      </c>
    </row>
    <row r="10" spans="1:29" s="385" customFormat="1" ht="28.8">
      <c r="A10" s="379"/>
      <c r="B10" s="380" t="s">
        <v>2315</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564"/>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712">
        <f t="shared" si="5"/>
        <v>1</v>
      </c>
    </row>
    <row r="11" spans="1:29" ht="15">
      <c r="A11" s="386"/>
      <c r="B11" s="380" t="s">
        <v>2316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564"/>
      <c r="Q11" s="1496" t="str">
        <f t="shared" si="6"/>
        <v>容积率</v>
      </c>
      <c r="R11" s="709" t="s">
        <v>21</v>
      </c>
      <c r="S11" s="710" t="e">
        <f t="shared" si="0"/>
        <v>#N/A</v>
      </c>
      <c r="T11" s="709" t="s">
        <v>21</v>
      </c>
      <c r="U11" s="710" t="e">
        <f t="shared" si="1"/>
        <v>#N/A</v>
      </c>
      <c r="V11" s="709" t="s">
        <v>21</v>
      </c>
      <c r="W11" s="710" t="e">
        <f t="shared" si="2"/>
        <v>#N/A</v>
      </c>
      <c r="X11" s="711"/>
      <c r="Y11" s="3487"/>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3"/>
      <c r="M12" s="2914"/>
      <c r="N12" s="2914"/>
      <c r="O12" s="2914"/>
      <c r="P12" s="3564"/>
      <c r="Q12" s="1496">
        <f t="shared" si="6"/>
        <v>111</v>
      </c>
      <c r="R12" s="709" t="s">
        <v>21</v>
      </c>
      <c r="S12" s="710">
        <f t="shared" si="0"/>
        <v>100</v>
      </c>
      <c r="T12" s="709" t="s">
        <v>21</v>
      </c>
      <c r="U12" s="710">
        <f t="shared" si="1"/>
        <v>100</v>
      </c>
      <c r="V12" s="709" t="s">
        <v>21</v>
      </c>
      <c r="W12" s="710">
        <f t="shared" si="2"/>
        <v>100</v>
      </c>
      <c r="X12" s="711"/>
      <c r="Y12" s="3487"/>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8"/>
      <c r="M13" s="2912"/>
      <c r="N13" s="2912"/>
      <c r="O13" s="2912"/>
      <c r="P13" s="3564"/>
      <c r="Q13" s="1496">
        <f t="shared" si="6"/>
        <v>111</v>
      </c>
      <c r="R13" s="709" t="s">
        <v>21</v>
      </c>
      <c r="S13" s="710">
        <f t="shared" si="0"/>
        <v>100</v>
      </c>
      <c r="T13" s="709" t="s">
        <v>21</v>
      </c>
      <c r="U13" s="710">
        <f t="shared" si="1"/>
        <v>100</v>
      </c>
      <c r="V13" s="709" t="s">
        <v>21</v>
      </c>
      <c r="W13" s="710">
        <f t="shared" si="2"/>
        <v>100</v>
      </c>
      <c r="X13" s="711"/>
      <c r="Y13" s="3487"/>
      <c r="Z13" s="54">
        <f t="shared" si="7"/>
        <v>111</v>
      </c>
      <c r="AA13" s="712">
        <f t="shared" si="3"/>
        <v>1</v>
      </c>
      <c r="AB13" s="712">
        <f t="shared" si="4"/>
        <v>1</v>
      </c>
      <c r="AC13" s="712">
        <f t="shared" si="5"/>
        <v>1</v>
      </c>
    </row>
    <row r="14" spans="1:29" ht="15.6"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8"/>
      <c r="M14" s="2912"/>
      <c r="N14" s="2912"/>
      <c r="O14" s="2912"/>
      <c r="P14" s="3564"/>
      <c r="Q14" s="1496">
        <f t="shared" si="6"/>
        <v>111</v>
      </c>
      <c r="R14" s="709" t="s">
        <v>21</v>
      </c>
      <c r="S14" s="710">
        <f t="shared" si="0"/>
        <v>100</v>
      </c>
      <c r="T14" s="709" t="s">
        <v>21</v>
      </c>
      <c r="U14" s="710">
        <f t="shared" si="1"/>
        <v>100</v>
      </c>
      <c r="V14" s="709" t="s">
        <v>21</v>
      </c>
      <c r="W14" s="710">
        <f t="shared" si="2"/>
        <v>100</v>
      </c>
      <c r="X14" s="711"/>
      <c r="Y14" s="3487"/>
      <c r="Z14" s="54">
        <f t="shared" si="7"/>
        <v>111</v>
      </c>
      <c r="AA14" s="712">
        <f t="shared" si="3"/>
        <v>1</v>
      </c>
      <c r="AB14" s="712">
        <f t="shared" si="4"/>
        <v>1</v>
      </c>
      <c r="AC14" s="712">
        <f t="shared" si="5"/>
        <v>1</v>
      </c>
    </row>
    <row r="15" spans="1:29" ht="96.6">
      <c r="A15" s="398" t="s">
        <v>2317</v>
      </c>
      <c r="B15" s="64" t="s">
        <v>1880</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591" t="s">
        <v>2318</v>
      </c>
      <c r="Q15" s="1505" t="str">
        <f t="shared" si="6"/>
        <v>居住社区成熟度</v>
      </c>
      <c r="R15" s="713" t="s">
        <v>21</v>
      </c>
      <c r="S15" s="714">
        <f t="shared" si="0"/>
        <v>100</v>
      </c>
      <c r="T15" s="713" t="s">
        <v>21</v>
      </c>
      <c r="U15" s="714">
        <f t="shared" si="1"/>
        <v>100</v>
      </c>
      <c r="V15" s="713" t="s">
        <v>21</v>
      </c>
      <c r="W15" s="714">
        <f t="shared" si="2"/>
        <v>100</v>
      </c>
      <c r="X15" s="1508"/>
      <c r="Y15" s="3584" t="s">
        <v>2318</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8"/>
      <c r="M16" s="2912"/>
      <c r="N16" s="2912"/>
      <c r="O16" s="2912"/>
      <c r="P16" s="3592"/>
      <c r="Q16" s="1505"/>
      <c r="R16" s="713"/>
      <c r="S16" s="714"/>
      <c r="T16" s="713"/>
      <c r="U16" s="714"/>
      <c r="V16" s="713"/>
      <c r="W16" s="714"/>
      <c r="X16" s="1508"/>
      <c r="Y16" s="3585"/>
      <c r="Z16" s="1509"/>
      <c r="AA16" s="1506">
        <v>1</v>
      </c>
      <c r="AB16" s="1506">
        <v>1</v>
      </c>
      <c r="AC16" s="1506">
        <v>1</v>
      </c>
    </row>
    <row r="17" spans="1:29" ht="15">
      <c r="A17" s="386"/>
      <c r="B17" s="409" t="s">
        <v>1882</v>
      </c>
      <c r="C17" s="2055"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592"/>
      <c r="Q17" s="1505" t="str">
        <f>B17</f>
        <v>交通便捷度</v>
      </c>
      <c r="R17" s="713" t="s">
        <v>21</v>
      </c>
      <c r="S17" s="714">
        <f>F17</f>
        <v>100</v>
      </c>
      <c r="T17" s="713" t="s">
        <v>21</v>
      </c>
      <c r="U17" s="714">
        <f>H17</f>
        <v>100</v>
      </c>
      <c r="V17" s="713" t="s">
        <v>21</v>
      </c>
      <c r="W17" s="714">
        <f>J17</f>
        <v>100</v>
      </c>
      <c r="X17" s="1508"/>
      <c r="Y17" s="3585"/>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8"/>
      <c r="M18" s="2912"/>
      <c r="N18" s="2912"/>
      <c r="O18" s="2912"/>
      <c r="P18" s="3592"/>
      <c r="Q18" s="1505"/>
      <c r="R18" s="713"/>
      <c r="S18" s="714"/>
      <c r="T18" s="713"/>
      <c r="U18" s="714"/>
      <c r="V18" s="713"/>
      <c r="W18" s="714"/>
      <c r="X18" s="1508"/>
      <c r="Y18" s="3585"/>
      <c r="Z18" s="1509"/>
      <c r="AA18" s="1506">
        <v>1</v>
      </c>
      <c r="AB18" s="1506">
        <v>1</v>
      </c>
      <c r="AC18" s="1506">
        <v>1</v>
      </c>
    </row>
    <row r="19" spans="1:29" ht="15">
      <c r="A19" s="386"/>
      <c r="B19" s="409" t="s">
        <v>1881</v>
      </c>
      <c r="C19" s="2055"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592"/>
      <c r="Q19" s="1505" t="str">
        <f>B19</f>
        <v>公共配套设施</v>
      </c>
      <c r="R19" s="713" t="s">
        <v>21</v>
      </c>
      <c r="S19" s="714">
        <f>F19</f>
        <v>100</v>
      </c>
      <c r="T19" s="713" t="s">
        <v>21</v>
      </c>
      <c r="U19" s="714">
        <f>H19</f>
        <v>100</v>
      </c>
      <c r="V19" s="713" t="s">
        <v>21</v>
      </c>
      <c r="W19" s="714">
        <f>J19</f>
        <v>100</v>
      </c>
      <c r="X19" s="1508"/>
      <c r="Y19" s="3585"/>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8"/>
      <c r="M20" s="2912"/>
      <c r="N20" s="2912"/>
      <c r="O20" s="2912"/>
      <c r="P20" s="3592"/>
      <c r="Q20" s="1505"/>
      <c r="R20" s="713"/>
      <c r="S20" s="714"/>
      <c r="T20" s="713"/>
      <c r="U20" s="714"/>
      <c r="V20" s="713"/>
      <c r="W20" s="714"/>
      <c r="X20" s="1508"/>
      <c r="Y20" s="3585"/>
      <c r="Z20" s="1509"/>
      <c r="AA20" s="1506">
        <v>1</v>
      </c>
      <c r="AB20" s="1506">
        <v>1</v>
      </c>
      <c r="AC20" s="1506">
        <v>1</v>
      </c>
    </row>
    <row r="21" spans="1:29" ht="15">
      <c r="A21" s="386"/>
      <c r="B21" s="1264" t="s">
        <v>1883</v>
      </c>
      <c r="C21" s="205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592"/>
      <c r="Q21" s="1505" t="str">
        <f>B21</f>
        <v>基础设施水平</v>
      </c>
      <c r="R21" s="713" t="s">
        <v>17</v>
      </c>
      <c r="S21" s="714">
        <f>F21</f>
        <v>100</v>
      </c>
      <c r="T21" s="713" t="s">
        <v>17</v>
      </c>
      <c r="U21" s="714">
        <f>H21</f>
        <v>100</v>
      </c>
      <c r="V21" s="713" t="s">
        <v>17</v>
      </c>
      <c r="W21" s="714">
        <f>J21</f>
        <v>100</v>
      </c>
      <c r="X21" s="1508"/>
      <c r="Y21" s="35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8"/>
      <c r="M22" s="2912"/>
      <c r="N22" s="2912"/>
      <c r="O22" s="2912"/>
      <c r="P22" s="3592"/>
      <c r="Q22" s="1505"/>
      <c r="R22" s="713"/>
      <c r="S22" s="714"/>
      <c r="T22" s="713"/>
      <c r="U22" s="714"/>
      <c r="V22" s="713"/>
      <c r="W22" s="714"/>
      <c r="X22" s="1508"/>
      <c r="Y22" s="3585"/>
      <c r="Z22" s="1509"/>
      <c r="AA22" s="1506">
        <v>1</v>
      </c>
      <c r="AB22" s="1506">
        <v>1</v>
      </c>
      <c r="AC22" s="1506">
        <v>1</v>
      </c>
    </row>
    <row r="23" spans="1:29" ht="15">
      <c r="A23" s="386"/>
      <c r="B23" s="409" t="s">
        <v>1884</v>
      </c>
      <c r="C23" s="2055"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592"/>
      <c r="Q23" s="1505" t="str">
        <f>B23</f>
        <v>自然及人文环境</v>
      </c>
      <c r="R23" s="713" t="s">
        <v>21</v>
      </c>
      <c r="S23" s="714">
        <f>F23</f>
        <v>100</v>
      </c>
      <c r="T23" s="713" t="s">
        <v>21</v>
      </c>
      <c r="U23" s="714">
        <f>H23</f>
        <v>100</v>
      </c>
      <c r="V23" s="713" t="s">
        <v>21</v>
      </c>
      <c r="W23" s="714">
        <f>J23</f>
        <v>100</v>
      </c>
      <c r="X23" s="1508"/>
      <c r="Y23" s="3585"/>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8"/>
      <c r="M24" s="2912"/>
      <c r="N24" s="2912"/>
      <c r="O24" s="2912"/>
      <c r="P24" s="3592"/>
      <c r="Q24" s="1505"/>
      <c r="R24" s="713"/>
      <c r="S24" s="714"/>
      <c r="T24" s="713"/>
      <c r="U24" s="714"/>
      <c r="V24" s="713"/>
      <c r="W24" s="714"/>
      <c r="X24" s="1508"/>
      <c r="Y24" s="3585"/>
      <c r="Z24" s="1509"/>
      <c r="AA24" s="1506">
        <v>1</v>
      </c>
      <c r="AB24" s="1506">
        <v>1</v>
      </c>
      <c r="AC24" s="1506">
        <v>1</v>
      </c>
    </row>
    <row r="25" spans="1:29" ht="15">
      <c r="A25" s="386"/>
      <c r="B25" s="380" t="s">
        <v>2319</v>
      </c>
      <c r="C25" s="418"/>
      <c r="D25" s="393">
        <v>100</v>
      </c>
      <c r="E25" s="2061"/>
      <c r="F25" s="393">
        <f>SUMIF(86:86,E25,87:87)-SUMIF(86:86,C25,87:87)+100</f>
        <v>100</v>
      </c>
      <c r="G25" s="2062"/>
      <c r="H25" s="393">
        <f>SUMIF(86:86,G25,87:87)-SUMIF(86:86,C25,87:87)+100</f>
        <v>100</v>
      </c>
      <c r="I25" s="2062"/>
      <c r="J25" s="393">
        <f>SUMIF(86:86,I25,87:87)-SUMIF(86:86,C25,87:87)+100</f>
        <v>100</v>
      </c>
      <c r="K25" s="384"/>
      <c r="L25" s="2918"/>
      <c r="M25" s="2912"/>
      <c r="N25" s="2912"/>
      <c r="O25" s="2912"/>
      <c r="P25" s="3592"/>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585"/>
      <c r="Z25" s="1509" t="str">
        <f>Q25</f>
        <v>楼层-1</v>
      </c>
      <c r="AA25" s="1506">
        <f t="shared" ref="AA25:AA46" si="15">D25/F25</f>
        <v>1</v>
      </c>
      <c r="AB25" s="1506">
        <f t="shared" ref="AB25:AB46" si="16">D25/H25</f>
        <v>1</v>
      </c>
      <c r="AC25" s="1506">
        <f t="shared" ref="AC25:AC46" si="17">D25/J25</f>
        <v>1</v>
      </c>
    </row>
    <row r="26" spans="1:29" ht="15">
      <c r="A26" s="386"/>
      <c r="B26" s="380" t="s">
        <v>2320</v>
      </c>
      <c r="C26" s="418"/>
      <c r="D26" s="393">
        <v>100</v>
      </c>
      <c r="E26" s="2061"/>
      <c r="F26" s="393">
        <f>SUMIF(88:88,E26,89:89)-SUMIF(88:88,C26,89:89)+100</f>
        <v>100</v>
      </c>
      <c r="G26" s="2062"/>
      <c r="H26" s="393">
        <f>SUMIF(88:88,G26,89:89)-SUMIF(88:88,C26,89:89)+100</f>
        <v>100</v>
      </c>
      <c r="I26" s="2062"/>
      <c r="J26" s="393">
        <f>SUMIF(88:88,I26,89:89)-SUMIF(88:88,C26,89:89)+100</f>
        <v>100</v>
      </c>
      <c r="K26" s="384"/>
      <c r="L26" s="2918"/>
      <c r="M26" s="2912"/>
      <c r="N26" s="2912"/>
      <c r="O26" s="2912"/>
      <c r="P26" s="3592"/>
      <c r="Q26" s="1505" t="str">
        <f t="shared" si="11"/>
        <v>朝向</v>
      </c>
      <c r="R26" s="713" t="s">
        <v>21</v>
      </c>
      <c r="S26" s="714">
        <f t="shared" si="12"/>
        <v>100</v>
      </c>
      <c r="T26" s="713" t="s">
        <v>21</v>
      </c>
      <c r="U26" s="714">
        <f t="shared" si="13"/>
        <v>100</v>
      </c>
      <c r="V26" s="713" t="s">
        <v>21</v>
      </c>
      <c r="W26" s="714">
        <f t="shared" si="14"/>
        <v>100</v>
      </c>
      <c r="X26" s="1508"/>
      <c r="Y26" s="3585"/>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3"/>
      <c r="M27" s="2914"/>
      <c r="N27" s="2914"/>
      <c r="O27" s="2914"/>
      <c r="P27" s="3592"/>
      <c r="Q27" s="1496">
        <f t="shared" si="11"/>
        <v>111</v>
      </c>
      <c r="R27" s="709" t="s">
        <v>21</v>
      </c>
      <c r="S27" s="710">
        <f t="shared" si="12"/>
        <v>100</v>
      </c>
      <c r="T27" s="709" t="s">
        <v>21</v>
      </c>
      <c r="U27" s="710">
        <f t="shared" si="13"/>
        <v>100</v>
      </c>
      <c r="V27" s="709" t="s">
        <v>21</v>
      </c>
      <c r="W27" s="710">
        <f t="shared" si="14"/>
        <v>100</v>
      </c>
      <c r="X27" s="711"/>
      <c r="Y27" s="3585"/>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8"/>
      <c r="M28" s="2912"/>
      <c r="N28" s="2912"/>
      <c r="O28" s="2912"/>
      <c r="P28" s="3592"/>
      <c r="Q28" s="1505">
        <f t="shared" si="11"/>
        <v>111</v>
      </c>
      <c r="R28" s="713" t="s">
        <v>21</v>
      </c>
      <c r="S28" s="714">
        <f t="shared" si="12"/>
        <v>100</v>
      </c>
      <c r="T28" s="713" t="s">
        <v>21</v>
      </c>
      <c r="U28" s="714">
        <f t="shared" si="13"/>
        <v>100</v>
      </c>
      <c r="V28" s="713" t="s">
        <v>21</v>
      </c>
      <c r="W28" s="714">
        <f t="shared" si="14"/>
        <v>100</v>
      </c>
      <c r="X28" s="1508"/>
      <c r="Y28" s="3585"/>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8"/>
      <c r="M29" s="2912"/>
      <c r="N29" s="2912"/>
      <c r="O29" s="2912"/>
      <c r="P29" s="3592"/>
      <c r="Q29" s="1505">
        <f t="shared" si="11"/>
        <v>111</v>
      </c>
      <c r="R29" s="713" t="s">
        <v>21</v>
      </c>
      <c r="S29" s="714">
        <f t="shared" si="12"/>
        <v>100</v>
      </c>
      <c r="T29" s="713" t="s">
        <v>21</v>
      </c>
      <c r="U29" s="714">
        <f t="shared" si="13"/>
        <v>100</v>
      </c>
      <c r="V29" s="713" t="s">
        <v>21</v>
      </c>
      <c r="W29" s="714">
        <f t="shared" si="14"/>
        <v>100</v>
      </c>
      <c r="X29" s="1508"/>
      <c r="Y29" s="3585"/>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8"/>
      <c r="M30" s="2912"/>
      <c r="N30" s="2912"/>
      <c r="O30" s="2912"/>
      <c r="P30" s="3592"/>
      <c r="Q30" s="1505">
        <f t="shared" si="11"/>
        <v>111</v>
      </c>
      <c r="R30" s="713" t="s">
        <v>21</v>
      </c>
      <c r="S30" s="714">
        <f t="shared" si="12"/>
        <v>100</v>
      </c>
      <c r="T30" s="713" t="s">
        <v>21</v>
      </c>
      <c r="U30" s="714">
        <f t="shared" si="13"/>
        <v>100</v>
      </c>
      <c r="V30" s="713" t="s">
        <v>21</v>
      </c>
      <c r="W30" s="714">
        <f t="shared" si="14"/>
        <v>100</v>
      </c>
      <c r="X30" s="1508"/>
      <c r="Y30" s="3585"/>
      <c r="Z30" s="1509">
        <f t="shared" si="18"/>
        <v>111</v>
      </c>
      <c r="AA30" s="1506">
        <f t="shared" si="15"/>
        <v>1</v>
      </c>
      <c r="AB30" s="1506">
        <f t="shared" si="16"/>
        <v>1</v>
      </c>
      <c r="AC30" s="1506">
        <f t="shared" si="17"/>
        <v>1</v>
      </c>
    </row>
    <row r="31" spans="1:29" ht="15.6"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8"/>
      <c r="M31" s="2912"/>
      <c r="N31" s="2912"/>
      <c r="O31" s="2912"/>
      <c r="P31" s="3592"/>
      <c r="Q31" s="1505">
        <f t="shared" si="11"/>
        <v>111</v>
      </c>
      <c r="R31" s="713" t="s">
        <v>21</v>
      </c>
      <c r="S31" s="714">
        <f t="shared" si="12"/>
        <v>100</v>
      </c>
      <c r="T31" s="713" t="s">
        <v>21</v>
      </c>
      <c r="U31" s="714">
        <f t="shared" si="13"/>
        <v>100</v>
      </c>
      <c r="V31" s="713" t="s">
        <v>21</v>
      </c>
      <c r="W31" s="714">
        <f t="shared" si="14"/>
        <v>100</v>
      </c>
      <c r="X31" s="1508"/>
      <c r="Y31" s="3585"/>
      <c r="Z31" s="1509">
        <f t="shared" si="18"/>
        <v>111</v>
      </c>
      <c r="AA31" s="1506">
        <f t="shared" si="15"/>
        <v>1</v>
      </c>
      <c r="AB31" s="1506">
        <f t="shared" si="16"/>
        <v>1</v>
      </c>
      <c r="AC31" s="1506">
        <f t="shared" si="17"/>
        <v>1</v>
      </c>
    </row>
    <row r="32" spans="1:29" ht="15">
      <c r="A32" s="398" t="s">
        <v>2321</v>
      </c>
      <c r="B32" s="66" t="s">
        <v>2322</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8"/>
      <c r="M32" s="2912"/>
      <c r="N32" s="2912"/>
      <c r="O32" s="2912"/>
      <c r="P32" s="3586" t="s">
        <v>2323</v>
      </c>
      <c r="Q32" s="1505" t="str">
        <f t="shared" si="11"/>
        <v>建筑类型</v>
      </c>
      <c r="R32" s="713" t="s">
        <v>21</v>
      </c>
      <c r="S32" s="714">
        <f t="shared" si="12"/>
        <v>100</v>
      </c>
      <c r="T32" s="713" t="s">
        <v>21</v>
      </c>
      <c r="U32" s="714">
        <f t="shared" si="13"/>
        <v>100</v>
      </c>
      <c r="V32" s="713" t="s">
        <v>21</v>
      </c>
      <c r="W32" s="714">
        <f t="shared" si="14"/>
        <v>100</v>
      </c>
      <c r="X32" s="1508"/>
      <c r="Y32" s="3589" t="s">
        <v>2323</v>
      </c>
      <c r="Z32" s="1509" t="str">
        <f t="shared" si="18"/>
        <v>建筑类型</v>
      </c>
      <c r="AA32" s="1506">
        <f t="shared" si="15"/>
        <v>1</v>
      </c>
      <c r="AB32" s="1506">
        <f t="shared" si="16"/>
        <v>1</v>
      </c>
      <c r="AC32" s="1506">
        <f t="shared" si="17"/>
        <v>1</v>
      </c>
    </row>
    <row r="33" spans="1:29" s="429" customFormat="1" ht="15">
      <c r="A33" s="426"/>
      <c r="B33" s="380" t="s">
        <v>2324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17"/>
      <c r="M33" s="2919"/>
      <c r="N33" s="2919"/>
      <c r="O33" s="2919"/>
      <c r="P33" s="3587"/>
      <c r="Q33" s="715" t="str">
        <f t="shared" si="11"/>
        <v>项目建筑规模</v>
      </c>
      <c r="R33" s="716" t="s">
        <v>21</v>
      </c>
      <c r="S33" s="717" t="e">
        <f t="shared" si="12"/>
        <v>#N/A</v>
      </c>
      <c r="T33" s="716" t="s">
        <v>21</v>
      </c>
      <c r="U33" s="717" t="e">
        <f t="shared" si="13"/>
        <v>#N/A</v>
      </c>
      <c r="V33" s="716" t="s">
        <v>21</v>
      </c>
      <c r="W33" s="717" t="e">
        <f t="shared" si="14"/>
        <v>#N/A</v>
      </c>
      <c r="X33" s="718"/>
      <c r="Y33" s="3589"/>
      <c r="Z33" s="719" t="str">
        <f t="shared" si="18"/>
        <v>项目建筑规模</v>
      </c>
      <c r="AA33" s="1506" t="e">
        <f t="shared" si="15"/>
        <v>#N/A</v>
      </c>
      <c r="AB33" s="1506" t="e">
        <f t="shared" si="16"/>
        <v>#N/A</v>
      </c>
      <c r="AC33" s="1506" t="e">
        <f t="shared" si="17"/>
        <v>#N/A</v>
      </c>
    </row>
    <row r="34" spans="1:29" ht="15">
      <c r="A34" s="430"/>
      <c r="B34" s="380" t="s">
        <v>2325</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8"/>
      <c r="M34" s="2912"/>
      <c r="N34" s="2912"/>
      <c r="O34" s="2912"/>
      <c r="P34" s="3587"/>
      <c r="Q34" s="1505" t="str">
        <f t="shared" si="11"/>
        <v>建筑结构</v>
      </c>
      <c r="R34" s="713" t="s">
        <v>21</v>
      </c>
      <c r="S34" s="714">
        <f t="shared" si="12"/>
        <v>100</v>
      </c>
      <c r="T34" s="713" t="s">
        <v>21</v>
      </c>
      <c r="U34" s="714">
        <f t="shared" si="13"/>
        <v>100</v>
      </c>
      <c r="V34" s="713" t="s">
        <v>21</v>
      </c>
      <c r="W34" s="714">
        <f t="shared" si="14"/>
        <v>100</v>
      </c>
      <c r="X34" s="1508"/>
      <c r="Y34" s="3589"/>
      <c r="Z34" s="1509" t="str">
        <f t="shared" si="18"/>
        <v>建筑结构</v>
      </c>
      <c r="AA34" s="1506">
        <f t="shared" si="15"/>
        <v>1</v>
      </c>
      <c r="AB34" s="1506">
        <f t="shared" si="16"/>
        <v>1</v>
      </c>
      <c r="AC34" s="1506">
        <f t="shared" si="17"/>
        <v>1</v>
      </c>
    </row>
    <row r="35" spans="1:29" ht="15">
      <c r="A35" s="430"/>
      <c r="B35" s="380" t="s">
        <v>2326</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8"/>
      <c r="M35" s="2912"/>
      <c r="N35" s="2912"/>
      <c r="O35" s="2912"/>
      <c r="P35" s="3587"/>
      <c r="Q35" s="1505" t="str">
        <f t="shared" si="11"/>
        <v>建筑品质</v>
      </c>
      <c r="R35" s="713" t="s">
        <v>21</v>
      </c>
      <c r="S35" s="714">
        <f t="shared" si="12"/>
        <v>100</v>
      </c>
      <c r="T35" s="713" t="s">
        <v>21</v>
      </c>
      <c r="U35" s="714">
        <f t="shared" si="13"/>
        <v>100</v>
      </c>
      <c r="V35" s="713" t="s">
        <v>21</v>
      </c>
      <c r="W35" s="714">
        <f t="shared" si="14"/>
        <v>100</v>
      </c>
      <c r="X35" s="1508"/>
      <c r="Y35" s="3589"/>
      <c r="Z35" s="1509" t="str">
        <f t="shared" si="18"/>
        <v>建筑品质</v>
      </c>
      <c r="AA35" s="1506">
        <f t="shared" si="15"/>
        <v>1</v>
      </c>
      <c r="AB35" s="1506">
        <f t="shared" si="16"/>
        <v>1</v>
      </c>
      <c r="AC35" s="1506">
        <f t="shared" si="17"/>
        <v>1</v>
      </c>
    </row>
    <row r="36" spans="1:29" ht="15">
      <c r="A36" s="430"/>
      <c r="B36" s="380" t="s">
        <v>2327</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8"/>
      <c r="M36" s="2912"/>
      <c r="N36" s="2912"/>
      <c r="O36" s="2912"/>
      <c r="P36" s="3587"/>
      <c r="Q36" s="1505" t="str">
        <f t="shared" si="11"/>
        <v>公共部分装修</v>
      </c>
      <c r="R36" s="713" t="s">
        <v>21</v>
      </c>
      <c r="S36" s="714">
        <f t="shared" si="12"/>
        <v>100</v>
      </c>
      <c r="T36" s="713" t="s">
        <v>21</v>
      </c>
      <c r="U36" s="714">
        <f t="shared" si="13"/>
        <v>100</v>
      </c>
      <c r="V36" s="713" t="s">
        <v>21</v>
      </c>
      <c r="W36" s="714">
        <f t="shared" si="14"/>
        <v>100</v>
      </c>
      <c r="X36" s="1508"/>
      <c r="Y36" s="3589"/>
      <c r="Z36" s="1509" t="str">
        <f t="shared" si="18"/>
        <v>公共部分装修</v>
      </c>
      <c r="AA36" s="1506">
        <f t="shared" si="15"/>
        <v>1</v>
      </c>
      <c r="AB36" s="1506">
        <f t="shared" si="16"/>
        <v>1</v>
      </c>
      <c r="AC36" s="1506">
        <f t="shared" si="17"/>
        <v>1</v>
      </c>
    </row>
    <row r="37" spans="1:29" s="112" customFormat="1" ht="15">
      <c r="A37" s="431"/>
      <c r="B37" s="380" t="s">
        <v>2328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587"/>
      <c r="Q37" s="1496" t="str">
        <f t="shared" si="11"/>
        <v>成新度</v>
      </c>
      <c r="R37" s="709" t="s">
        <v>21</v>
      </c>
      <c r="S37" s="710" t="e">
        <f t="shared" si="12"/>
        <v>#N/A</v>
      </c>
      <c r="T37" s="709" t="s">
        <v>21</v>
      </c>
      <c r="U37" s="710" t="e">
        <f t="shared" si="13"/>
        <v>#N/A</v>
      </c>
      <c r="V37" s="709" t="s">
        <v>21</v>
      </c>
      <c r="W37" s="710" t="e">
        <f t="shared" si="14"/>
        <v>#N/A</v>
      </c>
      <c r="X37" s="711"/>
      <c r="Y37" s="3589"/>
      <c r="Z37" s="54" t="str">
        <f t="shared" si="18"/>
        <v>成新度</v>
      </c>
      <c r="AA37" s="712" t="e">
        <f t="shared" si="15"/>
        <v>#N/A</v>
      </c>
      <c r="AB37" s="712" t="e">
        <f t="shared" si="16"/>
        <v>#N/A</v>
      </c>
      <c r="AC37" s="712" t="e">
        <f t="shared" si="17"/>
        <v>#N/A</v>
      </c>
    </row>
    <row r="38" spans="1:29" ht="15">
      <c r="A38" s="430"/>
      <c r="B38" s="380" t="s">
        <v>2329</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8"/>
      <c r="M38" s="2912"/>
      <c r="N38" s="2912"/>
      <c r="O38" s="2912"/>
      <c r="P38" s="3587" t="s">
        <v>2323</v>
      </c>
      <c r="Q38" s="1505" t="str">
        <f t="shared" si="11"/>
        <v>物业管理</v>
      </c>
      <c r="R38" s="713" t="s">
        <v>21</v>
      </c>
      <c r="S38" s="714">
        <f t="shared" si="12"/>
        <v>100</v>
      </c>
      <c r="T38" s="713" t="s">
        <v>21</v>
      </c>
      <c r="U38" s="714">
        <f t="shared" si="13"/>
        <v>100</v>
      </c>
      <c r="V38" s="713" t="s">
        <v>21</v>
      </c>
      <c r="W38" s="714">
        <f t="shared" si="14"/>
        <v>100</v>
      </c>
      <c r="X38" s="1508"/>
      <c r="Y38" s="3589" t="s">
        <v>2323</v>
      </c>
      <c r="Z38" s="1509" t="str">
        <f t="shared" si="18"/>
        <v>物业管理</v>
      </c>
      <c r="AA38" s="1506">
        <f t="shared" si="15"/>
        <v>1</v>
      </c>
      <c r="AB38" s="1506">
        <f t="shared" si="16"/>
        <v>1</v>
      </c>
      <c r="AC38" s="1506">
        <f t="shared" si="17"/>
        <v>1</v>
      </c>
    </row>
    <row r="39" spans="1:29" ht="15">
      <c r="A39" s="430"/>
      <c r="B39" s="380" t="s">
        <v>2330</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8"/>
      <c r="M39" s="2912"/>
      <c r="N39" s="2912"/>
      <c r="O39" s="2912"/>
      <c r="P39" s="3587"/>
      <c r="Q39" s="1505" t="str">
        <f t="shared" si="11"/>
        <v>市政基础设施</v>
      </c>
      <c r="R39" s="713" t="s">
        <v>21</v>
      </c>
      <c r="S39" s="714">
        <f t="shared" si="12"/>
        <v>100</v>
      </c>
      <c r="T39" s="713" t="s">
        <v>21</v>
      </c>
      <c r="U39" s="714">
        <f t="shared" si="13"/>
        <v>100</v>
      </c>
      <c r="V39" s="713" t="s">
        <v>21</v>
      </c>
      <c r="W39" s="714">
        <f t="shared" si="14"/>
        <v>100</v>
      </c>
      <c r="X39" s="1508"/>
      <c r="Y39" s="3589"/>
      <c r="Z39" s="1509" t="str">
        <f t="shared" si="18"/>
        <v>市政基础设施</v>
      </c>
      <c r="AA39" s="1506">
        <f t="shared" si="15"/>
        <v>1</v>
      </c>
      <c r="AB39" s="1506">
        <f t="shared" si="16"/>
        <v>1</v>
      </c>
      <c r="AC39" s="1506">
        <f t="shared" si="17"/>
        <v>1</v>
      </c>
    </row>
    <row r="40" spans="1:29" ht="15">
      <c r="A40" s="430"/>
      <c r="B40" s="380" t="s">
        <v>2331</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8"/>
      <c r="M40" s="2912"/>
      <c r="N40" s="2912"/>
      <c r="O40" s="2912"/>
      <c r="P40" s="3587"/>
      <c r="Q40" s="1505" t="str">
        <f t="shared" si="11"/>
        <v>房型</v>
      </c>
      <c r="R40" s="713" t="s">
        <v>21</v>
      </c>
      <c r="S40" s="714">
        <f t="shared" si="12"/>
        <v>100</v>
      </c>
      <c r="T40" s="713" t="s">
        <v>21</v>
      </c>
      <c r="U40" s="714">
        <f t="shared" si="13"/>
        <v>100</v>
      </c>
      <c r="V40" s="713" t="s">
        <v>21</v>
      </c>
      <c r="W40" s="714">
        <f t="shared" si="14"/>
        <v>100</v>
      </c>
      <c r="X40" s="1508"/>
      <c r="Y40" s="3589"/>
      <c r="Z40" s="1509" t="str">
        <f t="shared" si="18"/>
        <v>房型</v>
      </c>
      <c r="AA40" s="1506">
        <f t="shared" si="15"/>
        <v>1</v>
      </c>
      <c r="AB40" s="1506">
        <f t="shared" si="16"/>
        <v>1</v>
      </c>
      <c r="AC40" s="1506">
        <f t="shared" si="17"/>
        <v>1</v>
      </c>
    </row>
    <row r="41" spans="1:29" s="429" customFormat="1" ht="28.8">
      <c r="A41" s="426"/>
      <c r="B41" s="380" t="s">
        <v>2332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7"/>
      <c r="M41" s="2919"/>
      <c r="N41" s="2919"/>
      <c r="O41" s="2919"/>
      <c r="P41" s="3587"/>
      <c r="Q41" s="715" t="str">
        <f t="shared" si="11"/>
        <v>单套/主力户型建筑面积</v>
      </c>
      <c r="R41" s="716" t="s">
        <v>21</v>
      </c>
      <c r="S41" s="717">
        <f t="shared" si="12"/>
        <v>100</v>
      </c>
      <c r="T41" s="716" t="s">
        <v>21</v>
      </c>
      <c r="U41" s="717">
        <f t="shared" si="13"/>
        <v>100</v>
      </c>
      <c r="V41" s="716" t="s">
        <v>21</v>
      </c>
      <c r="W41" s="717">
        <f t="shared" si="14"/>
        <v>100</v>
      </c>
      <c r="X41" s="718"/>
      <c r="Y41" s="3589"/>
      <c r="Z41" s="719" t="str">
        <f t="shared" si="18"/>
        <v>单套/主力户型建筑面积</v>
      </c>
      <c r="AA41" s="1506">
        <f t="shared" si="15"/>
        <v>1</v>
      </c>
      <c r="AB41" s="1506">
        <f t="shared" si="16"/>
        <v>1</v>
      </c>
      <c r="AC41" s="1506">
        <f t="shared" si="17"/>
        <v>1</v>
      </c>
    </row>
    <row r="42" spans="1:29" ht="15">
      <c r="A42" s="430"/>
      <c r="B42" s="380" t="s">
        <v>2333</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8"/>
      <c r="M42" s="2912"/>
      <c r="N42" s="2912"/>
      <c r="O42" s="2912"/>
      <c r="P42" s="3587"/>
      <c r="Q42" s="1505" t="str">
        <f t="shared" si="11"/>
        <v>内部装修</v>
      </c>
      <c r="R42" s="713" t="s">
        <v>21</v>
      </c>
      <c r="S42" s="714">
        <f t="shared" si="12"/>
        <v>100</v>
      </c>
      <c r="T42" s="713" t="s">
        <v>21</v>
      </c>
      <c r="U42" s="714">
        <f t="shared" si="13"/>
        <v>100</v>
      </c>
      <c r="V42" s="713" t="s">
        <v>21</v>
      </c>
      <c r="W42" s="714">
        <f t="shared" si="14"/>
        <v>100</v>
      </c>
      <c r="X42" s="1508"/>
      <c r="Y42" s="3589"/>
      <c r="Z42" s="1509" t="str">
        <f t="shared" si="18"/>
        <v>内部装修</v>
      </c>
      <c r="AA42" s="1506">
        <f t="shared" si="15"/>
        <v>1</v>
      </c>
      <c r="AB42" s="1506">
        <f t="shared" si="16"/>
        <v>1</v>
      </c>
      <c r="AC42" s="1506">
        <f t="shared" si="17"/>
        <v>1</v>
      </c>
    </row>
    <row r="43" spans="1:29" ht="28.8">
      <c r="A43" s="430"/>
      <c r="B43" s="380" t="s">
        <v>2334</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8"/>
      <c r="M43" s="2912"/>
      <c r="N43" s="2912"/>
      <c r="O43" s="2912"/>
      <c r="P43" s="3587"/>
      <c r="Q43" s="1505" t="str">
        <f t="shared" si="11"/>
        <v>内部装修维护情况</v>
      </c>
      <c r="R43" s="713" t="s">
        <v>21</v>
      </c>
      <c r="S43" s="714">
        <f t="shared" si="12"/>
        <v>100</v>
      </c>
      <c r="T43" s="713" t="s">
        <v>21</v>
      </c>
      <c r="U43" s="714">
        <f t="shared" si="13"/>
        <v>100</v>
      </c>
      <c r="V43" s="713" t="s">
        <v>21</v>
      </c>
      <c r="W43" s="714">
        <f t="shared" si="14"/>
        <v>100</v>
      </c>
      <c r="X43" s="1508"/>
      <c r="Y43" s="3589"/>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13"/>
      <c r="M44" s="2914"/>
      <c r="N44" s="2914"/>
      <c r="O44" s="2914"/>
      <c r="P44" s="3587"/>
      <c r="Q44" s="1496">
        <f t="shared" si="11"/>
        <v>111</v>
      </c>
      <c r="R44" s="709" t="s">
        <v>21</v>
      </c>
      <c r="S44" s="710">
        <f t="shared" si="12"/>
        <v>100</v>
      </c>
      <c r="T44" s="709" t="s">
        <v>21</v>
      </c>
      <c r="U44" s="710">
        <f t="shared" si="13"/>
        <v>100</v>
      </c>
      <c r="V44" s="709" t="s">
        <v>21</v>
      </c>
      <c r="W44" s="710">
        <f t="shared" si="14"/>
        <v>100</v>
      </c>
      <c r="X44" s="711"/>
      <c r="Y44" s="3589"/>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8"/>
      <c r="M45" s="2912"/>
      <c r="N45" s="2912"/>
      <c r="O45" s="2912"/>
      <c r="P45" s="3587"/>
      <c r="Q45" s="1505">
        <f t="shared" si="11"/>
        <v>111</v>
      </c>
      <c r="R45" s="713" t="s">
        <v>21</v>
      </c>
      <c r="S45" s="714">
        <f t="shared" si="12"/>
        <v>100</v>
      </c>
      <c r="T45" s="713" t="s">
        <v>21</v>
      </c>
      <c r="U45" s="714">
        <f t="shared" si="13"/>
        <v>100</v>
      </c>
      <c r="V45" s="713" t="s">
        <v>21</v>
      </c>
      <c r="W45" s="714">
        <f t="shared" si="14"/>
        <v>100</v>
      </c>
      <c r="X45" s="1508"/>
      <c r="Y45" s="3589"/>
      <c r="Z45" s="1509">
        <f t="shared" si="18"/>
        <v>111</v>
      </c>
      <c r="AA45" s="1506">
        <f t="shared" si="15"/>
        <v>1</v>
      </c>
      <c r="AB45" s="1506">
        <f t="shared" si="16"/>
        <v>1</v>
      </c>
      <c r="AC45" s="1506">
        <f t="shared" si="17"/>
        <v>1</v>
      </c>
    </row>
    <row r="46" spans="1:29" ht="15.6"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8"/>
      <c r="M46" s="2912"/>
      <c r="N46" s="2912"/>
      <c r="O46" s="2912"/>
      <c r="P46" s="3588"/>
      <c r="Q46" s="1505">
        <f t="shared" si="11"/>
        <v>111</v>
      </c>
      <c r="R46" s="713" t="s">
        <v>20</v>
      </c>
      <c r="S46" s="714">
        <f t="shared" si="12"/>
        <v>100</v>
      </c>
      <c r="T46" s="713" t="s">
        <v>20</v>
      </c>
      <c r="U46" s="714">
        <f t="shared" si="13"/>
        <v>100</v>
      </c>
      <c r="V46" s="713" t="s">
        <v>20</v>
      </c>
      <c r="W46" s="714">
        <f t="shared" si="14"/>
        <v>100</v>
      </c>
      <c r="X46" s="1508"/>
      <c r="Y46" s="3590"/>
      <c r="Z46" s="1509">
        <f t="shared" si="18"/>
        <v>111</v>
      </c>
      <c r="AA46" s="1506">
        <f t="shared" si="15"/>
        <v>1</v>
      </c>
      <c r="AB46" s="1506">
        <f t="shared" si="16"/>
        <v>1</v>
      </c>
      <c r="AC46" s="1506">
        <f t="shared" si="17"/>
        <v>1</v>
      </c>
    </row>
    <row r="47" spans="1:29" ht="14.4">
      <c r="A47" s="437" t="s">
        <v>2335</v>
      </c>
      <c r="B47" s="438"/>
      <c r="C47" s="1287" t="s">
        <v>19</v>
      </c>
      <c r="D47" s="1288"/>
      <c r="E47" s="1289"/>
      <c r="F47" s="1290"/>
      <c r="G47" s="1291"/>
      <c r="H47" s="1292"/>
      <c r="I47" s="1289"/>
      <c r="J47" s="1292"/>
      <c r="K47" s="2069"/>
      <c r="L47" s="2920"/>
      <c r="M47" s="2921"/>
      <c r="N47" s="2912"/>
      <c r="O47" s="2921"/>
      <c r="P47" s="3582" t="str">
        <f>A47</f>
        <v>成交单价（元/平方米）</v>
      </c>
      <c r="Q47" s="3582"/>
      <c r="R47" s="3583">
        <f>E47</f>
        <v>0</v>
      </c>
      <c r="S47" s="3583"/>
      <c r="T47" s="3583">
        <f>G47</f>
        <v>0</v>
      </c>
      <c r="U47" s="3583"/>
      <c r="V47" s="3583">
        <f>I47</f>
        <v>0</v>
      </c>
      <c r="W47" s="3583"/>
      <c r="X47" s="698"/>
      <c r="Y47" s="720"/>
      <c r="Z47" s="698"/>
      <c r="AA47" s="698"/>
      <c r="AB47" s="698"/>
      <c r="AC47" s="698"/>
    </row>
    <row r="48" spans="1:29" ht="15" thickBot="1">
      <c r="A48" s="444" t="s">
        <v>2336</v>
      </c>
      <c r="B48" s="445"/>
      <c r="C48" s="1293" t="e">
        <f>R49</f>
        <v>#DIV/0!</v>
      </c>
      <c r="D48" s="2507" t="s">
        <v>2816</v>
      </c>
      <c r="E48" s="1294" t="e">
        <f>R48</f>
        <v>#DIV/0!</v>
      </c>
      <c r="F48" s="2508"/>
      <c r="G48" s="1293" t="e">
        <f>T48</f>
        <v>#DIV/0!</v>
      </c>
      <c r="H48" s="2508"/>
      <c r="I48" s="1294" t="e">
        <f>V48</f>
        <v>#DIV/0!</v>
      </c>
      <c r="J48" s="2508"/>
      <c r="K48" s="2509">
        <f>F48+H48+J48</f>
        <v>0</v>
      </c>
      <c r="L48" s="2920"/>
      <c r="M48" s="2921"/>
      <c r="N48" s="2921"/>
      <c r="O48" s="2921"/>
      <c r="P48" s="3582" t="str">
        <f>A48</f>
        <v>比较价值（元/平方米）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698"/>
      <c r="Y48" s="698"/>
      <c r="Z48" s="698"/>
      <c r="AA48" s="698"/>
      <c r="AB48" s="698"/>
      <c r="AC48" s="698"/>
    </row>
    <row r="49" spans="1:29" ht="15" thickBot="1">
      <c r="A49" s="448" t="s">
        <v>2337</v>
      </c>
      <c r="B49" s="449"/>
      <c r="C49" s="1295" t="e">
        <f>R49</f>
        <v>#DIV/0!</v>
      </c>
      <c r="D49" s="1296"/>
      <c r="E49" s="1296"/>
      <c r="F49" s="1296"/>
      <c r="G49" s="1296"/>
      <c r="H49" s="1296"/>
      <c r="I49" s="1296"/>
      <c r="J49" s="1296"/>
      <c r="K49" s="2070"/>
      <c r="L49" s="2920"/>
      <c r="M49" s="2921"/>
      <c r="N49" s="2921"/>
      <c r="O49" s="2921"/>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2339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2"/>
    </row>
    <row r="55" spans="1:29" s="458"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2.2" thickBot="1">
      <c r="A57" s="702" t="s">
        <v>2341</v>
      </c>
      <c r="B57" s="698"/>
      <c r="C57" s="703"/>
      <c r="D57" s="703"/>
      <c r="E57" s="703"/>
      <c r="F57" s="704"/>
      <c r="G57" s="704"/>
      <c r="H57" s="703"/>
      <c r="I57" s="703"/>
      <c r="J57" s="703"/>
      <c r="K57" s="1071"/>
      <c r="L57" s="1072"/>
      <c r="M57" s="1070"/>
      <c r="N57" s="1070"/>
      <c r="O57" s="1070"/>
      <c r="P57" s="2073"/>
      <c r="Q57" s="460"/>
    </row>
    <row r="58" spans="1:29" s="464" customFormat="1" ht="14.4">
      <c r="A58" s="461" t="s">
        <v>2342</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2" customFormat="1">
      <c r="A59" s="465"/>
      <c r="B59" s="2074"/>
      <c r="C59" s="1316">
        <v>100</v>
      </c>
      <c r="D59" s="467"/>
      <c r="E59" s="468"/>
      <c r="F59" s="468"/>
      <c r="G59" s="468"/>
      <c r="H59" s="468"/>
      <c r="I59" s="468"/>
      <c r="J59" s="468"/>
      <c r="K59" s="468"/>
      <c r="L59" s="468"/>
      <c r="M59" s="469"/>
      <c r="N59" s="468"/>
      <c r="O59" s="469"/>
      <c r="P59" s="2075"/>
    </row>
    <row r="60" spans="1:29" s="112" customFormat="1" ht="15" thickBot="1">
      <c r="A60" s="471" t="s">
        <v>2343</v>
      </c>
      <c r="B60" s="472"/>
      <c r="C60" s="473"/>
      <c r="D60" s="474"/>
      <c r="E60" s="474"/>
      <c r="F60" s="474"/>
      <c r="G60" s="474"/>
      <c r="H60" s="474"/>
      <c r="I60" s="474"/>
      <c r="J60" s="474"/>
      <c r="K60" s="474"/>
      <c r="L60" s="474"/>
      <c r="M60" s="475"/>
      <c r="N60" s="474"/>
      <c r="O60" s="475"/>
      <c r="P60" s="2075"/>
      <c r="Q60" s="460"/>
    </row>
    <row r="61" spans="1:29" s="112" customFormat="1" ht="14.4">
      <c r="A61" s="477" t="s">
        <v>2344</v>
      </c>
      <c r="B61" s="466"/>
      <c r="C61" s="478" t="s">
        <v>2345</v>
      </c>
      <c r="D61" s="479"/>
      <c r="E61" s="479"/>
      <c r="F61" s="479"/>
      <c r="G61" s="479"/>
      <c r="H61" s="479"/>
      <c r="I61" s="479"/>
      <c r="J61" s="479"/>
      <c r="K61" s="479"/>
      <c r="L61" s="480"/>
      <c r="M61" s="481"/>
      <c r="N61" s="1062"/>
      <c r="O61" s="1062"/>
      <c r="P61" s="2076"/>
      <c r="Q61" s="460"/>
    </row>
    <row r="62" spans="1:29" s="112" customFormat="1" ht="14.4" thickBot="1">
      <c r="A62" s="477"/>
      <c r="B62" s="466"/>
      <c r="C62" s="467">
        <v>100</v>
      </c>
      <c r="D62" s="468"/>
      <c r="E62" s="468"/>
      <c r="F62" s="468"/>
      <c r="G62" s="468"/>
      <c r="H62" s="468"/>
      <c r="I62" s="468"/>
      <c r="J62" s="468"/>
      <c r="K62" s="468"/>
      <c r="L62" s="468"/>
      <c r="M62" s="470"/>
      <c r="N62" s="1062"/>
      <c r="O62" s="1062"/>
      <c r="P62" s="2075"/>
      <c r="Q62" s="460"/>
    </row>
    <row r="63" spans="1:29" ht="14.4">
      <c r="A63" s="483" t="s">
        <v>2346</v>
      </c>
      <c r="B63" s="484" t="s">
        <v>2312</v>
      </c>
      <c r="C63" s="485">
        <f>C9</f>
        <v>0</v>
      </c>
      <c r="D63" s="486"/>
      <c r="E63" s="486"/>
      <c r="F63" s="486"/>
      <c r="G63" s="486"/>
      <c r="H63" s="486"/>
      <c r="I63" s="486"/>
      <c r="J63" s="486"/>
      <c r="K63" s="487"/>
      <c r="L63" s="488"/>
      <c r="M63" s="489"/>
      <c r="N63" s="1063"/>
      <c r="O63" s="1063"/>
      <c r="P63" s="2077"/>
      <c r="Q63" s="460"/>
    </row>
    <row r="64" spans="1:29" ht="14.4" thickBot="1">
      <c r="A64" s="490"/>
      <c r="B64" s="491"/>
      <c r="C64" s="492">
        <v>100</v>
      </c>
      <c r="D64" s="492"/>
      <c r="E64" s="492"/>
      <c r="F64" s="492"/>
      <c r="G64" s="492"/>
      <c r="H64" s="492"/>
      <c r="I64" s="492"/>
      <c r="J64" s="492"/>
      <c r="K64" s="492"/>
      <c r="L64" s="492"/>
      <c r="M64" s="493"/>
      <c r="N64" s="1064"/>
      <c r="O64" s="1064"/>
      <c r="P64" s="2077"/>
      <c r="Q64" s="460"/>
    </row>
    <row r="65" spans="1:17" ht="29.4" thickTop="1">
      <c r="A65" s="490"/>
      <c r="B65" s="494" t="s">
        <v>2315</v>
      </c>
      <c r="C65" s="495" t="s">
        <v>2347</v>
      </c>
      <c r="D65" s="495" t="s">
        <v>2348</v>
      </c>
      <c r="E65" s="495" t="s">
        <v>2349</v>
      </c>
      <c r="F65" s="495" t="s">
        <v>2350</v>
      </c>
      <c r="G65" s="495" t="s">
        <v>2351</v>
      </c>
      <c r="H65" s="495" t="s">
        <v>2352</v>
      </c>
      <c r="I65" s="495" t="s">
        <v>2353</v>
      </c>
      <c r="J65" s="495"/>
      <c r="K65" s="496"/>
      <c r="L65" s="497"/>
      <c r="M65" s="498"/>
      <c r="N65" s="1063"/>
      <c r="O65" s="1063"/>
      <c r="P65" s="2077"/>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 thickTop="1">
      <c r="A67" s="490"/>
      <c r="B67" s="502" t="s">
        <v>2316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c r="A68" s="490"/>
      <c r="B68" s="504"/>
      <c r="C68" s="505"/>
      <c r="D68" s="505"/>
      <c r="E68" s="505"/>
      <c r="F68" s="505"/>
      <c r="G68" s="505"/>
      <c r="H68" s="505"/>
      <c r="I68" s="505"/>
      <c r="J68" s="505"/>
      <c r="K68" s="506"/>
      <c r="L68" s="507"/>
      <c r="M68" s="508"/>
      <c r="N68" s="1063"/>
      <c r="O68" s="1063"/>
      <c r="P68" s="2077"/>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4.4" thickTop="1">
      <c r="A70" s="509"/>
      <c r="B70" s="494">
        <f>B12</f>
        <v>111</v>
      </c>
      <c r="C70" s="510"/>
      <c r="D70" s="510"/>
      <c r="E70" s="510"/>
      <c r="F70" s="510"/>
      <c r="G70" s="510"/>
      <c r="H70" s="511"/>
      <c r="I70" s="511"/>
      <c r="J70" s="511"/>
      <c r="K70" s="511"/>
      <c r="L70" s="512"/>
      <c r="M70" s="513"/>
      <c r="N70" s="1065"/>
      <c r="O70" s="1065"/>
      <c r="P70" s="2078"/>
      <c r="Q70" s="515"/>
    </row>
    <row r="71" spans="1:17" s="429" customFormat="1" ht="14.4" thickBot="1">
      <c r="A71" s="509"/>
      <c r="B71" s="499"/>
      <c r="C71" s="516"/>
      <c r="D71" s="492"/>
      <c r="E71" s="492"/>
      <c r="F71" s="492"/>
      <c r="G71" s="492"/>
      <c r="H71" s="492"/>
      <c r="I71" s="492"/>
      <c r="J71" s="492"/>
      <c r="K71" s="492"/>
      <c r="L71" s="492"/>
      <c r="M71" s="493"/>
      <c r="N71" s="1064"/>
      <c r="O71" s="1064"/>
      <c r="P71" s="2078"/>
      <c r="Q71" s="515"/>
    </row>
    <row r="72" spans="1:17" s="429" customFormat="1" ht="14.4" thickTop="1">
      <c r="A72" s="509"/>
      <c r="B72" s="494">
        <f>B13</f>
        <v>111</v>
      </c>
      <c r="C72" s="510"/>
      <c r="D72" s="510"/>
      <c r="E72" s="510"/>
      <c r="F72" s="510"/>
      <c r="G72" s="510"/>
      <c r="H72" s="511"/>
      <c r="I72" s="511"/>
      <c r="J72" s="511"/>
      <c r="K72" s="511"/>
      <c r="L72" s="512"/>
      <c r="M72" s="513"/>
      <c r="N72" s="1065"/>
      <c r="O72" s="1065"/>
      <c r="P72" s="2079"/>
      <c r="Q72" s="517"/>
    </row>
    <row r="73" spans="1:17" s="429" customFormat="1" ht="14.4" thickBot="1">
      <c r="A73" s="509"/>
      <c r="B73" s="499"/>
      <c r="C73" s="516"/>
      <c r="D73" s="516"/>
      <c r="E73" s="516"/>
      <c r="F73" s="516"/>
      <c r="G73" s="516"/>
      <c r="H73" s="518"/>
      <c r="I73" s="518"/>
      <c r="J73" s="518"/>
      <c r="K73" s="518"/>
      <c r="L73" s="518"/>
      <c r="M73" s="519"/>
      <c r="N73" s="1065"/>
      <c r="O73" s="1065"/>
      <c r="P73" s="2078"/>
      <c r="Q73" s="515"/>
    </row>
    <row r="74" spans="1:17" s="429" customFormat="1" ht="14.4" thickTop="1">
      <c r="A74" s="509"/>
      <c r="B74" s="502">
        <f>B14</f>
        <v>111</v>
      </c>
      <c r="C74" s="510"/>
      <c r="D74" s="510"/>
      <c r="E74" s="510"/>
      <c r="F74" s="510"/>
      <c r="G74" s="479"/>
      <c r="H74" s="520"/>
      <c r="I74" s="520"/>
      <c r="J74" s="520"/>
      <c r="K74" s="520"/>
      <c r="L74" s="521"/>
      <c r="M74" s="522"/>
      <c r="N74" s="1065"/>
      <c r="O74" s="1065"/>
      <c r="P74" s="2080"/>
      <c r="Q74" s="515"/>
    </row>
    <row r="75" spans="1:17" s="429" customFormat="1" ht="14.4" thickBot="1">
      <c r="A75" s="524"/>
      <c r="B75" s="525"/>
      <c r="C75" s="526"/>
      <c r="D75" s="526"/>
      <c r="E75" s="526"/>
      <c r="F75" s="526"/>
      <c r="G75" s="526"/>
      <c r="H75" s="527"/>
      <c r="I75" s="527"/>
      <c r="J75" s="527"/>
      <c r="K75" s="527"/>
      <c r="L75" s="527"/>
      <c r="M75" s="528"/>
      <c r="N75" s="1065"/>
      <c r="O75" s="1065"/>
      <c r="P75" s="2078"/>
      <c r="Q75" s="515"/>
    </row>
    <row r="76" spans="1:17" ht="14.4">
      <c r="A76" s="483" t="s">
        <v>2317</v>
      </c>
      <c r="B76" s="484" t="s">
        <v>2354</v>
      </c>
      <c r="C76" s="529" t="s">
        <v>2355</v>
      </c>
      <c r="D76" s="529" t="s">
        <v>2356</v>
      </c>
      <c r="E76" s="529" t="s">
        <v>2357</v>
      </c>
      <c r="F76" s="529" t="s">
        <v>2358</v>
      </c>
      <c r="G76" s="529" t="s">
        <v>2359</v>
      </c>
      <c r="H76" s="485"/>
      <c r="I76" s="485"/>
      <c r="J76" s="485"/>
      <c r="K76" s="530"/>
      <c r="L76" s="531"/>
      <c r="M76" s="532"/>
      <c r="N76" s="1063"/>
      <c r="O76" s="1063"/>
      <c r="P76" s="2081"/>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 thickTop="1">
      <c r="A78" s="490"/>
      <c r="B78" s="494" t="s">
        <v>2360</v>
      </c>
      <c r="C78" s="534" t="s">
        <v>2355</v>
      </c>
      <c r="D78" s="534" t="s">
        <v>2356</v>
      </c>
      <c r="E78" s="534" t="s">
        <v>2357</v>
      </c>
      <c r="F78" s="534" t="s">
        <v>2358</v>
      </c>
      <c r="G78" s="534" t="s">
        <v>2359</v>
      </c>
      <c r="H78" s="495"/>
      <c r="I78" s="495"/>
      <c r="J78" s="495"/>
      <c r="K78" s="496"/>
      <c r="L78" s="497"/>
      <c r="M78" s="498"/>
      <c r="N78" s="1063"/>
      <c r="O78" s="1063"/>
      <c r="P78" s="2077"/>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 thickTop="1">
      <c r="A80" s="490"/>
      <c r="B80" s="494" t="s">
        <v>2361</v>
      </c>
      <c r="C80" s="534" t="s">
        <v>2355</v>
      </c>
      <c r="D80" s="534" t="s">
        <v>2356</v>
      </c>
      <c r="E80" s="534" t="s">
        <v>2357</v>
      </c>
      <c r="F80" s="534" t="s">
        <v>2358</v>
      </c>
      <c r="G80" s="534" t="s">
        <v>2359</v>
      </c>
      <c r="H80" s="495"/>
      <c r="I80" s="495"/>
      <c r="J80" s="495"/>
      <c r="K80" s="496"/>
      <c r="L80" s="497"/>
      <c r="M80" s="498"/>
      <c r="N80" s="1063"/>
      <c r="O80" s="1063"/>
      <c r="P80" s="2077"/>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 thickTop="1">
      <c r="A82" s="490"/>
      <c r="B82" s="502" t="s">
        <v>1883</v>
      </c>
      <c r="C82" s="495" t="s">
        <v>2362</v>
      </c>
      <c r="D82" s="495" t="s">
        <v>2363</v>
      </c>
      <c r="E82" s="495" t="s">
        <v>2364</v>
      </c>
      <c r="F82" s="495" t="s">
        <v>2365</v>
      </c>
      <c r="G82" s="495" t="s">
        <v>2366</v>
      </c>
      <c r="H82" s="495"/>
      <c r="I82" s="495"/>
      <c r="J82" s="495"/>
      <c r="K82" s="495"/>
      <c r="L82" s="495"/>
      <c r="M82" s="1262"/>
      <c r="N82" s="1064"/>
      <c r="O82" s="1064"/>
      <c r="P82" s="2077"/>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 thickTop="1">
      <c r="A84" s="490"/>
      <c r="B84" s="494" t="s">
        <v>2367</v>
      </c>
      <c r="C84" s="534" t="s">
        <v>2355</v>
      </c>
      <c r="D84" s="534" t="s">
        <v>2356</v>
      </c>
      <c r="E84" s="534" t="s">
        <v>2357</v>
      </c>
      <c r="F84" s="534" t="s">
        <v>2358</v>
      </c>
      <c r="G84" s="534" t="s">
        <v>2359</v>
      </c>
      <c r="H84" s="495"/>
      <c r="I84" s="495"/>
      <c r="J84" s="495"/>
      <c r="K84" s="496"/>
      <c r="L84" s="497"/>
      <c r="M84" s="498"/>
      <c r="N84" s="1063"/>
      <c r="O84" s="1063"/>
      <c r="P84" s="2077"/>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 thickTop="1">
      <c r="A86" s="535"/>
      <c r="B86" s="494" t="s">
        <v>2368</v>
      </c>
      <c r="C86" s="510"/>
      <c r="D86" s="510"/>
      <c r="E86" s="510"/>
      <c r="F86" s="510"/>
      <c r="G86" s="510"/>
      <c r="H86" s="510"/>
      <c r="I86" s="510"/>
      <c r="J86" s="510"/>
      <c r="K86" s="510"/>
      <c r="L86" s="536"/>
      <c r="M86" s="537"/>
      <c r="N86" s="1062"/>
      <c r="O86" s="1062"/>
      <c r="P86" s="2077"/>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 thickTop="1">
      <c r="A88" s="535"/>
      <c r="B88" s="494" t="s">
        <v>2369</v>
      </c>
      <c r="C88" s="510"/>
      <c r="D88" s="510"/>
      <c r="E88" s="510"/>
      <c r="F88" s="2082"/>
      <c r="G88" s="510"/>
      <c r="H88" s="510"/>
      <c r="I88" s="510"/>
      <c r="J88" s="510"/>
      <c r="K88" s="510"/>
      <c r="L88" s="510"/>
      <c r="M88" s="537"/>
      <c r="N88" s="1062"/>
      <c r="O88" s="1062"/>
      <c r="P88" s="2077"/>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4.4" thickTop="1">
      <c r="A90" s="509"/>
      <c r="B90" s="494">
        <f>B27</f>
        <v>111</v>
      </c>
      <c r="C90" s="510"/>
      <c r="D90" s="510"/>
      <c r="E90" s="510"/>
      <c r="F90" s="510"/>
      <c r="G90" s="510"/>
      <c r="H90" s="511"/>
      <c r="I90" s="511"/>
      <c r="J90" s="511"/>
      <c r="K90" s="511"/>
      <c r="L90" s="512"/>
      <c r="M90" s="513"/>
      <c r="N90" s="1065"/>
      <c r="O90" s="1065"/>
      <c r="P90" s="2078"/>
      <c r="Q90" s="515"/>
    </row>
    <row r="91" spans="1:17" s="429" customFormat="1" ht="14.4" thickBot="1">
      <c r="A91" s="509"/>
      <c r="B91" s="499"/>
      <c r="C91" s="516"/>
      <c r="D91" s="516"/>
      <c r="E91" s="516"/>
      <c r="F91" s="516"/>
      <c r="G91" s="516"/>
      <c r="H91" s="518"/>
      <c r="I91" s="518"/>
      <c r="J91" s="518"/>
      <c r="K91" s="518"/>
      <c r="L91" s="518"/>
      <c r="M91" s="519"/>
      <c r="N91" s="1065"/>
      <c r="O91" s="1065"/>
      <c r="P91" s="2078"/>
      <c r="Q91" s="515"/>
    </row>
    <row r="92" spans="1:17" ht="14.4" thickTop="1">
      <c r="A92" s="490"/>
      <c r="B92" s="494">
        <f>B28</f>
        <v>111</v>
      </c>
      <c r="C92" s="510"/>
      <c r="D92" s="510"/>
      <c r="E92" s="510"/>
      <c r="F92" s="510"/>
      <c r="G92" s="539"/>
      <c r="H92" s="539"/>
      <c r="I92" s="539"/>
      <c r="J92" s="539"/>
      <c r="K92" s="540"/>
      <c r="L92" s="541"/>
      <c r="M92" s="542"/>
      <c r="N92" s="1063"/>
      <c r="O92" s="1063"/>
      <c r="P92" s="2077"/>
      <c r="Q92" s="460"/>
    </row>
    <row r="93" spans="1:17" ht="14.4" thickBot="1">
      <c r="A93" s="490"/>
      <c r="B93" s="499"/>
      <c r="C93" s="516"/>
      <c r="D93" s="492"/>
      <c r="E93" s="492"/>
      <c r="F93" s="492"/>
      <c r="G93" s="492"/>
      <c r="H93" s="492"/>
      <c r="I93" s="492"/>
      <c r="J93" s="492"/>
      <c r="K93" s="492"/>
      <c r="L93" s="492"/>
      <c r="M93" s="493"/>
      <c r="N93" s="1064"/>
      <c r="O93" s="1064"/>
      <c r="P93" s="2077"/>
      <c r="Q93" s="460"/>
    </row>
    <row r="94" spans="1:17" ht="14.4" thickTop="1">
      <c r="A94" s="490"/>
      <c r="B94" s="494">
        <f>B29</f>
        <v>111</v>
      </c>
      <c r="C94" s="510"/>
      <c r="D94" s="510"/>
      <c r="E94" s="510"/>
      <c r="F94" s="510"/>
      <c r="G94" s="539"/>
      <c r="H94" s="539"/>
      <c r="I94" s="539"/>
      <c r="J94" s="539"/>
      <c r="K94" s="540"/>
      <c r="L94" s="541"/>
      <c r="M94" s="542"/>
      <c r="N94" s="1063"/>
      <c r="O94" s="1063"/>
      <c r="P94" s="2077"/>
      <c r="Q94" s="460"/>
    </row>
    <row r="95" spans="1:17" ht="14.4" thickBot="1">
      <c r="A95" s="490"/>
      <c r="B95" s="499"/>
      <c r="C95" s="516"/>
      <c r="D95" s="516"/>
      <c r="E95" s="516"/>
      <c r="F95" s="516"/>
      <c r="G95" s="492"/>
      <c r="H95" s="492"/>
      <c r="I95" s="492"/>
      <c r="J95" s="492"/>
      <c r="K95" s="492"/>
      <c r="L95" s="492"/>
      <c r="M95" s="493"/>
      <c r="N95" s="1064"/>
      <c r="O95" s="1064"/>
      <c r="P95" s="2077"/>
      <c r="Q95" s="460"/>
    </row>
    <row r="96" spans="1:17" ht="14.4" thickTop="1">
      <c r="A96" s="490"/>
      <c r="B96" s="494">
        <f>B30</f>
        <v>111</v>
      </c>
      <c r="C96" s="510"/>
      <c r="D96" s="510"/>
      <c r="E96" s="510"/>
      <c r="F96" s="510"/>
      <c r="G96" s="539"/>
      <c r="H96" s="539"/>
      <c r="I96" s="539"/>
      <c r="J96" s="539"/>
      <c r="K96" s="540"/>
      <c r="L96" s="541"/>
      <c r="M96" s="542"/>
      <c r="N96" s="1063"/>
      <c r="O96" s="1063"/>
      <c r="P96" s="2077"/>
      <c r="Q96" s="460"/>
    </row>
    <row r="97" spans="1:17" ht="14.4" thickBot="1">
      <c r="A97" s="490"/>
      <c r="B97" s="499"/>
      <c r="C97" s="526"/>
      <c r="D97" s="526"/>
      <c r="E97" s="526"/>
      <c r="F97" s="526"/>
      <c r="G97" s="492"/>
      <c r="H97" s="492"/>
      <c r="I97" s="492"/>
      <c r="J97" s="492"/>
      <c r="K97" s="492"/>
      <c r="L97" s="492"/>
      <c r="M97" s="493"/>
      <c r="N97" s="1064"/>
      <c r="O97" s="1064"/>
      <c r="P97" s="2077"/>
      <c r="Q97" s="460"/>
    </row>
    <row r="98" spans="1:17" ht="14.4" thickTop="1">
      <c r="A98" s="490"/>
      <c r="B98" s="502">
        <f>B31</f>
        <v>111</v>
      </c>
      <c r="C98" s="543"/>
      <c r="D98" s="543"/>
      <c r="E98" s="543"/>
      <c r="F98" s="543"/>
      <c r="G98" s="543"/>
      <c r="H98" s="543"/>
      <c r="I98" s="543"/>
      <c r="J98" s="543"/>
      <c r="K98" s="544"/>
      <c r="L98" s="545"/>
      <c r="M98" s="546"/>
      <c r="N98" s="1063"/>
      <c r="O98" s="1063"/>
      <c r="P98" s="2077"/>
      <c r="Q98" s="460"/>
    </row>
    <row r="99" spans="1:17" ht="14.4" thickBot="1">
      <c r="A99" s="2083"/>
      <c r="B99" s="525"/>
      <c r="C99" s="547"/>
      <c r="D99" s="547"/>
      <c r="E99" s="547"/>
      <c r="F99" s="547"/>
      <c r="G99" s="547"/>
      <c r="H99" s="547"/>
      <c r="I99" s="547"/>
      <c r="J99" s="547"/>
      <c r="K99" s="547"/>
      <c r="L99" s="547"/>
      <c r="M99" s="548"/>
      <c r="N99" s="1064"/>
      <c r="O99" s="1064"/>
      <c r="P99" s="2077"/>
      <c r="Q99" s="460"/>
    </row>
    <row r="100" spans="1:17" ht="14.4">
      <c r="A100" s="483" t="s">
        <v>2321</v>
      </c>
      <c r="B100" s="484" t="s">
        <v>2370</v>
      </c>
      <c r="C100" s="486"/>
      <c r="D100" s="486"/>
      <c r="E100" s="486"/>
      <c r="F100" s="486"/>
      <c r="G100" s="486"/>
      <c r="H100" s="486"/>
      <c r="I100" s="486"/>
      <c r="J100" s="486"/>
      <c r="K100" s="487"/>
      <c r="L100" s="488"/>
      <c r="M100" s="489"/>
      <c r="N100" s="1063"/>
      <c r="O100" s="1063"/>
      <c r="P100" s="2077"/>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 thickTop="1">
      <c r="A102" s="490"/>
      <c r="B102" s="494" t="s">
        <v>2371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4.4"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2372</v>
      </c>
      <c r="C105" s="510"/>
      <c r="D105" s="510"/>
      <c r="E105" s="539"/>
      <c r="F105" s="539"/>
      <c r="G105" s="539"/>
      <c r="H105" s="539"/>
      <c r="I105" s="539"/>
      <c r="J105" s="539"/>
      <c r="K105" s="540"/>
      <c r="L105" s="541"/>
      <c r="M105" s="542"/>
      <c r="N105" s="1063"/>
      <c r="O105" s="1063"/>
      <c r="P105" s="2077"/>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2373</v>
      </c>
      <c r="C107" s="539"/>
      <c r="D107" s="539"/>
      <c r="E107" s="539"/>
      <c r="F107" s="539"/>
      <c r="G107" s="539"/>
      <c r="H107" s="539"/>
      <c r="I107" s="539"/>
      <c r="J107" s="539"/>
      <c r="K107" s="540"/>
      <c r="L107" s="541"/>
      <c r="M107" s="542"/>
      <c r="N107" s="1063"/>
      <c r="O107" s="1063"/>
      <c r="P107" s="2077"/>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2374</v>
      </c>
      <c r="C109" s="510"/>
      <c r="D109" s="510"/>
      <c r="E109" s="510"/>
      <c r="F109" s="539"/>
      <c r="G109" s="539"/>
      <c r="H109" s="539"/>
      <c r="I109" s="539"/>
      <c r="J109" s="539"/>
      <c r="K109" s="540"/>
      <c r="L109" s="541"/>
      <c r="M109" s="542"/>
      <c r="N109" s="1063"/>
      <c r="O109" s="1063"/>
      <c r="P109" s="2077"/>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1813</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2375</v>
      </c>
      <c r="C114" s="510"/>
      <c r="D114" s="510"/>
      <c r="E114" s="539"/>
      <c r="F114" s="539"/>
      <c r="G114" s="539"/>
      <c r="H114" s="539"/>
      <c r="I114" s="539"/>
      <c r="J114" s="539"/>
      <c r="K114" s="540"/>
      <c r="L114" s="541"/>
      <c r="M114" s="542"/>
      <c r="N114" s="1063"/>
      <c r="O114" s="1063"/>
      <c r="P114" s="2077"/>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2376</v>
      </c>
      <c r="C116" s="510"/>
      <c r="D116" s="510"/>
      <c r="E116" s="510"/>
      <c r="F116" s="510"/>
      <c r="G116" s="510"/>
      <c r="H116" s="539"/>
      <c r="I116" s="539"/>
      <c r="J116" s="539"/>
      <c r="K116" s="540"/>
      <c r="L116" s="541"/>
      <c r="M116" s="542"/>
      <c r="N116" s="1063"/>
      <c r="O116" s="1063"/>
      <c r="P116" s="2077"/>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2377</v>
      </c>
      <c r="C118" s="539"/>
      <c r="D118" s="539"/>
      <c r="E118" s="539"/>
      <c r="F118" s="539"/>
      <c r="G118" s="539"/>
      <c r="H118" s="539"/>
      <c r="I118" s="539"/>
      <c r="J118" s="539"/>
      <c r="K118" s="540"/>
      <c r="L118" s="541"/>
      <c r="M118" s="542"/>
      <c r="N118" s="1063"/>
      <c r="O118" s="1063"/>
      <c r="P118" s="2077"/>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9.4" thickTop="1">
      <c r="A120" s="549"/>
      <c r="B120" s="494" t="s">
        <v>2332</v>
      </c>
      <c r="C120" s="510"/>
      <c r="D120" s="510"/>
      <c r="E120" s="510"/>
      <c r="F120" s="510"/>
      <c r="G120" s="510"/>
      <c r="H120" s="510"/>
      <c r="I120" s="510"/>
      <c r="J120" s="510"/>
      <c r="K120" s="510"/>
      <c r="L120" s="536"/>
      <c r="M120" s="537"/>
      <c r="N120" s="1065"/>
      <c r="O120" s="1065"/>
      <c r="P120" s="2078"/>
      <c r="Q120" s="515"/>
    </row>
    <row r="121" spans="1:17" s="429" customFormat="1" ht="14.4"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2378</v>
      </c>
      <c r="C122" s="510"/>
      <c r="D122" s="510"/>
      <c r="E122" s="510"/>
      <c r="F122" s="539"/>
      <c r="G122" s="539"/>
      <c r="H122" s="539"/>
      <c r="I122" s="539"/>
      <c r="J122" s="539"/>
      <c r="K122" s="540"/>
      <c r="L122" s="541"/>
      <c r="M122" s="542"/>
      <c r="N122" s="1063"/>
      <c r="O122" s="1063"/>
      <c r="P122" s="2077"/>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29.4" thickTop="1">
      <c r="A124" s="555"/>
      <c r="B124" s="494" t="s">
        <v>2379</v>
      </c>
      <c r="C124" s="534" t="s">
        <v>2355</v>
      </c>
      <c r="D124" s="534" t="s">
        <v>2356</v>
      </c>
      <c r="E124" s="534" t="s">
        <v>2357</v>
      </c>
      <c r="F124" s="534" t="s">
        <v>2358</v>
      </c>
      <c r="G124" s="534" t="s">
        <v>2359</v>
      </c>
      <c r="H124" s="495"/>
      <c r="I124" s="495"/>
      <c r="J124" s="495"/>
      <c r="K124" s="496"/>
      <c r="L124" s="497"/>
      <c r="M124" s="498"/>
      <c r="N124" s="1063"/>
      <c r="O124" s="1063"/>
      <c r="P124" s="2078"/>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4.4"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4.4" thickBot="1">
      <c r="A127" s="509"/>
      <c r="B127" s="499"/>
      <c r="C127" s="516"/>
      <c r="D127" s="492"/>
      <c r="E127" s="492"/>
      <c r="F127" s="492"/>
      <c r="G127" s="516"/>
      <c r="H127" s="518"/>
      <c r="I127" s="518"/>
      <c r="J127" s="518"/>
      <c r="K127" s="518"/>
      <c r="L127" s="518"/>
      <c r="M127" s="519"/>
      <c r="N127" s="1065"/>
      <c r="O127" s="1065"/>
      <c r="P127" s="2078"/>
      <c r="Q127" s="515"/>
    </row>
    <row r="128" spans="1:17" ht="14.4" thickTop="1">
      <c r="A128" s="555"/>
      <c r="B128" s="494">
        <f>B45</f>
        <v>111</v>
      </c>
      <c r="C128" s="510"/>
      <c r="D128" s="510"/>
      <c r="E128" s="510"/>
      <c r="F128" s="510"/>
      <c r="G128" s="539"/>
      <c r="H128" s="539"/>
      <c r="I128" s="539"/>
      <c r="J128" s="539"/>
      <c r="K128" s="540"/>
      <c r="L128" s="541"/>
      <c r="M128" s="542"/>
      <c r="N128" s="1063"/>
      <c r="O128" s="1063"/>
      <c r="P128" s="2077"/>
      <c r="Q128" s="460"/>
    </row>
    <row r="129" spans="1:17" ht="14.4" thickBot="1">
      <c r="A129" s="490"/>
      <c r="B129" s="499"/>
      <c r="C129" s="516"/>
      <c r="D129" s="516"/>
      <c r="E129" s="516"/>
      <c r="F129" s="516"/>
      <c r="G129" s="492"/>
      <c r="H129" s="492"/>
      <c r="I129" s="492"/>
      <c r="J129" s="492"/>
      <c r="K129" s="492"/>
      <c r="L129" s="492"/>
      <c r="M129" s="493"/>
      <c r="N129" s="1064"/>
      <c r="O129" s="1064"/>
      <c r="P129" s="2077"/>
      <c r="Q129" s="460"/>
    </row>
    <row r="130" spans="1:17" ht="14.4" thickTop="1">
      <c r="A130" s="555"/>
      <c r="B130" s="502">
        <f>B46</f>
        <v>111</v>
      </c>
      <c r="C130" s="510"/>
      <c r="D130" s="510"/>
      <c r="E130" s="510"/>
      <c r="F130" s="510"/>
      <c r="G130" s="543"/>
      <c r="H130" s="543"/>
      <c r="I130" s="543"/>
      <c r="J130" s="543"/>
      <c r="K130" s="479"/>
      <c r="L130" s="480"/>
      <c r="M130" s="546"/>
      <c r="N130" s="1063"/>
      <c r="O130" s="1063"/>
      <c r="P130" s="2077"/>
      <c r="Q130" s="460"/>
    </row>
    <row r="131" spans="1:17" ht="14.4"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2380</v>
      </c>
    </row>
    <row r="137" spans="1:17" ht="15">
      <c r="B137" s="2085" t="s">
        <v>2381</v>
      </c>
      <c r="C137" s="2086"/>
      <c r="D137" s="2086"/>
      <c r="E137" s="2086"/>
      <c r="F137" s="2086"/>
      <c r="G137" s="2087"/>
      <c r="H137" s="2088"/>
      <c r="I137" s="2089" t="s">
        <v>2382</v>
      </c>
      <c r="J137" s="2086"/>
      <c r="K137" s="2090"/>
    </row>
    <row r="138" spans="1:17" ht="15">
      <c r="B138" s="2091"/>
      <c r="C138" s="141" t="s">
        <v>2383</v>
      </c>
      <c r="D138" s="141" t="s">
        <v>2384</v>
      </c>
      <c r="E138" s="2092" t="s">
        <v>2385</v>
      </c>
      <c r="F138" s="2093" t="s">
        <v>2386</v>
      </c>
      <c r="G138" s="141" t="s">
        <v>2384</v>
      </c>
      <c r="H138" s="142" t="s">
        <v>2385</v>
      </c>
      <c r="I138" s="2094"/>
      <c r="J138" s="141" t="s">
        <v>2387</v>
      </c>
      <c r="K138" s="142" t="s">
        <v>2388</v>
      </c>
    </row>
    <row r="139" spans="1:17" ht="15">
      <c r="B139" s="997">
        <v>6</v>
      </c>
      <c r="C139" s="998">
        <v>96</v>
      </c>
      <c r="D139" s="2095" t="s">
        <v>2389</v>
      </c>
      <c r="E139" s="999">
        <v>100</v>
      </c>
      <c r="F139" s="1000">
        <v>102.5</v>
      </c>
      <c r="G139" s="2095" t="s">
        <v>2389</v>
      </c>
      <c r="H139" s="1001">
        <v>105</v>
      </c>
      <c r="I139" s="2096" t="s">
        <v>2390</v>
      </c>
      <c r="J139" s="998">
        <v>20</v>
      </c>
      <c r="K139" s="1002">
        <f>C145/(J139-2)</f>
        <v>4.0555555555555553E-3</v>
      </c>
    </row>
    <row r="140" spans="1:17" ht="15">
      <c r="B140" s="1003">
        <v>5</v>
      </c>
      <c r="C140" s="1004">
        <v>100</v>
      </c>
      <c r="D140" s="1004"/>
      <c r="E140" s="1005"/>
      <c r="F140" s="1006">
        <v>102</v>
      </c>
      <c r="G140" s="1004"/>
      <c r="H140" s="1007"/>
      <c r="I140" s="2097" t="s">
        <v>2391</v>
      </c>
      <c r="J140" s="276">
        <f>ROUNDUP((J139-1)/2,0)</f>
        <v>10</v>
      </c>
      <c r="K140" s="1008">
        <v>100</v>
      </c>
    </row>
    <row r="141" spans="1:17" ht="15">
      <c r="B141" s="1003">
        <v>4</v>
      </c>
      <c r="C141" s="1004">
        <v>102</v>
      </c>
      <c r="D141" s="1004"/>
      <c r="E141" s="1005"/>
      <c r="F141" s="1006">
        <v>101.5</v>
      </c>
      <c r="G141" s="1004"/>
      <c r="H141" s="1007"/>
      <c r="I141" s="2097" t="s">
        <v>2392</v>
      </c>
      <c r="J141" s="276">
        <v>1</v>
      </c>
      <c r="K141" s="1009">
        <f>ROUND(100+(J141-J140)*K139*100,1)</f>
        <v>96.4</v>
      </c>
    </row>
    <row r="142" spans="1:17" ht="15">
      <c r="B142" s="1003">
        <v>3</v>
      </c>
      <c r="C142" s="1004">
        <v>103</v>
      </c>
      <c r="D142" s="1004"/>
      <c r="E142" s="1005"/>
      <c r="F142" s="1006">
        <v>101</v>
      </c>
      <c r="G142" s="1004"/>
      <c r="H142" s="1007"/>
      <c r="I142" s="2097" t="s">
        <v>2393</v>
      </c>
      <c r="J142" s="276">
        <f>J139</f>
        <v>20</v>
      </c>
      <c r="K142" s="1010">
        <v>95</v>
      </c>
    </row>
    <row r="143" spans="1:17" ht="15">
      <c r="B143" s="1003">
        <v>2</v>
      </c>
      <c r="C143" s="1004">
        <v>100</v>
      </c>
      <c r="D143" s="1004"/>
      <c r="E143" s="1005"/>
      <c r="F143" s="1006">
        <v>100.5</v>
      </c>
      <c r="G143" s="1004"/>
      <c r="H143" s="1007"/>
      <c r="I143" s="2097" t="s">
        <v>2394</v>
      </c>
      <c r="J143" s="1004">
        <v>15</v>
      </c>
      <c r="K143" s="1009">
        <f>ROUND(100+(J143-J140)*K139*100,1)</f>
        <v>102</v>
      </c>
    </row>
    <row r="144" spans="1:17" ht="15">
      <c r="B144" s="1003">
        <v>1</v>
      </c>
      <c r="C144" s="1004">
        <v>98</v>
      </c>
      <c r="D144" s="2098" t="s">
        <v>2395</v>
      </c>
      <c r="E144" s="1005">
        <v>102</v>
      </c>
      <c r="F144" s="1011">
        <v>100</v>
      </c>
      <c r="G144" s="2098" t="s">
        <v>2395</v>
      </c>
      <c r="H144" s="1007">
        <v>105</v>
      </c>
      <c r="I144" s="2097" t="s">
        <v>2394</v>
      </c>
      <c r="J144" s="1004">
        <v>18</v>
      </c>
      <c r="K144" s="1009">
        <f>ROUND(100+(J144-J140)*K139*100,1)</f>
        <v>103.2</v>
      </c>
    </row>
    <row r="145" spans="2:11" ht="16.2" thickBot="1">
      <c r="B145" s="2099" t="s">
        <v>2396</v>
      </c>
      <c r="C145" s="1012">
        <f>ROUND(MAX(C139:C144)/MIN(C139:C144)-1,3)</f>
        <v>7.2999999999999995E-2</v>
      </c>
      <c r="D145" s="1013"/>
      <c r="E145" s="1013"/>
      <c r="F145" s="2100" t="s">
        <v>2397</v>
      </c>
      <c r="G145" s="2101"/>
      <c r="H145" s="2102"/>
      <c r="I145" s="2103" t="s">
        <v>2394</v>
      </c>
      <c r="J145" s="1014">
        <v>8</v>
      </c>
      <c r="K145" s="1015">
        <f>ROUND(100+(J145-J140)*K139*100,1)</f>
        <v>99.2</v>
      </c>
    </row>
    <row r="147" spans="2:11" ht="14.4">
      <c r="B147" s="2084" t="s">
        <v>2398</v>
      </c>
    </row>
    <row r="148" spans="2:11" ht="14.4">
      <c r="B148" s="2084"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2286</v>
      </c>
      <c r="B1" s="2033" t="s">
        <v>2400</v>
      </c>
      <c r="C1" s="1377" t="s">
        <v>2288</v>
      </c>
      <c r="D1" s="1364"/>
      <c r="E1" s="2512"/>
      <c r="F1" s="2034"/>
      <c r="G1" s="1374" t="s">
        <v>2401</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2085</v>
      </c>
      <c r="B2" s="1297" t="e">
        <f ca="1">IF(C2="——",ROUND(C49*D3/10000,0),ROUND(C49*D3/10000,0)-D2)</f>
        <v>#DIV/0!</v>
      </c>
      <c r="C2" s="2036"/>
      <c r="D2" s="1246" t="e">
        <f ca="1">SUMIF(INDIRECT("'"&amp;F2&amp;"'"&amp;"!A:A"),"承租人权益价值",INDIRECT("'"&amp;F2&amp;"'"&amp;"!c:c"))</f>
        <v>#REF!</v>
      </c>
      <c r="E2" s="2037" t="s">
        <v>2086</v>
      </c>
      <c r="F2" s="2038"/>
      <c r="G2" s="1038"/>
      <c r="H2" s="1038"/>
      <c r="I2" s="1038"/>
      <c r="J2" s="1038"/>
      <c r="K2" s="1038"/>
      <c r="L2" s="2930"/>
      <c r="M2" s="2931"/>
      <c r="N2" s="2931"/>
      <c r="O2" s="2931"/>
      <c r="P2" s="2107"/>
      <c r="Q2" s="1042"/>
      <c r="R2" s="1042"/>
      <c r="S2" s="1042"/>
      <c r="T2" s="1042"/>
      <c r="U2" s="1042"/>
      <c r="V2" s="1042"/>
      <c r="W2" s="1042"/>
      <c r="X2" s="1042"/>
      <c r="Y2" s="1042"/>
      <c r="Z2" s="1042"/>
      <c r="AA2" s="1042"/>
      <c r="AB2" s="1042"/>
      <c r="AC2" s="2108"/>
    </row>
    <row r="3" spans="1:29" s="357" customFormat="1" ht="28.5" customHeight="1" thickBot="1">
      <c r="A3" s="208" t="s">
        <v>2087</v>
      </c>
      <c r="B3" s="565" t="e">
        <f ca="1">IF(C2="——",C49,ROUND(B2*10000/D3,0))</f>
        <v>#DIV/0!</v>
      </c>
      <c r="C3" s="359" t="s">
        <v>2402</v>
      </c>
      <c r="D3" s="358">
        <f>IF(D1="",'数据-汇总表'!E3,SUMIF('数据-汇总表'!$C19:$C33,D1,'数据-汇总表'!$E19:$E33))</f>
        <v>17650.910000000003</v>
      </c>
      <c r="E3" s="2109"/>
      <c r="F3" s="1039"/>
      <c r="G3" s="1038"/>
      <c r="H3" s="1038"/>
      <c r="I3" s="1038"/>
      <c r="J3" s="1038"/>
      <c r="K3" s="1040"/>
      <c r="L3" s="2930"/>
      <c r="M3" s="2931"/>
      <c r="N3" s="2931"/>
      <c r="O3" s="2931"/>
      <c r="P3" s="2107"/>
      <c r="Q3" s="1042"/>
      <c r="R3" s="1042"/>
      <c r="S3" s="1042"/>
      <c r="T3" s="1042"/>
      <c r="U3" s="1042"/>
      <c r="V3" s="1042"/>
      <c r="W3" s="1042"/>
      <c r="X3" s="1042"/>
      <c r="Y3" s="1042"/>
      <c r="Z3" s="1042"/>
      <c r="AA3" s="1042"/>
      <c r="AB3" s="1042"/>
      <c r="AC3" s="2109"/>
    </row>
    <row r="4" spans="1:29" ht="14.4">
      <c r="A4" s="360" t="s">
        <v>2403</v>
      </c>
      <c r="B4" s="361"/>
      <c r="C4" s="3565" t="s">
        <v>2404</v>
      </c>
      <c r="D4" s="3566"/>
      <c r="E4" s="3567" t="s">
        <v>2405</v>
      </c>
      <c r="F4" s="3568"/>
      <c r="G4" s="3565" t="s">
        <v>2406</v>
      </c>
      <c r="H4" s="3566"/>
      <c r="I4" s="3565" t="s">
        <v>2407</v>
      </c>
      <c r="J4" s="3566"/>
      <c r="K4" s="566" t="s">
        <v>2408</v>
      </c>
      <c r="L4" s="2911"/>
      <c r="M4" s="2912"/>
      <c r="N4" s="2912"/>
      <c r="O4" s="2912"/>
      <c r="P4" s="3569" t="s">
        <v>2409</v>
      </c>
      <c r="Q4" s="3570"/>
      <c r="R4" s="3552" t="s">
        <v>2405</v>
      </c>
      <c r="S4" s="3553"/>
      <c r="T4" s="3552" t="s">
        <v>2406</v>
      </c>
      <c r="U4" s="3553"/>
      <c r="V4" s="3577" t="s">
        <v>2407</v>
      </c>
      <c r="W4" s="3577"/>
      <c r="X4" s="1508"/>
      <c r="Y4" s="3552" t="s">
        <v>2409</v>
      </c>
      <c r="Z4" s="3553"/>
      <c r="AA4" s="3547" t="s">
        <v>2405</v>
      </c>
      <c r="AB4" s="3577" t="s">
        <v>2406</v>
      </c>
      <c r="AC4" s="3547" t="s">
        <v>2407</v>
      </c>
    </row>
    <row r="5" spans="1:29">
      <c r="A5" s="363"/>
      <c r="B5" s="364"/>
      <c r="C5" s="3558" t="s">
        <v>2300</v>
      </c>
      <c r="D5" s="3559"/>
      <c r="E5" s="3556" t="s">
        <v>2301</v>
      </c>
      <c r="F5" s="3557"/>
      <c r="G5" s="3558" t="s">
        <v>2302</v>
      </c>
      <c r="H5" s="3559"/>
      <c r="I5" s="3558" t="s">
        <v>2303</v>
      </c>
      <c r="J5" s="3559"/>
      <c r="K5" s="566"/>
      <c r="L5" s="2911"/>
      <c r="M5" s="2912"/>
      <c r="N5" s="2912"/>
      <c r="O5" s="2912"/>
      <c r="P5" s="3571"/>
      <c r="Q5" s="3572"/>
      <c r="R5" s="3554"/>
      <c r="S5" s="3555"/>
      <c r="T5" s="3554"/>
      <c r="U5" s="3555"/>
      <c r="V5" s="3577"/>
      <c r="W5" s="3577"/>
      <c r="X5" s="1508"/>
      <c r="Y5" s="3554"/>
      <c r="Z5" s="3555"/>
      <c r="AA5" s="3548"/>
      <c r="AB5" s="3577"/>
      <c r="AC5" s="3548"/>
    </row>
    <row r="6" spans="1:29" ht="15" thickBot="1">
      <c r="A6" s="365"/>
      <c r="B6" s="366"/>
      <c r="C6" s="3560" t="s">
        <v>2304</v>
      </c>
      <c r="D6" s="3561"/>
      <c r="E6" s="3562" t="s">
        <v>2304</v>
      </c>
      <c r="F6" s="3563"/>
      <c r="G6" s="3560" t="s">
        <v>2304</v>
      </c>
      <c r="H6" s="3561"/>
      <c r="I6" s="3560" t="s">
        <v>2304</v>
      </c>
      <c r="J6" s="3561"/>
      <c r="K6" s="566" t="s">
        <v>2305</v>
      </c>
      <c r="L6" s="2911"/>
      <c r="M6" s="2912"/>
      <c r="N6" s="2912"/>
      <c r="O6" s="2912"/>
      <c r="P6" s="3573"/>
      <c r="Q6" s="3574"/>
      <c r="R6" s="3554"/>
      <c r="S6" s="3555"/>
      <c r="T6" s="3575"/>
      <c r="U6" s="3576"/>
      <c r="V6" s="3577"/>
      <c r="W6" s="3577"/>
      <c r="X6" s="1508"/>
      <c r="Y6" s="3575"/>
      <c r="Z6" s="3576"/>
      <c r="AA6" s="3549"/>
      <c r="AB6" s="3577"/>
      <c r="AC6" s="3549"/>
    </row>
    <row r="7" spans="1:29" s="112" customFormat="1" ht="15" thickBot="1">
      <c r="A7" s="367" t="s">
        <v>2306</v>
      </c>
      <c r="B7" s="368"/>
      <c r="C7" s="369">
        <f>'数据-取费表'!B2</f>
        <v>44610</v>
      </c>
      <c r="D7" s="370">
        <v>100</v>
      </c>
      <c r="E7" s="371"/>
      <c r="F7" s="372">
        <f>SUMIF(58:58,YEAR(E7)&amp;"-"&amp;MONTH(E7),59:59)</f>
        <v>0</v>
      </c>
      <c r="G7" s="371"/>
      <c r="H7" s="370">
        <f>SUMIF(58:58,YEAR(G7)&amp;"-"&amp;MONTH(G7),59:59)</f>
        <v>0</v>
      </c>
      <c r="I7" s="371"/>
      <c r="J7" s="370">
        <f>SUMIF(58:58,YEAR(I7)&amp;"-"&amp;MONTH(I7),59:59)</f>
        <v>0</v>
      </c>
      <c r="K7" s="567"/>
      <c r="L7" s="2913"/>
      <c r="M7" s="2914"/>
      <c r="N7" s="2914"/>
      <c r="O7" s="2914"/>
      <c r="P7" s="3550" t="s">
        <v>2307</v>
      </c>
      <c r="Q7" s="3578"/>
      <c r="R7" s="709" t="s">
        <v>17</v>
      </c>
      <c r="S7" s="710">
        <f t="shared" ref="S7:S15" si="0">F7</f>
        <v>0</v>
      </c>
      <c r="T7" s="709" t="s">
        <v>17</v>
      </c>
      <c r="U7" s="710">
        <f t="shared" ref="U7:U15" si="1">H7</f>
        <v>0</v>
      </c>
      <c r="V7" s="709" t="s">
        <v>17</v>
      </c>
      <c r="W7" s="710">
        <f t="shared" ref="W7:W15" si="2">J7</f>
        <v>0</v>
      </c>
      <c r="X7" s="711"/>
      <c r="Y7" s="3550" t="s">
        <v>2307</v>
      </c>
      <c r="Z7" s="3551"/>
      <c r="AA7" s="712" t="e">
        <f>D7/F7</f>
        <v>#DIV/0!</v>
      </c>
      <c r="AB7" s="712" t="e">
        <f>D7/H7</f>
        <v>#DIV/0!</v>
      </c>
      <c r="AC7" s="712" t="e">
        <f>D7/J7</f>
        <v>#DIV/0!</v>
      </c>
    </row>
    <row r="8" spans="1:29" s="112" customFormat="1" ht="15" thickBot="1">
      <c r="A8" s="367" t="s">
        <v>2308</v>
      </c>
      <c r="B8" s="368"/>
      <c r="C8" s="373" t="s">
        <v>2410</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550" t="s">
        <v>2310</v>
      </c>
      <c r="Q8" s="3551"/>
      <c r="R8" s="709" t="s">
        <v>17</v>
      </c>
      <c r="S8" s="710">
        <f t="shared" si="0"/>
        <v>0</v>
      </c>
      <c r="T8" s="709" t="s">
        <v>17</v>
      </c>
      <c r="U8" s="710">
        <f t="shared" si="1"/>
        <v>0</v>
      </c>
      <c r="V8" s="709" t="s">
        <v>17</v>
      </c>
      <c r="W8" s="710">
        <f t="shared" si="2"/>
        <v>0</v>
      </c>
      <c r="X8" s="711"/>
      <c r="Y8" s="3550" t="s">
        <v>2310</v>
      </c>
      <c r="Z8" s="3551"/>
      <c r="AA8" s="712" t="e">
        <f t="shared" ref="AA8:AA46" si="3">D8/F8</f>
        <v>#DIV/0!</v>
      </c>
      <c r="AB8" s="712" t="e">
        <f t="shared" ref="AB8:AB46" si="4">D8/H8</f>
        <v>#DIV/0!</v>
      </c>
      <c r="AC8" s="712" t="e">
        <f t="shared" ref="AC8:AC46" si="5">D8/J8</f>
        <v>#DIV/0!</v>
      </c>
    </row>
    <row r="9" spans="1:29" s="112" customFormat="1" ht="14.4">
      <c r="A9" s="374" t="s">
        <v>2311</v>
      </c>
      <c r="B9" s="66" t="s">
        <v>2312</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564"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712">
        <f t="shared" si="5"/>
        <v>1</v>
      </c>
    </row>
    <row r="10" spans="1:29" s="385" customFormat="1" ht="28.8">
      <c r="A10" s="379"/>
      <c r="B10" s="380" t="s">
        <v>2315</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564"/>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712">
        <f t="shared" si="5"/>
        <v>1</v>
      </c>
    </row>
    <row r="11" spans="1:29" ht="15">
      <c r="A11" s="386"/>
      <c r="B11" s="380" t="s">
        <v>2316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564"/>
      <c r="Q11" s="1496" t="str">
        <f t="shared" si="6"/>
        <v>容积率</v>
      </c>
      <c r="R11" s="709" t="s">
        <v>17</v>
      </c>
      <c r="S11" s="710" t="e">
        <f t="shared" si="0"/>
        <v>#N/A</v>
      </c>
      <c r="T11" s="709" t="s">
        <v>17</v>
      </c>
      <c r="U11" s="710" t="e">
        <f t="shared" si="1"/>
        <v>#N/A</v>
      </c>
      <c r="V11" s="709" t="s">
        <v>17</v>
      </c>
      <c r="W11" s="710" t="e">
        <f t="shared" si="2"/>
        <v>#N/A</v>
      </c>
      <c r="X11" s="711"/>
      <c r="Y11" s="3487"/>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564"/>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64"/>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712">
        <f t="shared" si="5"/>
        <v>1</v>
      </c>
    </row>
    <row r="14" spans="1:29" ht="15.6"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64"/>
      <c r="Q14" s="1496">
        <f t="shared" si="6"/>
        <v>111</v>
      </c>
      <c r="R14" s="709" t="s">
        <v>17</v>
      </c>
      <c r="S14" s="710">
        <f t="shared" si="0"/>
        <v>100</v>
      </c>
      <c r="T14" s="709" t="s">
        <v>17</v>
      </c>
      <c r="U14" s="710">
        <f t="shared" si="1"/>
        <v>100</v>
      </c>
      <c r="V14" s="709" t="s">
        <v>17</v>
      </c>
      <c r="W14" s="710">
        <f t="shared" si="2"/>
        <v>100</v>
      </c>
      <c r="X14" s="711"/>
      <c r="Y14" s="3487"/>
      <c r="Z14" s="54">
        <f t="shared" si="7"/>
        <v>111</v>
      </c>
      <c r="AA14" s="712">
        <f t="shared" si="3"/>
        <v>1</v>
      </c>
      <c r="AB14" s="712">
        <f t="shared" si="4"/>
        <v>1</v>
      </c>
      <c r="AC14" s="712">
        <f t="shared" si="5"/>
        <v>1</v>
      </c>
    </row>
    <row r="15" spans="1:29" ht="15">
      <c r="A15" s="398" t="s">
        <v>2317</v>
      </c>
      <c r="B15" s="64" t="s">
        <v>2411</v>
      </c>
      <c r="C15" s="205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91" t="s">
        <v>2318</v>
      </c>
      <c r="Q15" s="1505" t="str">
        <f t="shared" si="6"/>
        <v>商业繁华度</v>
      </c>
      <c r="R15" s="713" t="s">
        <v>17</v>
      </c>
      <c r="S15" s="714">
        <f t="shared" si="0"/>
        <v>100</v>
      </c>
      <c r="T15" s="713" t="s">
        <v>17</v>
      </c>
      <c r="U15" s="714">
        <f t="shared" si="1"/>
        <v>100</v>
      </c>
      <c r="V15" s="713" t="s">
        <v>17</v>
      </c>
      <c r="W15" s="714">
        <f t="shared" si="2"/>
        <v>100</v>
      </c>
      <c r="X15" s="1508"/>
      <c r="Y15" s="3584" t="s">
        <v>2318</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8"/>
      <c r="M16" s="2912"/>
      <c r="N16" s="2912"/>
      <c r="O16" s="2912"/>
      <c r="P16" s="3592"/>
      <c r="Q16" s="1505"/>
      <c r="R16" s="713"/>
      <c r="S16" s="714"/>
      <c r="T16" s="713"/>
      <c r="U16" s="714"/>
      <c r="V16" s="713"/>
      <c r="W16" s="714"/>
      <c r="X16" s="1508"/>
      <c r="Y16" s="3585"/>
      <c r="Z16" s="1509"/>
      <c r="AA16" s="1506">
        <v>1</v>
      </c>
      <c r="AB16" s="1506">
        <v>1</v>
      </c>
      <c r="AC16" s="1506">
        <v>1</v>
      </c>
    </row>
    <row r="17" spans="1:29" ht="15">
      <c r="A17" s="386"/>
      <c r="B17" s="409" t="s">
        <v>1882</v>
      </c>
      <c r="C17" s="2055"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92"/>
      <c r="Q17" s="1505" t="str">
        <f>B17</f>
        <v>交通便捷度</v>
      </c>
      <c r="R17" s="713" t="s">
        <v>17</v>
      </c>
      <c r="S17" s="714">
        <f>F17</f>
        <v>100</v>
      </c>
      <c r="T17" s="713" t="s">
        <v>17</v>
      </c>
      <c r="U17" s="714">
        <f>H17</f>
        <v>100</v>
      </c>
      <c r="V17" s="713" t="s">
        <v>17</v>
      </c>
      <c r="W17" s="714">
        <f>J17</f>
        <v>100</v>
      </c>
      <c r="X17" s="1508"/>
      <c r="Y17" s="3585"/>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8"/>
      <c r="M18" s="2912"/>
      <c r="N18" s="2912"/>
      <c r="O18" s="2912"/>
      <c r="P18" s="3592"/>
      <c r="Q18" s="1505"/>
      <c r="R18" s="713"/>
      <c r="S18" s="714"/>
      <c r="T18" s="713"/>
      <c r="U18" s="714"/>
      <c r="V18" s="713"/>
      <c r="W18" s="714"/>
      <c r="X18" s="1508"/>
      <c r="Y18" s="3585"/>
      <c r="Z18" s="1509"/>
      <c r="AA18" s="1506">
        <v>1</v>
      </c>
      <c r="AB18" s="1506">
        <v>1</v>
      </c>
      <c r="AC18" s="1506">
        <v>1</v>
      </c>
    </row>
    <row r="19" spans="1:29" ht="15">
      <c r="A19" s="386"/>
      <c r="B19" s="409" t="s">
        <v>2412</v>
      </c>
      <c r="C19" s="2055"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92"/>
      <c r="Q19" s="1505" t="str">
        <f>B19</f>
        <v>公共配套设施</v>
      </c>
      <c r="R19" s="713" t="s">
        <v>17</v>
      </c>
      <c r="S19" s="714">
        <f>F19</f>
        <v>100</v>
      </c>
      <c r="T19" s="713" t="s">
        <v>17</v>
      </c>
      <c r="U19" s="714">
        <f>H19</f>
        <v>100</v>
      </c>
      <c r="V19" s="713" t="s">
        <v>17</v>
      </c>
      <c r="W19" s="714">
        <f>J19</f>
        <v>100</v>
      </c>
      <c r="X19" s="1508"/>
      <c r="Y19" s="3585"/>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8"/>
      <c r="M20" s="2912"/>
      <c r="N20" s="2912"/>
      <c r="O20" s="2912"/>
      <c r="P20" s="3592"/>
      <c r="Q20" s="1505"/>
      <c r="R20" s="713"/>
      <c r="S20" s="714"/>
      <c r="T20" s="713"/>
      <c r="U20" s="714"/>
      <c r="V20" s="713"/>
      <c r="W20" s="714"/>
      <c r="X20" s="1508"/>
      <c r="Y20" s="3585"/>
      <c r="Z20" s="1509"/>
      <c r="AA20" s="1506">
        <v>1</v>
      </c>
      <c r="AB20" s="1506">
        <v>1</v>
      </c>
      <c r="AC20" s="1506">
        <v>1</v>
      </c>
    </row>
    <row r="21" spans="1:29" ht="15">
      <c r="A21" s="386"/>
      <c r="B21" s="1264" t="s">
        <v>2413</v>
      </c>
      <c r="C21" s="205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92"/>
      <c r="Q21" s="1505" t="str">
        <f>B21</f>
        <v>基础设施水平</v>
      </c>
      <c r="R21" s="713" t="s">
        <v>17</v>
      </c>
      <c r="S21" s="714">
        <f>F21</f>
        <v>100</v>
      </c>
      <c r="T21" s="713" t="s">
        <v>17</v>
      </c>
      <c r="U21" s="714">
        <f>H21</f>
        <v>100</v>
      </c>
      <c r="V21" s="713" t="s">
        <v>17</v>
      </c>
      <c r="W21" s="714">
        <f>J21</f>
        <v>100</v>
      </c>
      <c r="X21" s="1508"/>
      <c r="Y21" s="35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8"/>
      <c r="M22" s="2912"/>
      <c r="N22" s="2912"/>
      <c r="O22" s="2912"/>
      <c r="P22" s="3592"/>
      <c r="Q22" s="1505"/>
      <c r="R22" s="713"/>
      <c r="S22" s="714"/>
      <c r="T22" s="713"/>
      <c r="U22" s="714"/>
      <c r="V22" s="713"/>
      <c r="W22" s="714"/>
      <c r="X22" s="1508"/>
      <c r="Y22" s="3585"/>
      <c r="Z22" s="1509"/>
      <c r="AA22" s="1506">
        <v>1</v>
      </c>
      <c r="AB22" s="1506">
        <v>1</v>
      </c>
      <c r="AC22" s="1506">
        <v>1</v>
      </c>
    </row>
    <row r="23" spans="1:29" ht="15">
      <c r="A23" s="386"/>
      <c r="B23" s="409" t="s">
        <v>1884</v>
      </c>
      <c r="C23" s="2110"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92"/>
      <c r="Q23" s="1505" t="str">
        <f>B23</f>
        <v>自然及人文环境</v>
      </c>
      <c r="R23" s="713" t="s">
        <v>17</v>
      </c>
      <c r="S23" s="714">
        <f>F23</f>
        <v>100</v>
      </c>
      <c r="T23" s="713" t="s">
        <v>17</v>
      </c>
      <c r="U23" s="714">
        <f>H23</f>
        <v>100</v>
      </c>
      <c r="V23" s="713" t="s">
        <v>17</v>
      </c>
      <c r="W23" s="714">
        <f>J23</f>
        <v>100</v>
      </c>
      <c r="X23" s="1508"/>
      <c r="Y23" s="3585"/>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8"/>
      <c r="M24" s="2912"/>
      <c r="N24" s="2912"/>
      <c r="O24" s="2912"/>
      <c r="P24" s="3592"/>
      <c r="Q24" s="1505"/>
      <c r="R24" s="713"/>
      <c r="S24" s="714"/>
      <c r="T24" s="713"/>
      <c r="U24" s="714"/>
      <c r="V24" s="713"/>
      <c r="W24" s="714"/>
      <c r="X24" s="1508"/>
      <c r="Y24" s="3585"/>
      <c r="Z24" s="1509"/>
      <c r="AA24" s="1506">
        <v>1</v>
      </c>
      <c r="AB24" s="1506">
        <v>1</v>
      </c>
      <c r="AC24" s="1506">
        <v>1</v>
      </c>
    </row>
    <row r="25" spans="1:29" ht="15">
      <c r="A25" s="386"/>
      <c r="B25" s="380" t="s">
        <v>2414</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92"/>
      <c r="Q25" s="1505" t="str">
        <f t="shared" ref="Q25:Q46" si="11">B25</f>
        <v>临街状况</v>
      </c>
      <c r="R25" s="713" t="s">
        <v>17</v>
      </c>
      <c r="S25" s="714">
        <f>F25</f>
        <v>100</v>
      </c>
      <c r="T25" s="713" t="s">
        <v>17</v>
      </c>
      <c r="U25" s="714">
        <f>H25</f>
        <v>100</v>
      </c>
      <c r="V25" s="713" t="s">
        <v>17</v>
      </c>
      <c r="W25" s="714">
        <f>J25</f>
        <v>100</v>
      </c>
      <c r="X25" s="1508"/>
      <c r="Y25" s="3585"/>
      <c r="Z25" s="1509" t="str">
        <f>Q25</f>
        <v>临街状况</v>
      </c>
      <c r="AA25" s="1506">
        <f t="shared" si="3"/>
        <v>1</v>
      </c>
      <c r="AB25" s="1506">
        <f t="shared" si="4"/>
        <v>1</v>
      </c>
      <c r="AC25" s="1506">
        <f t="shared" si="5"/>
        <v>1</v>
      </c>
    </row>
    <row r="26" spans="1:29" ht="15">
      <c r="A26" s="386"/>
      <c r="B26" s="1266" t="s">
        <v>2415</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92"/>
      <c r="Q26" s="1505" t="str">
        <f t="shared" si="11"/>
        <v>平面位置/可视性</v>
      </c>
      <c r="R26" s="713" t="s">
        <v>17</v>
      </c>
      <c r="S26" s="714">
        <f>F26</f>
        <v>100</v>
      </c>
      <c r="T26" s="713" t="s">
        <v>17</v>
      </c>
      <c r="U26" s="714">
        <f>H26</f>
        <v>100</v>
      </c>
      <c r="V26" s="713" t="s">
        <v>17</v>
      </c>
      <c r="W26" s="714">
        <f>J26</f>
        <v>100</v>
      </c>
      <c r="X26" s="1508"/>
      <c r="Y26" s="3585"/>
      <c r="Z26" s="1509" t="str">
        <f>Q26</f>
        <v>平面位置/可视性</v>
      </c>
      <c r="AA26" s="1506">
        <f t="shared" si="3"/>
        <v>1</v>
      </c>
      <c r="AB26" s="1506">
        <f t="shared" si="4"/>
        <v>1</v>
      </c>
      <c r="AC26" s="1506">
        <f t="shared" si="5"/>
        <v>1</v>
      </c>
    </row>
    <row r="27" spans="1:29" s="112" customFormat="1" ht="15">
      <c r="A27" s="389"/>
      <c r="B27" s="409" t="s">
        <v>2416</v>
      </c>
      <c r="C27" s="2111"/>
      <c r="D27" s="420">
        <v>100</v>
      </c>
      <c r="E27" s="2111"/>
      <c r="F27" s="422">
        <f>SUMIF(90:90,E27,91:91)-SUMIF(90:90,C27,91:91)+100</f>
        <v>100</v>
      </c>
      <c r="G27" s="2111"/>
      <c r="H27" s="420">
        <f>SUMIF(90:90,G27,91:91)-SUMIF(90:90,C27,91:91)+100</f>
        <v>100</v>
      </c>
      <c r="I27" s="2111"/>
      <c r="J27" s="420">
        <f>SUMIF(90:90,I27,91:91)-SUMIF(90:90,C27,91:91)+100</f>
        <v>100</v>
      </c>
      <c r="K27" s="568"/>
      <c r="L27" s="2913"/>
      <c r="M27" s="2914"/>
      <c r="N27" s="2914"/>
      <c r="O27" s="2914"/>
      <c r="P27" s="3592"/>
      <c r="Q27" s="1496" t="str">
        <f t="shared" si="11"/>
        <v>人流量</v>
      </c>
      <c r="R27" s="709" t="s">
        <v>17</v>
      </c>
      <c r="S27" s="710">
        <f>F27</f>
        <v>100</v>
      </c>
      <c r="T27" s="709" t="s">
        <v>17</v>
      </c>
      <c r="U27" s="710">
        <f>H27</f>
        <v>100</v>
      </c>
      <c r="V27" s="709" t="s">
        <v>17</v>
      </c>
      <c r="W27" s="710">
        <f>J27</f>
        <v>100</v>
      </c>
      <c r="X27" s="711"/>
      <c r="Y27" s="3585"/>
      <c r="Z27" s="54" t="str">
        <f>Q27</f>
        <v>人流量</v>
      </c>
      <c r="AA27" s="1506">
        <f>D27/F27</f>
        <v>1</v>
      </c>
      <c r="AB27" s="1506">
        <f>D27/H27</f>
        <v>1</v>
      </c>
      <c r="AC27" s="1506">
        <f>D27/J27</f>
        <v>1</v>
      </c>
    </row>
    <row r="28" spans="1:29" ht="15">
      <c r="A28" s="386"/>
      <c r="B28" s="380" t="s">
        <v>2417</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92"/>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585"/>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92"/>
      <c r="Q29" s="1505">
        <f t="shared" si="11"/>
        <v>111</v>
      </c>
      <c r="R29" s="713" t="s">
        <v>17</v>
      </c>
      <c r="S29" s="714">
        <f t="shared" si="12"/>
        <v>100</v>
      </c>
      <c r="T29" s="713" t="s">
        <v>17</v>
      </c>
      <c r="U29" s="714">
        <f t="shared" si="13"/>
        <v>100</v>
      </c>
      <c r="V29" s="713" t="s">
        <v>17</v>
      </c>
      <c r="W29" s="714">
        <f t="shared" si="14"/>
        <v>100</v>
      </c>
      <c r="X29" s="1508"/>
      <c r="Y29" s="3585"/>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92"/>
      <c r="Q30" s="1505">
        <f t="shared" si="11"/>
        <v>111</v>
      </c>
      <c r="R30" s="713" t="s">
        <v>17</v>
      </c>
      <c r="S30" s="714">
        <f t="shared" si="12"/>
        <v>100</v>
      </c>
      <c r="T30" s="713" t="s">
        <v>17</v>
      </c>
      <c r="U30" s="714">
        <f t="shared" si="13"/>
        <v>100</v>
      </c>
      <c r="V30" s="713" t="s">
        <v>17</v>
      </c>
      <c r="W30" s="714">
        <f t="shared" si="14"/>
        <v>100</v>
      </c>
      <c r="X30" s="1508"/>
      <c r="Y30" s="3585"/>
      <c r="Z30" s="1509">
        <f t="shared" si="15"/>
        <v>111</v>
      </c>
      <c r="AA30" s="1506">
        <f t="shared" si="3"/>
        <v>1</v>
      </c>
      <c r="AB30" s="1506">
        <f t="shared" si="4"/>
        <v>1</v>
      </c>
      <c r="AC30" s="1506">
        <f t="shared" si="5"/>
        <v>1</v>
      </c>
    </row>
    <row r="31" spans="1:29" ht="15.6"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92"/>
      <c r="Q31" s="1505">
        <f t="shared" si="11"/>
        <v>111</v>
      </c>
      <c r="R31" s="713" t="s">
        <v>17</v>
      </c>
      <c r="S31" s="714">
        <f t="shared" si="12"/>
        <v>100</v>
      </c>
      <c r="T31" s="713" t="s">
        <v>17</v>
      </c>
      <c r="U31" s="714">
        <f t="shared" si="13"/>
        <v>100</v>
      </c>
      <c r="V31" s="713" t="s">
        <v>17</v>
      </c>
      <c r="W31" s="714">
        <f t="shared" si="14"/>
        <v>100</v>
      </c>
      <c r="X31" s="1508"/>
      <c r="Y31" s="3585"/>
      <c r="Z31" s="1509">
        <f t="shared" si="15"/>
        <v>111</v>
      </c>
      <c r="AA31" s="1506">
        <f t="shared" si="3"/>
        <v>1</v>
      </c>
      <c r="AB31" s="1506">
        <f t="shared" si="4"/>
        <v>1</v>
      </c>
      <c r="AC31" s="1506">
        <f t="shared" si="5"/>
        <v>1</v>
      </c>
    </row>
    <row r="32" spans="1:29" ht="15">
      <c r="A32" s="398" t="s">
        <v>2321</v>
      </c>
      <c r="B32" s="66" t="s">
        <v>2418</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8"/>
      <c r="M32" s="2912"/>
      <c r="N32" s="2912"/>
      <c r="O32" s="2912"/>
      <c r="P32" s="3586" t="s">
        <v>2323</v>
      </c>
      <c r="Q32" s="1505" t="str">
        <f t="shared" si="11"/>
        <v>商业类型</v>
      </c>
      <c r="R32" s="713" t="s">
        <v>17</v>
      </c>
      <c r="S32" s="714">
        <f t="shared" si="12"/>
        <v>100</v>
      </c>
      <c r="T32" s="713" t="s">
        <v>17</v>
      </c>
      <c r="U32" s="714">
        <f t="shared" si="13"/>
        <v>100</v>
      </c>
      <c r="V32" s="713" t="s">
        <v>17</v>
      </c>
      <c r="W32" s="714">
        <f t="shared" si="14"/>
        <v>100</v>
      </c>
      <c r="X32" s="1508"/>
      <c r="Y32" s="3589" t="s">
        <v>2323</v>
      </c>
      <c r="Z32" s="1509" t="str">
        <f t="shared" si="15"/>
        <v>商业类型</v>
      </c>
      <c r="AA32" s="1506">
        <f t="shared" si="3"/>
        <v>1</v>
      </c>
      <c r="AB32" s="1506">
        <f t="shared" si="4"/>
        <v>1</v>
      </c>
      <c r="AC32" s="1506">
        <f t="shared" si="5"/>
        <v>1</v>
      </c>
    </row>
    <row r="33" spans="1:29" s="429" customFormat="1" ht="15">
      <c r="A33" s="426"/>
      <c r="B33" s="380" t="s">
        <v>2324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87"/>
      <c r="Q33" s="715" t="str">
        <f t="shared" si="11"/>
        <v>项目建筑规模</v>
      </c>
      <c r="R33" s="716" t="s">
        <v>17</v>
      </c>
      <c r="S33" s="717" t="e">
        <f t="shared" si="12"/>
        <v>#N/A</v>
      </c>
      <c r="T33" s="716" t="s">
        <v>17</v>
      </c>
      <c r="U33" s="717" t="e">
        <f t="shared" si="13"/>
        <v>#N/A</v>
      </c>
      <c r="V33" s="716" t="s">
        <v>17</v>
      </c>
      <c r="W33" s="717" t="e">
        <f t="shared" si="14"/>
        <v>#N/A</v>
      </c>
      <c r="X33" s="718"/>
      <c r="Y33" s="3589"/>
      <c r="Z33" s="719" t="str">
        <f t="shared" si="15"/>
        <v>项目建筑规模</v>
      </c>
      <c r="AA33" s="1506" t="e">
        <f t="shared" si="3"/>
        <v>#N/A</v>
      </c>
      <c r="AB33" s="1506" t="e">
        <f t="shared" si="4"/>
        <v>#N/A</v>
      </c>
      <c r="AC33" s="1506" t="e">
        <f t="shared" si="5"/>
        <v>#N/A</v>
      </c>
    </row>
    <row r="34" spans="1:29" ht="15">
      <c r="A34" s="430"/>
      <c r="B34" s="380" t="s">
        <v>2325</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8"/>
      <c r="M34" s="2912"/>
      <c r="N34" s="2912"/>
      <c r="O34" s="2912"/>
      <c r="P34" s="3587"/>
      <c r="Q34" s="1505" t="str">
        <f t="shared" si="11"/>
        <v>建筑结构</v>
      </c>
      <c r="R34" s="713" t="s">
        <v>17</v>
      </c>
      <c r="S34" s="714">
        <f t="shared" si="12"/>
        <v>100</v>
      </c>
      <c r="T34" s="713" t="s">
        <v>17</v>
      </c>
      <c r="U34" s="714">
        <f t="shared" si="13"/>
        <v>100</v>
      </c>
      <c r="V34" s="713" t="s">
        <v>17</v>
      </c>
      <c r="W34" s="714">
        <f t="shared" si="14"/>
        <v>100</v>
      </c>
      <c r="X34" s="1508"/>
      <c r="Y34" s="3589"/>
      <c r="Z34" s="1509" t="str">
        <f t="shared" si="15"/>
        <v>建筑结构</v>
      </c>
      <c r="AA34" s="1506">
        <f t="shared" si="3"/>
        <v>1</v>
      </c>
      <c r="AB34" s="1506">
        <f t="shared" si="4"/>
        <v>1</v>
      </c>
      <c r="AC34" s="1506">
        <f t="shared" si="5"/>
        <v>1</v>
      </c>
    </row>
    <row r="35" spans="1:29" ht="15">
      <c r="A35" s="430"/>
      <c r="B35" s="380" t="s">
        <v>2419</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8"/>
      <c r="M35" s="2912"/>
      <c r="N35" s="2912"/>
      <c r="O35" s="2912"/>
      <c r="P35" s="3587"/>
      <c r="Q35" s="1505" t="str">
        <f t="shared" si="11"/>
        <v>公共部分装修</v>
      </c>
      <c r="R35" s="713" t="s">
        <v>17</v>
      </c>
      <c r="S35" s="714">
        <f t="shared" si="12"/>
        <v>100</v>
      </c>
      <c r="T35" s="713" t="s">
        <v>17</v>
      </c>
      <c r="U35" s="714">
        <f t="shared" si="13"/>
        <v>100</v>
      </c>
      <c r="V35" s="713" t="s">
        <v>17</v>
      </c>
      <c r="W35" s="714">
        <f t="shared" si="14"/>
        <v>100</v>
      </c>
      <c r="X35" s="1508"/>
      <c r="Y35" s="3589"/>
      <c r="Z35" s="1509" t="str">
        <f t="shared" si="15"/>
        <v>公共部分装修</v>
      </c>
      <c r="AA35" s="1506">
        <f t="shared" si="3"/>
        <v>1</v>
      </c>
      <c r="AB35" s="1506">
        <f t="shared" si="4"/>
        <v>1</v>
      </c>
      <c r="AC35" s="1506">
        <f t="shared" si="5"/>
        <v>1</v>
      </c>
    </row>
    <row r="36" spans="1:29" ht="15">
      <c r="A36" s="430"/>
      <c r="B36" s="380" t="s">
        <v>2420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87"/>
      <c r="Q36" s="1505" t="str">
        <f t="shared" si="11"/>
        <v>成新度</v>
      </c>
      <c r="R36" s="713" t="s">
        <v>17</v>
      </c>
      <c r="S36" s="714" t="e">
        <f t="shared" si="12"/>
        <v>#N/A</v>
      </c>
      <c r="T36" s="713" t="s">
        <v>17</v>
      </c>
      <c r="U36" s="714" t="e">
        <f t="shared" si="13"/>
        <v>#N/A</v>
      </c>
      <c r="V36" s="713" t="s">
        <v>17</v>
      </c>
      <c r="W36" s="714" t="e">
        <f t="shared" si="14"/>
        <v>#N/A</v>
      </c>
      <c r="X36" s="1508"/>
      <c r="Y36" s="3589"/>
      <c r="Z36" s="1509" t="str">
        <f t="shared" si="15"/>
        <v>成新度</v>
      </c>
      <c r="AA36" s="1506" t="e">
        <f t="shared" si="3"/>
        <v>#N/A</v>
      </c>
      <c r="AB36" s="1506" t="e">
        <f t="shared" si="4"/>
        <v>#N/A</v>
      </c>
      <c r="AC36" s="1506" t="e">
        <f t="shared" si="5"/>
        <v>#N/A</v>
      </c>
    </row>
    <row r="37" spans="1:29" s="112" customFormat="1" ht="15">
      <c r="A37" s="431"/>
      <c r="B37" s="380" t="s">
        <v>2421</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3"/>
      <c r="M37" s="2914"/>
      <c r="N37" s="2914"/>
      <c r="O37" s="2914"/>
      <c r="P37" s="3587"/>
      <c r="Q37" s="1496" t="str">
        <f t="shared" si="11"/>
        <v>市政基础设施</v>
      </c>
      <c r="R37" s="709" t="s">
        <v>17</v>
      </c>
      <c r="S37" s="710">
        <f t="shared" si="12"/>
        <v>100</v>
      </c>
      <c r="T37" s="709" t="s">
        <v>17</v>
      </c>
      <c r="U37" s="710">
        <f t="shared" si="13"/>
        <v>100</v>
      </c>
      <c r="V37" s="709" t="s">
        <v>17</v>
      </c>
      <c r="W37" s="710">
        <f t="shared" si="14"/>
        <v>100</v>
      </c>
      <c r="X37" s="711"/>
      <c r="Y37" s="3589"/>
      <c r="Z37" s="54" t="str">
        <f t="shared" si="15"/>
        <v>市政基础设施</v>
      </c>
      <c r="AA37" s="712">
        <f t="shared" si="3"/>
        <v>1</v>
      </c>
      <c r="AB37" s="712">
        <f t="shared" si="4"/>
        <v>1</v>
      </c>
      <c r="AC37" s="712">
        <f t="shared" si="5"/>
        <v>1</v>
      </c>
    </row>
    <row r="38" spans="1:29" ht="15">
      <c r="A38" s="430"/>
      <c r="B38" s="380" t="s">
        <v>2422</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8"/>
      <c r="M38" s="2912"/>
      <c r="N38" s="2912"/>
      <c r="O38" s="2912"/>
      <c r="P38" s="3587" t="s">
        <v>2323</v>
      </c>
      <c r="Q38" s="1505" t="str">
        <f t="shared" si="11"/>
        <v>业态</v>
      </c>
      <c r="R38" s="713" t="s">
        <v>17</v>
      </c>
      <c r="S38" s="714">
        <f t="shared" si="12"/>
        <v>100</v>
      </c>
      <c r="T38" s="713" t="s">
        <v>17</v>
      </c>
      <c r="U38" s="714">
        <f t="shared" si="13"/>
        <v>100</v>
      </c>
      <c r="V38" s="713" t="s">
        <v>17</v>
      </c>
      <c r="W38" s="714">
        <f t="shared" si="14"/>
        <v>100</v>
      </c>
      <c r="X38" s="1508"/>
      <c r="Y38" s="3589" t="s">
        <v>2323</v>
      </c>
      <c r="Z38" s="1509" t="str">
        <f t="shared" si="15"/>
        <v>业态</v>
      </c>
      <c r="AA38" s="1506">
        <f t="shared" si="3"/>
        <v>1</v>
      </c>
      <c r="AB38" s="1506">
        <f t="shared" si="4"/>
        <v>1</v>
      </c>
      <c r="AC38" s="1506">
        <f t="shared" si="5"/>
        <v>1</v>
      </c>
    </row>
    <row r="39" spans="1:29" ht="15">
      <c r="A39" s="430"/>
      <c r="B39" s="380" t="s">
        <v>2423</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8"/>
      <c r="M39" s="2912"/>
      <c r="N39" s="2912"/>
      <c r="O39" s="2912"/>
      <c r="P39" s="3587"/>
      <c r="Q39" s="1505" t="str">
        <f t="shared" si="11"/>
        <v>层高</v>
      </c>
      <c r="R39" s="713" t="s">
        <v>17</v>
      </c>
      <c r="S39" s="714">
        <f t="shared" si="12"/>
        <v>100</v>
      </c>
      <c r="T39" s="713" t="s">
        <v>17</v>
      </c>
      <c r="U39" s="714">
        <f t="shared" si="13"/>
        <v>100</v>
      </c>
      <c r="V39" s="713" t="s">
        <v>17</v>
      </c>
      <c r="W39" s="714">
        <f t="shared" si="14"/>
        <v>100</v>
      </c>
      <c r="X39" s="1508"/>
      <c r="Y39" s="3589"/>
      <c r="Z39" s="1509" t="str">
        <f t="shared" si="15"/>
        <v>层高</v>
      </c>
      <c r="AA39" s="1506">
        <f t="shared" si="3"/>
        <v>1</v>
      </c>
      <c r="AB39" s="1506">
        <f t="shared" si="4"/>
        <v>1</v>
      </c>
      <c r="AC39" s="1506">
        <f t="shared" si="5"/>
        <v>1</v>
      </c>
    </row>
    <row r="40" spans="1:29" ht="15">
      <c r="A40" s="430"/>
      <c r="B40" s="380" t="s">
        <v>2424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87"/>
      <c r="Q40" s="1505" t="str">
        <f t="shared" si="11"/>
        <v>单套建筑面积</v>
      </c>
      <c r="R40" s="713" t="s">
        <v>17</v>
      </c>
      <c r="S40" s="714">
        <f t="shared" si="12"/>
        <v>100</v>
      </c>
      <c r="T40" s="713" t="s">
        <v>17</v>
      </c>
      <c r="U40" s="714">
        <f t="shared" si="13"/>
        <v>100</v>
      </c>
      <c r="V40" s="713" t="s">
        <v>17</v>
      </c>
      <c r="W40" s="714">
        <f t="shared" si="14"/>
        <v>100</v>
      </c>
      <c r="X40" s="1508"/>
      <c r="Y40" s="3589"/>
      <c r="Z40" s="1509" t="str">
        <f t="shared" si="15"/>
        <v>单套建筑面积</v>
      </c>
      <c r="AA40" s="1506">
        <f t="shared" si="3"/>
        <v>1</v>
      </c>
      <c r="AB40" s="1506">
        <f t="shared" si="4"/>
        <v>1</v>
      </c>
      <c r="AC40" s="1506">
        <f t="shared" si="5"/>
        <v>1</v>
      </c>
    </row>
    <row r="41" spans="1:29" s="429" customFormat="1" ht="15">
      <c r="A41" s="426"/>
      <c r="B41" s="1507" t="s">
        <v>2425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87"/>
      <c r="Q41" s="715" t="str">
        <f t="shared" si="11"/>
        <v>进深比</v>
      </c>
      <c r="R41" s="716" t="s">
        <v>17</v>
      </c>
      <c r="S41" s="717">
        <f t="shared" si="12"/>
        <v>100</v>
      </c>
      <c r="T41" s="716" t="s">
        <v>17</v>
      </c>
      <c r="U41" s="717">
        <f t="shared" si="13"/>
        <v>100</v>
      </c>
      <c r="V41" s="716" t="s">
        <v>17</v>
      </c>
      <c r="W41" s="717">
        <f t="shared" si="14"/>
        <v>100</v>
      </c>
      <c r="X41" s="718"/>
      <c r="Y41" s="3589"/>
      <c r="Z41" s="719" t="str">
        <f t="shared" si="15"/>
        <v>进深比</v>
      </c>
      <c r="AA41" s="1506">
        <f t="shared" si="3"/>
        <v>1</v>
      </c>
      <c r="AB41" s="1506">
        <f t="shared" si="4"/>
        <v>1</v>
      </c>
      <c r="AC41" s="1506">
        <f t="shared" si="5"/>
        <v>1</v>
      </c>
    </row>
    <row r="42" spans="1:29" ht="15">
      <c r="A42" s="430"/>
      <c r="B42" s="380" t="s">
        <v>2426</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8"/>
      <c r="M42" s="2912"/>
      <c r="N42" s="2912"/>
      <c r="O42" s="2912"/>
      <c r="P42" s="3587"/>
      <c r="Q42" s="1505" t="str">
        <f t="shared" si="11"/>
        <v>内部装修</v>
      </c>
      <c r="R42" s="713" t="s">
        <v>17</v>
      </c>
      <c r="S42" s="714">
        <f t="shared" si="12"/>
        <v>100</v>
      </c>
      <c r="T42" s="713" t="s">
        <v>17</v>
      </c>
      <c r="U42" s="714">
        <f t="shared" si="13"/>
        <v>100</v>
      </c>
      <c r="V42" s="713" t="s">
        <v>17</v>
      </c>
      <c r="W42" s="714">
        <f t="shared" si="14"/>
        <v>100</v>
      </c>
      <c r="X42" s="1508"/>
      <c r="Y42" s="3589"/>
      <c r="Z42" s="1509" t="str">
        <f t="shared" si="15"/>
        <v>内部装修</v>
      </c>
      <c r="AA42" s="1506">
        <f t="shared" si="3"/>
        <v>1</v>
      </c>
      <c r="AB42" s="1506">
        <f t="shared" si="4"/>
        <v>1</v>
      </c>
      <c r="AC42" s="1506">
        <f t="shared" si="5"/>
        <v>1</v>
      </c>
    </row>
    <row r="43" spans="1:29" ht="28.8">
      <c r="A43" s="430"/>
      <c r="B43" s="380" t="s">
        <v>2334</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8"/>
      <c r="M43" s="2912"/>
      <c r="N43" s="2912"/>
      <c r="O43" s="2912"/>
      <c r="P43" s="3587"/>
      <c r="Q43" s="1505" t="str">
        <f t="shared" si="11"/>
        <v>内部装修维护情况</v>
      </c>
      <c r="R43" s="713" t="s">
        <v>17</v>
      </c>
      <c r="S43" s="714">
        <f t="shared" si="12"/>
        <v>100</v>
      </c>
      <c r="T43" s="713" t="s">
        <v>17</v>
      </c>
      <c r="U43" s="714">
        <f t="shared" si="13"/>
        <v>100</v>
      </c>
      <c r="V43" s="713" t="s">
        <v>17</v>
      </c>
      <c r="W43" s="714">
        <f t="shared" si="14"/>
        <v>100</v>
      </c>
      <c r="X43" s="1508"/>
      <c r="Y43" s="3589"/>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87"/>
      <c r="Q44" s="1496">
        <f t="shared" si="11"/>
        <v>111</v>
      </c>
      <c r="R44" s="709" t="s">
        <v>17</v>
      </c>
      <c r="S44" s="710">
        <f t="shared" si="12"/>
        <v>100</v>
      </c>
      <c r="T44" s="709" t="s">
        <v>17</v>
      </c>
      <c r="U44" s="710">
        <f t="shared" si="13"/>
        <v>100</v>
      </c>
      <c r="V44" s="709" t="s">
        <v>17</v>
      </c>
      <c r="W44" s="710">
        <f t="shared" si="14"/>
        <v>100</v>
      </c>
      <c r="X44" s="711"/>
      <c r="Y44" s="3589"/>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87"/>
      <c r="Q45" s="1505">
        <f t="shared" si="11"/>
        <v>111</v>
      </c>
      <c r="R45" s="713" t="s">
        <v>17</v>
      </c>
      <c r="S45" s="714">
        <f t="shared" si="12"/>
        <v>100</v>
      </c>
      <c r="T45" s="713" t="s">
        <v>17</v>
      </c>
      <c r="U45" s="714">
        <f t="shared" si="13"/>
        <v>100</v>
      </c>
      <c r="V45" s="713" t="s">
        <v>17</v>
      </c>
      <c r="W45" s="714">
        <f t="shared" si="14"/>
        <v>100</v>
      </c>
      <c r="X45" s="1508"/>
      <c r="Y45" s="3589"/>
      <c r="Z45" s="1509">
        <f t="shared" si="15"/>
        <v>111</v>
      </c>
      <c r="AA45" s="1506">
        <f t="shared" si="3"/>
        <v>1</v>
      </c>
      <c r="AB45" s="1506">
        <f t="shared" si="4"/>
        <v>1</v>
      </c>
      <c r="AC45" s="1506">
        <f t="shared" si="5"/>
        <v>1</v>
      </c>
    </row>
    <row r="46" spans="1:29" ht="15.6"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88"/>
      <c r="Q46" s="1505">
        <f t="shared" si="11"/>
        <v>111</v>
      </c>
      <c r="R46" s="713" t="s">
        <v>17</v>
      </c>
      <c r="S46" s="714">
        <f t="shared" si="12"/>
        <v>100</v>
      </c>
      <c r="T46" s="713" t="s">
        <v>17</v>
      </c>
      <c r="U46" s="714">
        <f t="shared" si="13"/>
        <v>100</v>
      </c>
      <c r="V46" s="713" t="s">
        <v>17</v>
      </c>
      <c r="W46" s="714">
        <f t="shared" si="14"/>
        <v>100</v>
      </c>
      <c r="X46" s="1508"/>
      <c r="Y46" s="3590"/>
      <c r="Z46" s="1509">
        <f t="shared" si="15"/>
        <v>111</v>
      </c>
      <c r="AA46" s="1506">
        <f t="shared" si="3"/>
        <v>1</v>
      </c>
      <c r="AB46" s="1506">
        <f t="shared" si="4"/>
        <v>1</v>
      </c>
      <c r="AC46" s="1506">
        <f t="shared" si="5"/>
        <v>1</v>
      </c>
    </row>
    <row r="47" spans="1:29" ht="14.4">
      <c r="A47" s="437" t="s">
        <v>2335</v>
      </c>
      <c r="B47" s="438"/>
      <c r="C47" s="1287" t="s">
        <v>1</v>
      </c>
      <c r="D47" s="1288"/>
      <c r="E47" s="1289"/>
      <c r="F47" s="1290"/>
      <c r="G47" s="1291"/>
      <c r="H47" s="1292"/>
      <c r="I47" s="1289"/>
      <c r="J47" s="1292"/>
      <c r="K47" s="722"/>
      <c r="L47" s="2920"/>
      <c r="M47" s="2921"/>
      <c r="N47" s="2912"/>
      <c r="O47" s="2921"/>
      <c r="P47" s="3582" t="str">
        <f>A47</f>
        <v>成交单价（元/平方米）</v>
      </c>
      <c r="Q47" s="3582"/>
      <c r="R47" s="3577">
        <f>E47</f>
        <v>0</v>
      </c>
      <c r="S47" s="3577"/>
      <c r="T47" s="3577">
        <f>G47</f>
        <v>0</v>
      </c>
      <c r="U47" s="3577"/>
      <c r="V47" s="3577">
        <f>I47</f>
        <v>0</v>
      </c>
      <c r="W47" s="3577"/>
      <c r="X47" s="698"/>
      <c r="Y47" s="720"/>
      <c r="Z47" s="698"/>
      <c r="AA47" s="698"/>
      <c r="AB47" s="698"/>
      <c r="AC47" s="698"/>
    </row>
    <row r="48" spans="1:29" ht="15" thickBot="1">
      <c r="A48" s="444" t="s">
        <v>2427</v>
      </c>
      <c r="B48" s="445"/>
      <c r="C48" s="1293" t="e">
        <f>R49</f>
        <v>#DIV/0!</v>
      </c>
      <c r="D48" s="2507" t="s">
        <v>2816</v>
      </c>
      <c r="E48" s="1294" t="e">
        <f>R48</f>
        <v>#DIV/0!</v>
      </c>
      <c r="F48" s="2508"/>
      <c r="G48" s="1293" t="e">
        <f>T48</f>
        <v>#DIV/0!</v>
      </c>
      <c r="H48" s="2508"/>
      <c r="I48" s="1294" t="e">
        <f>V48</f>
        <v>#DIV/0!</v>
      </c>
      <c r="J48" s="2508"/>
      <c r="K48" s="2510">
        <f>F48+H48+J48</f>
        <v>0</v>
      </c>
      <c r="L48" s="2920"/>
      <c r="M48" s="2921"/>
      <c r="N48" s="2912"/>
      <c r="O48" s="2921"/>
      <c r="P48" s="3582" t="str">
        <f>A48</f>
        <v>比较价值（元/平方米）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698"/>
      <c r="Y48" s="698"/>
      <c r="Z48" s="698"/>
      <c r="AA48" s="698"/>
      <c r="AB48" s="698"/>
      <c r="AC48" s="698"/>
    </row>
    <row r="49" spans="1:29" ht="15" thickBot="1">
      <c r="A49" s="448" t="s">
        <v>2428</v>
      </c>
      <c r="B49" s="449"/>
      <c r="C49" s="1296" t="e">
        <f>R49</f>
        <v>#DIV/0!</v>
      </c>
      <c r="D49" s="1296"/>
      <c r="E49" s="1296"/>
      <c r="F49" s="1296"/>
      <c r="G49" s="1296"/>
      <c r="H49" s="1296"/>
      <c r="I49" s="1296"/>
      <c r="J49" s="1296"/>
      <c r="K49" s="723"/>
      <c r="L49" s="2920"/>
      <c r="M49" s="2921"/>
      <c r="N49" s="2912"/>
      <c r="O49" s="2921"/>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2429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2.2" thickBot="1">
      <c r="A57" s="702" t="s">
        <v>2432</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4.4">
      <c r="A58" s="461" t="s">
        <v>2306</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6"/>
      <c r="Q58" s="2937"/>
      <c r="R58" s="2937"/>
      <c r="S58" s="2937"/>
      <c r="T58" s="2937"/>
      <c r="U58" s="2937"/>
      <c r="V58" s="2937"/>
      <c r="W58" s="2937"/>
      <c r="X58" s="2937"/>
      <c r="Y58" s="2937"/>
      <c r="Z58" s="2937"/>
      <c r="AA58" s="2937"/>
      <c r="AB58" s="2937"/>
      <c r="AC58" s="2937"/>
    </row>
    <row r="59" spans="1:29" s="112" customFormat="1">
      <c r="A59" s="465"/>
      <c r="B59" s="466"/>
      <c r="C59" s="1316">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2" customFormat="1" ht="15" thickBot="1">
      <c r="A60" s="471" t="s">
        <v>2343</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2" customFormat="1" ht="14.4">
      <c r="A61" s="477" t="s">
        <v>2308</v>
      </c>
      <c r="B61" s="466"/>
      <c r="C61" s="478" t="s">
        <v>2410</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2" customFormat="1" ht="14.4"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ht="14.4">
      <c r="A63" s="483" t="s">
        <v>2346</v>
      </c>
      <c r="B63" s="484" t="s">
        <v>2312</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4.4"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4" thickTop="1">
      <c r="A65" s="490"/>
      <c r="B65" s="494" t="s">
        <v>2315</v>
      </c>
      <c r="C65" s="495" t="s">
        <v>2347</v>
      </c>
      <c r="D65" s="495" t="s">
        <v>2348</v>
      </c>
      <c r="E65" s="495" t="s">
        <v>2349</v>
      </c>
      <c r="F65" s="495" t="s">
        <v>2350</v>
      </c>
      <c r="G65" s="495" t="s">
        <v>2351</v>
      </c>
      <c r="H65" s="495" t="s">
        <v>2352</v>
      </c>
      <c r="I65" s="495" t="s">
        <v>2353</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c r="A67" s="490"/>
      <c r="B67" s="502" t="s">
        <v>2316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4.4"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4.4"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4.4"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4.4"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4.4"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4.4"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ht="14.4">
      <c r="A76" s="483" t="s">
        <v>2317</v>
      </c>
      <c r="B76" s="484" t="s">
        <v>2354</v>
      </c>
      <c r="C76" s="529" t="s">
        <v>2355</v>
      </c>
      <c r="D76" s="529" t="s">
        <v>2356</v>
      </c>
      <c r="E76" s="529" t="s">
        <v>2357</v>
      </c>
      <c r="F76" s="529" t="s">
        <v>2358</v>
      </c>
      <c r="G76" s="529" t="s">
        <v>2359</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c r="A78" s="490"/>
      <c r="B78" s="494" t="s">
        <v>2360</v>
      </c>
      <c r="C78" s="534" t="s">
        <v>2355</v>
      </c>
      <c r="D78" s="534" t="s">
        <v>2356</v>
      </c>
      <c r="E78" s="534" t="s">
        <v>2357</v>
      </c>
      <c r="F78" s="534" t="s">
        <v>2358</v>
      </c>
      <c r="G78" s="534" t="s">
        <v>2359</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c r="A80" s="490"/>
      <c r="B80" s="494" t="s">
        <v>2361</v>
      </c>
      <c r="C80" s="534" t="s">
        <v>2355</v>
      </c>
      <c r="D80" s="534" t="s">
        <v>2356</v>
      </c>
      <c r="E80" s="534" t="s">
        <v>2357</v>
      </c>
      <c r="F80" s="534" t="s">
        <v>2358</v>
      </c>
      <c r="G80" s="534" t="s">
        <v>2359</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c r="A82" s="490"/>
      <c r="B82" s="502" t="s">
        <v>2413</v>
      </c>
      <c r="C82" s="615" t="s">
        <v>2433</v>
      </c>
      <c r="D82" s="615" t="s">
        <v>2434</v>
      </c>
      <c r="E82" s="615" t="s">
        <v>2435</v>
      </c>
      <c r="F82" s="615" t="s">
        <v>2436</v>
      </c>
      <c r="G82" s="615" t="s">
        <v>2437</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c r="A84" s="490"/>
      <c r="B84" s="494" t="s">
        <v>2367</v>
      </c>
      <c r="C84" s="534" t="s">
        <v>2355</v>
      </c>
      <c r="D84" s="534" t="s">
        <v>2356</v>
      </c>
      <c r="E84" s="534" t="s">
        <v>2357</v>
      </c>
      <c r="F84" s="534" t="s">
        <v>2358</v>
      </c>
      <c r="G84" s="534" t="s">
        <v>2359</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2" customFormat="1" ht="15" thickTop="1">
      <c r="A86" s="535"/>
      <c r="B86" s="494" t="s">
        <v>2438</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2" customFormat="1" ht="14.4" thickTop="1">
      <c r="A88" s="535"/>
      <c r="B88" s="494" t="str">
        <f>B26</f>
        <v>平面位置/可视性</v>
      </c>
      <c r="C88" s="510"/>
      <c r="D88" s="510"/>
      <c r="E88" s="510"/>
      <c r="F88" s="2082"/>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2" customFormat="1" ht="14.4"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4.4"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4.4"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4.4"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4.4"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4.4"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4.4"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4.4"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4.4"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4.4" thickBot="1">
      <c r="A99" s="2083"/>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4.4">
      <c r="A100" s="483" t="s">
        <v>2321</v>
      </c>
      <c r="B100" s="484" t="s">
        <v>2439</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 thickTop="1">
      <c r="A102" s="490"/>
      <c r="B102" s="494" t="s">
        <v>2371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4.4"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2372</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2374</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1813</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2376</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2440</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2441</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2442</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4.4"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2443</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2378</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29.4" thickTop="1">
      <c r="A124" s="555"/>
      <c r="B124" s="494" t="s">
        <v>2379</v>
      </c>
      <c r="C124" s="534" t="s">
        <v>2355</v>
      </c>
      <c r="D124" s="534" t="s">
        <v>2356</v>
      </c>
      <c r="E124" s="534" t="s">
        <v>2357</v>
      </c>
      <c r="F124" s="534" t="s">
        <v>2358</v>
      </c>
      <c r="G124" s="534" t="s">
        <v>2359</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4.4"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4.4"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4.4"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4.4"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4.4"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4.4" thickBot="1">
      <c r="A131" s="2083"/>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2286</v>
      </c>
      <c r="B1" s="2112" t="s">
        <v>2444</v>
      </c>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IF(C2="——",ROUND(C50*D3/10000,0),ROUND(C50*D3/10000,0)-D2)</f>
        <v>#DIV/0!</v>
      </c>
      <c r="C2" s="2036"/>
      <c r="D2" s="1246" t="e">
        <f ca="1">SUMIF(INDIRECT("'"&amp;F2&amp;"'"&amp;"!A:A"),"承租人权益价值",INDIRECT("'"&amp;F2&amp;"'"&amp;"!c:c"))</f>
        <v>#REF!</v>
      </c>
      <c r="E2" s="2037" t="s">
        <v>2086</v>
      </c>
      <c r="F2" s="2038"/>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 ca="1">IF(C2="——",C50,ROUND(B2*10000/D3,0))</f>
        <v>#DIV/0!</v>
      </c>
      <c r="C3" s="359" t="s">
        <v>2402</v>
      </c>
      <c r="D3" s="358">
        <f>IF(D1="",'数据-汇总表'!E3,SUMIF('数据-汇总表'!$C19:$C33,D1,'数据-汇总表'!$E19:$E33))</f>
        <v>17650.910000000003</v>
      </c>
      <c r="E3" s="2109"/>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4.4">
      <c r="A4" s="360" t="s">
        <v>2403</v>
      </c>
      <c r="B4" s="361"/>
      <c r="C4" s="3565" t="s">
        <v>2404</v>
      </c>
      <c r="D4" s="3566"/>
      <c r="E4" s="3567" t="s">
        <v>2405</v>
      </c>
      <c r="F4" s="3568"/>
      <c r="G4" s="3565" t="s">
        <v>2406</v>
      </c>
      <c r="H4" s="3566"/>
      <c r="I4" s="3565" t="s">
        <v>2407</v>
      </c>
      <c r="J4" s="3566"/>
      <c r="K4" s="566" t="s">
        <v>2408</v>
      </c>
      <c r="L4" s="2911"/>
      <c r="M4" s="2912"/>
      <c r="N4" s="2912"/>
      <c r="O4" s="2912"/>
      <c r="P4" s="3599" t="s">
        <v>2409</v>
      </c>
      <c r="Q4" s="3600"/>
      <c r="R4" s="3594" t="s">
        <v>2405</v>
      </c>
      <c r="S4" s="3595"/>
      <c r="T4" s="3594" t="s">
        <v>2406</v>
      </c>
      <c r="U4" s="3595"/>
      <c r="V4" s="3603" t="s">
        <v>2407</v>
      </c>
      <c r="W4" s="3603"/>
      <c r="X4" s="2113"/>
      <c r="Y4" s="3594" t="s">
        <v>2409</v>
      </c>
      <c r="Z4" s="3595"/>
      <c r="AA4" s="3593" t="s">
        <v>2405</v>
      </c>
      <c r="AB4" s="3593" t="s">
        <v>2406</v>
      </c>
      <c r="AC4" s="3596" t="s">
        <v>2407</v>
      </c>
    </row>
    <row r="5" spans="1:29">
      <c r="A5" s="363"/>
      <c r="B5" s="364"/>
      <c r="C5" s="3558" t="s">
        <v>2300</v>
      </c>
      <c r="D5" s="3559"/>
      <c r="E5" s="3556" t="s">
        <v>2301</v>
      </c>
      <c r="F5" s="3557"/>
      <c r="G5" s="3558" t="s">
        <v>2302</v>
      </c>
      <c r="H5" s="3559"/>
      <c r="I5" s="3558" t="s">
        <v>2303</v>
      </c>
      <c r="J5" s="3559"/>
      <c r="K5" s="566"/>
      <c r="L5" s="2911"/>
      <c r="M5" s="2912"/>
      <c r="N5" s="2912"/>
      <c r="O5" s="2912"/>
      <c r="P5" s="3601"/>
      <c r="Q5" s="3572"/>
      <c r="R5" s="3554"/>
      <c r="S5" s="3555"/>
      <c r="T5" s="3554"/>
      <c r="U5" s="3555"/>
      <c r="V5" s="3577"/>
      <c r="W5" s="3577"/>
      <c r="X5" s="1508"/>
      <c r="Y5" s="3554"/>
      <c r="Z5" s="3555"/>
      <c r="AA5" s="3548"/>
      <c r="AB5" s="3548"/>
      <c r="AC5" s="3597"/>
    </row>
    <row r="6" spans="1:29" ht="15" thickBot="1">
      <c r="A6" s="365"/>
      <c r="B6" s="366"/>
      <c r="C6" s="3560" t="s">
        <v>2304</v>
      </c>
      <c r="D6" s="3561"/>
      <c r="E6" s="3562" t="s">
        <v>2304</v>
      </c>
      <c r="F6" s="3563"/>
      <c r="G6" s="3560" t="s">
        <v>2304</v>
      </c>
      <c r="H6" s="3561"/>
      <c r="I6" s="3560" t="s">
        <v>2304</v>
      </c>
      <c r="J6" s="3561"/>
      <c r="K6" s="566" t="s">
        <v>2305</v>
      </c>
      <c r="L6" s="2911"/>
      <c r="M6" s="2912"/>
      <c r="N6" s="2912"/>
      <c r="O6" s="2912"/>
      <c r="P6" s="3602"/>
      <c r="Q6" s="3574"/>
      <c r="R6" s="3554"/>
      <c r="S6" s="3555"/>
      <c r="T6" s="3575"/>
      <c r="U6" s="3576"/>
      <c r="V6" s="3577"/>
      <c r="W6" s="3577"/>
      <c r="X6" s="1508"/>
      <c r="Y6" s="3575"/>
      <c r="Z6" s="3576"/>
      <c r="AA6" s="3549"/>
      <c r="AB6" s="3549"/>
      <c r="AC6" s="3598"/>
    </row>
    <row r="7" spans="1:29" s="112" customFormat="1" ht="15" thickBot="1">
      <c r="A7" s="367" t="s">
        <v>2306</v>
      </c>
      <c r="B7" s="368"/>
      <c r="C7" s="369">
        <f>'数据-取费表'!B2</f>
        <v>44610</v>
      </c>
      <c r="D7" s="370">
        <v>100</v>
      </c>
      <c r="E7" s="371"/>
      <c r="F7" s="372">
        <f>SUMIF(59:59,YEAR(E7)&amp;"-"&amp;MONTH(E7),60:60)</f>
        <v>0</v>
      </c>
      <c r="G7" s="371"/>
      <c r="H7" s="370">
        <f>SUMIF(59:59,YEAR(G7)&amp;"-"&amp;MONTH(G7),60:60)</f>
        <v>0</v>
      </c>
      <c r="I7" s="371"/>
      <c r="J7" s="370">
        <f>SUMIF(59:59,YEAR(I7)&amp;"-"&amp;MONTH(I7),60:60)</f>
        <v>0</v>
      </c>
      <c r="K7" s="567"/>
      <c r="L7" s="2913"/>
      <c r="M7" s="2914"/>
      <c r="N7" s="2914"/>
      <c r="O7" s="2914"/>
      <c r="P7" s="3604" t="s">
        <v>2307</v>
      </c>
      <c r="Q7" s="3578"/>
      <c r="R7" s="709" t="s">
        <v>17</v>
      </c>
      <c r="S7" s="710">
        <f t="shared" ref="S7:S15" si="0">F7</f>
        <v>0</v>
      </c>
      <c r="T7" s="709" t="s">
        <v>17</v>
      </c>
      <c r="U7" s="710">
        <f t="shared" ref="U7:U15" si="1">H7</f>
        <v>0</v>
      </c>
      <c r="V7" s="709" t="s">
        <v>17</v>
      </c>
      <c r="W7" s="710">
        <f t="shared" ref="W7:W15" si="2">J7</f>
        <v>0</v>
      </c>
      <c r="X7" s="711"/>
      <c r="Y7" s="3550" t="s">
        <v>2307</v>
      </c>
      <c r="Z7" s="3551"/>
      <c r="AA7" s="712" t="e">
        <f>D7/F7</f>
        <v>#DIV/0!</v>
      </c>
      <c r="AB7" s="712" t="e">
        <f>D7/H7</f>
        <v>#DIV/0!</v>
      </c>
      <c r="AC7" s="2114" t="e">
        <f>D7/J7</f>
        <v>#DIV/0!</v>
      </c>
    </row>
    <row r="8" spans="1:29" s="112" customFormat="1" ht="15" thickBot="1">
      <c r="A8" s="367" t="s">
        <v>2308</v>
      </c>
      <c r="B8" s="368"/>
      <c r="C8" s="373" t="s">
        <v>2410</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604" t="s">
        <v>2310</v>
      </c>
      <c r="Q8" s="3551"/>
      <c r="R8" s="709" t="s">
        <v>17</v>
      </c>
      <c r="S8" s="710">
        <f t="shared" si="0"/>
        <v>0</v>
      </c>
      <c r="T8" s="709" t="s">
        <v>17</v>
      </c>
      <c r="U8" s="710">
        <f t="shared" si="1"/>
        <v>0</v>
      </c>
      <c r="V8" s="709" t="s">
        <v>17</v>
      </c>
      <c r="W8" s="710">
        <f t="shared" si="2"/>
        <v>0</v>
      </c>
      <c r="X8" s="711"/>
      <c r="Y8" s="3550" t="s">
        <v>2310</v>
      </c>
      <c r="Z8" s="3551"/>
      <c r="AA8" s="712" t="e">
        <f t="shared" ref="AA8:AA47" si="3">D8/F8</f>
        <v>#DIV/0!</v>
      </c>
      <c r="AB8" s="712" t="e">
        <f t="shared" ref="AB8:AB47" si="4">D8/H8</f>
        <v>#DIV/0!</v>
      </c>
      <c r="AC8" s="2114" t="e">
        <f t="shared" ref="AC8:AC47" si="5">D8/J8</f>
        <v>#DIV/0!</v>
      </c>
    </row>
    <row r="9" spans="1:29" s="112" customFormat="1" ht="14.4">
      <c r="A9" s="374" t="s">
        <v>2311</v>
      </c>
      <c r="B9" s="66" t="s">
        <v>2312</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564"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2114">
        <f t="shared" si="5"/>
        <v>1</v>
      </c>
    </row>
    <row r="10" spans="1:29" s="385" customFormat="1" ht="28.8">
      <c r="A10" s="379"/>
      <c r="B10" s="380" t="s">
        <v>2315</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564"/>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2114">
        <f t="shared" si="5"/>
        <v>1</v>
      </c>
    </row>
    <row r="11" spans="1:29" ht="15">
      <c r="A11" s="386"/>
      <c r="B11" s="380" t="s">
        <v>2316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564"/>
      <c r="Q11" s="1496" t="str">
        <f t="shared" si="6"/>
        <v>容积率</v>
      </c>
      <c r="R11" s="709" t="s">
        <v>17</v>
      </c>
      <c r="S11" s="710" t="e">
        <f t="shared" si="0"/>
        <v>#N/A</v>
      </c>
      <c r="T11" s="709" t="s">
        <v>17</v>
      </c>
      <c r="U11" s="710" t="e">
        <f t="shared" si="1"/>
        <v>#N/A</v>
      </c>
      <c r="V11" s="709" t="s">
        <v>17</v>
      </c>
      <c r="W11" s="710" t="e">
        <f t="shared" si="2"/>
        <v>#N/A</v>
      </c>
      <c r="X11" s="711"/>
      <c r="Y11" s="3487"/>
      <c r="Z11" s="54" t="str">
        <f t="shared" si="7"/>
        <v>容积率</v>
      </c>
      <c r="AA11" s="712" t="e">
        <f t="shared" si="3"/>
        <v>#N/A</v>
      </c>
      <c r="AB11" s="712" t="e">
        <f t="shared" si="4"/>
        <v>#N/A</v>
      </c>
      <c r="AC11" s="2114" t="e">
        <f t="shared" si="5"/>
        <v>#N/A</v>
      </c>
    </row>
    <row r="12" spans="1:29" s="112"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3"/>
      <c r="M12" s="2914"/>
      <c r="N12" s="2914"/>
      <c r="O12" s="2914"/>
      <c r="P12" s="3564"/>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18"/>
      <c r="M13" s="2912"/>
      <c r="N13" s="2912"/>
      <c r="O13" s="2912"/>
      <c r="P13" s="3564"/>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2114">
        <f t="shared" si="5"/>
        <v>1</v>
      </c>
    </row>
    <row r="14" spans="1:29" ht="15.6"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8"/>
      <c r="M14" s="2912"/>
      <c r="N14" s="2912"/>
      <c r="O14" s="2912"/>
      <c r="P14" s="3564"/>
      <c r="Q14" s="1496">
        <f t="shared" si="6"/>
        <v>111</v>
      </c>
      <c r="R14" s="709" t="s">
        <v>17</v>
      </c>
      <c r="S14" s="710">
        <f t="shared" si="0"/>
        <v>100</v>
      </c>
      <c r="T14" s="709" t="s">
        <v>17</v>
      </c>
      <c r="U14" s="710">
        <f t="shared" si="1"/>
        <v>100</v>
      </c>
      <c r="V14" s="709" t="s">
        <v>17</v>
      </c>
      <c r="W14" s="710">
        <f t="shared" si="2"/>
        <v>100</v>
      </c>
      <c r="X14" s="711"/>
      <c r="Y14" s="3487"/>
      <c r="Z14" s="54">
        <f t="shared" si="7"/>
        <v>111</v>
      </c>
      <c r="AA14" s="712">
        <f t="shared" si="3"/>
        <v>1</v>
      </c>
      <c r="AB14" s="712">
        <f t="shared" si="4"/>
        <v>1</v>
      </c>
      <c r="AC14" s="2114">
        <f t="shared" si="5"/>
        <v>1</v>
      </c>
    </row>
    <row r="15" spans="1:29" ht="15">
      <c r="A15" s="398" t="s">
        <v>2317</v>
      </c>
      <c r="B15" s="584" t="s">
        <v>2445</v>
      </c>
      <c r="C15" s="2116" t="str">
        <f>估价对象房地状况!C5</f>
        <v>一般</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91" t="s">
        <v>2318</v>
      </c>
      <c r="Q15" s="1505" t="str">
        <f t="shared" si="6"/>
        <v>办公集聚程度</v>
      </c>
      <c r="R15" s="713" t="s">
        <v>17</v>
      </c>
      <c r="S15" s="714">
        <f t="shared" si="0"/>
        <v>100</v>
      </c>
      <c r="T15" s="713" t="s">
        <v>17</v>
      </c>
      <c r="U15" s="714">
        <f t="shared" si="1"/>
        <v>100</v>
      </c>
      <c r="V15" s="713" t="s">
        <v>17</v>
      </c>
      <c r="W15" s="714">
        <f t="shared" si="2"/>
        <v>100</v>
      </c>
      <c r="X15" s="1508"/>
      <c r="Y15" s="3584" t="s">
        <v>2318</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8"/>
      <c r="M16" s="2912"/>
      <c r="N16" s="2912"/>
      <c r="O16" s="2912"/>
      <c r="P16" s="3592"/>
      <c r="Q16" s="1505"/>
      <c r="R16" s="713"/>
      <c r="S16" s="714"/>
      <c r="T16" s="713"/>
      <c r="U16" s="714"/>
      <c r="V16" s="713"/>
      <c r="W16" s="714"/>
      <c r="X16" s="1508"/>
      <c r="Y16" s="3585"/>
      <c r="Z16" s="1509"/>
      <c r="AA16" s="1506">
        <v>1</v>
      </c>
      <c r="AB16" s="1506">
        <v>1</v>
      </c>
      <c r="AC16" s="2117">
        <v>1</v>
      </c>
    </row>
    <row r="17" spans="1:29" ht="15">
      <c r="A17" s="386"/>
      <c r="B17" s="586" t="s">
        <v>1882</v>
      </c>
      <c r="C17" s="2118"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92"/>
      <c r="Q17" s="1505" t="str">
        <f>B17</f>
        <v>交通便捷度</v>
      </c>
      <c r="R17" s="713" t="s">
        <v>17</v>
      </c>
      <c r="S17" s="714">
        <f>F17</f>
        <v>100</v>
      </c>
      <c r="T17" s="713" t="s">
        <v>17</v>
      </c>
      <c r="U17" s="714">
        <f>H17</f>
        <v>100</v>
      </c>
      <c r="V17" s="713" t="s">
        <v>17</v>
      </c>
      <c r="W17" s="714">
        <f>J17</f>
        <v>100</v>
      </c>
      <c r="X17" s="1508"/>
      <c r="Y17" s="3585"/>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8"/>
      <c r="M18" s="2912"/>
      <c r="N18" s="2912"/>
      <c r="O18" s="2912"/>
      <c r="P18" s="3592"/>
      <c r="Q18" s="1505"/>
      <c r="R18" s="713"/>
      <c r="S18" s="714"/>
      <c r="T18" s="713"/>
      <c r="U18" s="714"/>
      <c r="V18" s="713"/>
      <c r="W18" s="714"/>
      <c r="X18" s="1508"/>
      <c r="Y18" s="3585"/>
      <c r="Z18" s="1509"/>
      <c r="AA18" s="1506">
        <v>1</v>
      </c>
      <c r="AB18" s="1506">
        <v>1</v>
      </c>
      <c r="AC18" s="2117">
        <v>1</v>
      </c>
    </row>
    <row r="19" spans="1:29" ht="15">
      <c r="A19" s="386"/>
      <c r="B19" s="586" t="s">
        <v>2446</v>
      </c>
      <c r="C19" s="2118"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92"/>
      <c r="Q19" s="1505" t="str">
        <f>B19</f>
        <v>公共配套设施</v>
      </c>
      <c r="R19" s="713" t="s">
        <v>17</v>
      </c>
      <c r="S19" s="714">
        <f>F19</f>
        <v>100</v>
      </c>
      <c r="T19" s="713" t="s">
        <v>17</v>
      </c>
      <c r="U19" s="714">
        <f>H19</f>
        <v>100</v>
      </c>
      <c r="V19" s="713" t="s">
        <v>17</v>
      </c>
      <c r="W19" s="714">
        <f>J19</f>
        <v>100</v>
      </c>
      <c r="X19" s="1508"/>
      <c r="Y19" s="3585"/>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8"/>
      <c r="M20" s="2912"/>
      <c r="N20" s="2912"/>
      <c r="O20" s="2912"/>
      <c r="P20" s="3592"/>
      <c r="Q20" s="1505"/>
      <c r="R20" s="713"/>
      <c r="S20" s="714"/>
      <c r="T20" s="713"/>
      <c r="U20" s="714"/>
      <c r="V20" s="713"/>
      <c r="W20" s="714"/>
      <c r="X20" s="1508"/>
      <c r="Y20" s="3585"/>
      <c r="Z20" s="1509"/>
      <c r="AA20" s="1506">
        <v>1</v>
      </c>
      <c r="AB20" s="1506">
        <v>1</v>
      </c>
      <c r="AC20" s="2117">
        <v>1</v>
      </c>
    </row>
    <row r="21" spans="1:29" ht="15">
      <c r="A21" s="386"/>
      <c r="B21" s="588" t="s">
        <v>2447</v>
      </c>
      <c r="C21" s="211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92"/>
      <c r="Q21" s="1505" t="str">
        <f>B21</f>
        <v>基础设施水平</v>
      </c>
      <c r="R21" s="713" t="s">
        <v>17</v>
      </c>
      <c r="S21" s="714">
        <f>F21</f>
        <v>100</v>
      </c>
      <c r="T21" s="713" t="s">
        <v>17</v>
      </c>
      <c r="U21" s="714">
        <f>H21</f>
        <v>100</v>
      </c>
      <c r="V21" s="713" t="s">
        <v>17</v>
      </c>
      <c r="W21" s="714">
        <f>J21</f>
        <v>100</v>
      </c>
      <c r="X21" s="1508"/>
      <c r="Y21" s="3585"/>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8"/>
      <c r="M22" s="2912"/>
      <c r="N22" s="2912"/>
      <c r="O22" s="2912"/>
      <c r="P22" s="3592"/>
      <c r="Q22" s="1505"/>
      <c r="R22" s="713"/>
      <c r="S22" s="714"/>
      <c r="T22" s="713"/>
      <c r="U22" s="714"/>
      <c r="V22" s="713"/>
      <c r="W22" s="714"/>
      <c r="X22" s="1508"/>
      <c r="Y22" s="3585"/>
      <c r="Z22" s="1509"/>
      <c r="AA22" s="1506">
        <v>1</v>
      </c>
      <c r="AB22" s="1506">
        <v>1</v>
      </c>
      <c r="AC22" s="2117">
        <v>1</v>
      </c>
    </row>
    <row r="23" spans="1:29" ht="15">
      <c r="A23" s="386"/>
      <c r="B23" s="586" t="s">
        <v>2448</v>
      </c>
      <c r="C23" s="2118"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92"/>
      <c r="Q23" s="1505" t="str">
        <f>B23</f>
        <v>环境质量</v>
      </c>
      <c r="R23" s="713" t="s">
        <v>17</v>
      </c>
      <c r="S23" s="714">
        <f>F23</f>
        <v>100</v>
      </c>
      <c r="T23" s="713" t="s">
        <v>17</v>
      </c>
      <c r="U23" s="714">
        <f>H23</f>
        <v>100</v>
      </c>
      <c r="V23" s="713" t="s">
        <v>17</v>
      </c>
      <c r="W23" s="714">
        <f>J23</f>
        <v>100</v>
      </c>
      <c r="X23" s="1508"/>
      <c r="Y23" s="3585"/>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8"/>
      <c r="M24" s="2912"/>
      <c r="N24" s="2912"/>
      <c r="O24" s="2912"/>
      <c r="P24" s="3592"/>
      <c r="Q24" s="1505"/>
      <c r="R24" s="713"/>
      <c r="S24" s="714"/>
      <c r="T24" s="713"/>
      <c r="U24" s="714"/>
      <c r="V24" s="713"/>
      <c r="W24" s="714"/>
      <c r="X24" s="1508"/>
      <c r="Y24" s="3585"/>
      <c r="Z24" s="1509"/>
      <c r="AA24" s="1506">
        <v>1</v>
      </c>
      <c r="AB24" s="1506">
        <v>1</v>
      </c>
      <c r="AC24" s="2117">
        <v>1</v>
      </c>
    </row>
    <row r="25" spans="1:29" ht="28.8">
      <c r="A25" s="363"/>
      <c r="B25" s="586" t="s">
        <v>2449</v>
      </c>
      <c r="C25" s="2063"/>
      <c r="D25" s="393">
        <v>100</v>
      </c>
      <c r="E25" s="392"/>
      <c r="F25" s="393">
        <f>SUMIF(87:87,E26,88:88)-SUMIF(87:87,C26,88:88)+100</f>
        <v>100</v>
      </c>
      <c r="G25" s="2063"/>
      <c r="H25" s="393">
        <f>SUMIF(87:87,G26,88:88)-SUMIF(87:87,C26,88:88)+100</f>
        <v>100</v>
      </c>
      <c r="I25" s="392"/>
      <c r="J25" s="393">
        <f>SUMIF(87:87,I26,88:88)-SUMIF(87:87,C26,88:88)+100</f>
        <v>100</v>
      </c>
      <c r="K25" s="570"/>
      <c r="L25" s="2918"/>
      <c r="M25" s="2912"/>
      <c r="N25" s="2912"/>
      <c r="O25" s="2912"/>
      <c r="P25" s="3592"/>
      <c r="Q25" s="1505" t="str">
        <f>B25</f>
        <v>毗邻道路的类型与等级</v>
      </c>
      <c r="R25" s="713" t="s">
        <v>17</v>
      </c>
      <c r="S25" s="714">
        <f>F25</f>
        <v>100</v>
      </c>
      <c r="T25" s="713" t="s">
        <v>17</v>
      </c>
      <c r="U25" s="714">
        <f>H25</f>
        <v>100</v>
      </c>
      <c r="V25" s="713" t="s">
        <v>17</v>
      </c>
      <c r="W25" s="714">
        <f>J25</f>
        <v>100</v>
      </c>
      <c r="X25" s="1508"/>
      <c r="Y25" s="3585"/>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8"/>
      <c r="M26" s="2912"/>
      <c r="N26" s="2912"/>
      <c r="O26" s="2912"/>
      <c r="P26" s="3592"/>
      <c r="Q26" s="1505"/>
      <c r="R26" s="713"/>
      <c r="S26" s="714"/>
      <c r="T26" s="713"/>
      <c r="U26" s="714"/>
      <c r="V26" s="713"/>
      <c r="W26" s="714"/>
      <c r="X26" s="1508"/>
      <c r="Y26" s="3585"/>
      <c r="Z26" s="1509"/>
      <c r="AA26" s="1506">
        <v>1</v>
      </c>
      <c r="AB26" s="1506">
        <v>1</v>
      </c>
      <c r="AC26" s="2117">
        <v>1</v>
      </c>
    </row>
    <row r="27" spans="1:29" ht="15">
      <c r="A27" s="386"/>
      <c r="B27" s="587" t="s">
        <v>2417</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92"/>
      <c r="Q27" s="1505" t="str">
        <f t="shared" ref="Q27:Q47" si="11">B27</f>
        <v>楼层</v>
      </c>
      <c r="R27" s="713" t="s">
        <v>17</v>
      </c>
      <c r="S27" s="714">
        <f>F27</f>
        <v>100</v>
      </c>
      <c r="T27" s="713" t="s">
        <v>17</v>
      </c>
      <c r="U27" s="714">
        <f>H27</f>
        <v>100</v>
      </c>
      <c r="V27" s="713" t="s">
        <v>17</v>
      </c>
      <c r="W27" s="714">
        <f>J27</f>
        <v>100</v>
      </c>
      <c r="X27" s="1508"/>
      <c r="Y27" s="3585"/>
      <c r="Z27" s="1509" t="str">
        <f>Q27</f>
        <v>楼层</v>
      </c>
      <c r="AA27" s="1506">
        <f t="shared" si="3"/>
        <v>1</v>
      </c>
      <c r="AB27" s="1506">
        <f t="shared" si="4"/>
        <v>1</v>
      </c>
      <c r="AC27" s="2117">
        <f t="shared" si="5"/>
        <v>1</v>
      </c>
    </row>
    <row r="28" spans="1:29" s="112" customFormat="1" ht="15">
      <c r="A28" s="389"/>
      <c r="B28" s="586" t="s">
        <v>2450</v>
      </c>
      <c r="C28" s="2120"/>
      <c r="D28" s="420">
        <v>100</v>
      </c>
      <c r="E28" s="2111"/>
      <c r="F28" s="420">
        <f>SUMIF(91:91,E28,92:92)-SUMIF(91:91,C28,92:92)+100</f>
        <v>100</v>
      </c>
      <c r="G28" s="2120"/>
      <c r="H28" s="420">
        <f>SUMIF(91:91,G28,92:92)-SUMIF(91:91,C28,92:92)+100</f>
        <v>100</v>
      </c>
      <c r="I28" s="2111"/>
      <c r="J28" s="420">
        <f>SUMIF(91:91,I28,92:92)-SUMIF(91:91,C28,92:92)+100</f>
        <v>100</v>
      </c>
      <c r="K28" s="568"/>
      <c r="L28" s="2913"/>
      <c r="M28" s="2914"/>
      <c r="N28" s="2914"/>
      <c r="O28" s="2914"/>
      <c r="P28" s="3592"/>
      <c r="Q28" s="1496" t="str">
        <f t="shared" si="11"/>
        <v>朝向</v>
      </c>
      <c r="R28" s="709" t="s">
        <v>17</v>
      </c>
      <c r="S28" s="710">
        <f>F28</f>
        <v>100</v>
      </c>
      <c r="T28" s="709" t="s">
        <v>17</v>
      </c>
      <c r="U28" s="710">
        <f>H28</f>
        <v>100</v>
      </c>
      <c r="V28" s="709" t="s">
        <v>17</v>
      </c>
      <c r="W28" s="710">
        <f>J28</f>
        <v>100</v>
      </c>
      <c r="X28" s="711"/>
      <c r="Y28" s="3585"/>
      <c r="Z28" s="54"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8"/>
      <c r="M29" s="2912"/>
      <c r="N29" s="2912"/>
      <c r="O29" s="2912"/>
      <c r="P29" s="3592"/>
      <c r="Q29" s="1505">
        <f t="shared" si="11"/>
        <v>111</v>
      </c>
      <c r="R29" s="713" t="s">
        <v>17</v>
      </c>
      <c r="S29" s="714">
        <f t="shared" ref="S29:S47" si="12">F29</f>
        <v>100</v>
      </c>
      <c r="T29" s="713" t="s">
        <v>17</v>
      </c>
      <c r="U29" s="714">
        <f t="shared" ref="U29:U47" si="13">H29</f>
        <v>100</v>
      </c>
      <c r="V29" s="713" t="s">
        <v>17</v>
      </c>
      <c r="W29" s="714">
        <f t="shared" ref="W29:W47" si="14">J29</f>
        <v>100</v>
      </c>
      <c r="X29" s="1508"/>
      <c r="Y29" s="3585"/>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8"/>
      <c r="M30" s="2912"/>
      <c r="N30" s="2912"/>
      <c r="O30" s="2912"/>
      <c r="P30" s="3592"/>
      <c r="Q30" s="1505">
        <f t="shared" si="11"/>
        <v>111</v>
      </c>
      <c r="R30" s="713" t="s">
        <v>17</v>
      </c>
      <c r="S30" s="714">
        <f t="shared" si="12"/>
        <v>100</v>
      </c>
      <c r="T30" s="713" t="s">
        <v>17</v>
      </c>
      <c r="U30" s="714">
        <f t="shared" si="13"/>
        <v>100</v>
      </c>
      <c r="V30" s="713" t="s">
        <v>17</v>
      </c>
      <c r="W30" s="714">
        <f t="shared" si="14"/>
        <v>100</v>
      </c>
      <c r="X30" s="1508"/>
      <c r="Y30" s="3585"/>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8"/>
      <c r="M31" s="2912"/>
      <c r="N31" s="2912"/>
      <c r="O31" s="2912"/>
      <c r="P31" s="3592"/>
      <c r="Q31" s="1505">
        <f t="shared" si="11"/>
        <v>111</v>
      </c>
      <c r="R31" s="713" t="s">
        <v>17</v>
      </c>
      <c r="S31" s="714">
        <f t="shared" si="12"/>
        <v>100</v>
      </c>
      <c r="T31" s="713" t="s">
        <v>17</v>
      </c>
      <c r="U31" s="714">
        <f t="shared" si="13"/>
        <v>100</v>
      </c>
      <c r="V31" s="713" t="s">
        <v>17</v>
      </c>
      <c r="W31" s="714">
        <f t="shared" si="14"/>
        <v>100</v>
      </c>
      <c r="X31" s="1508"/>
      <c r="Y31" s="3585"/>
      <c r="Z31" s="1509">
        <f t="shared" si="15"/>
        <v>111</v>
      </c>
      <c r="AA31" s="1506">
        <f t="shared" si="3"/>
        <v>1</v>
      </c>
      <c r="AB31" s="1506">
        <f t="shared" si="4"/>
        <v>1</v>
      </c>
      <c r="AC31" s="2117">
        <f t="shared" si="5"/>
        <v>1</v>
      </c>
    </row>
    <row r="32" spans="1:29" ht="15.6"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8"/>
      <c r="M32" s="2912"/>
      <c r="N32" s="2912"/>
      <c r="O32" s="2912"/>
      <c r="P32" s="3592"/>
      <c r="Q32" s="1505">
        <f t="shared" si="11"/>
        <v>111</v>
      </c>
      <c r="R32" s="713" t="s">
        <v>17</v>
      </c>
      <c r="S32" s="714">
        <f t="shared" si="12"/>
        <v>100</v>
      </c>
      <c r="T32" s="713" t="s">
        <v>17</v>
      </c>
      <c r="U32" s="714">
        <f t="shared" si="13"/>
        <v>100</v>
      </c>
      <c r="V32" s="713" t="s">
        <v>17</v>
      </c>
      <c r="W32" s="714">
        <f t="shared" si="14"/>
        <v>100</v>
      </c>
      <c r="X32" s="1508"/>
      <c r="Y32" s="3585"/>
      <c r="Z32" s="1509">
        <f t="shared" si="15"/>
        <v>111</v>
      </c>
      <c r="AA32" s="1506">
        <f t="shared" si="3"/>
        <v>1</v>
      </c>
      <c r="AB32" s="1506">
        <f t="shared" si="4"/>
        <v>1</v>
      </c>
      <c r="AC32" s="2117">
        <f t="shared" si="5"/>
        <v>1</v>
      </c>
    </row>
    <row r="33" spans="1:29" ht="15">
      <c r="A33" s="398" t="s">
        <v>2321</v>
      </c>
      <c r="B33" s="66" t="s">
        <v>2451</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8"/>
      <c r="M33" s="2912"/>
      <c r="N33" s="2912"/>
      <c r="O33" s="2912"/>
      <c r="P33" s="3586" t="s">
        <v>2323</v>
      </c>
      <c r="Q33" s="1505" t="str">
        <f t="shared" si="11"/>
        <v>建筑类型</v>
      </c>
      <c r="R33" s="713" t="s">
        <v>17</v>
      </c>
      <c r="S33" s="714">
        <f t="shared" si="12"/>
        <v>100</v>
      </c>
      <c r="T33" s="713" t="s">
        <v>17</v>
      </c>
      <c r="U33" s="714">
        <f t="shared" si="13"/>
        <v>100</v>
      </c>
      <c r="V33" s="713" t="s">
        <v>17</v>
      </c>
      <c r="W33" s="714">
        <f t="shared" si="14"/>
        <v>100</v>
      </c>
      <c r="X33" s="1508"/>
      <c r="Y33" s="3589" t="s">
        <v>2323</v>
      </c>
      <c r="Z33" s="1509" t="str">
        <f t="shared" si="15"/>
        <v>建筑类型</v>
      </c>
      <c r="AA33" s="1506">
        <f t="shared" si="3"/>
        <v>1</v>
      </c>
      <c r="AB33" s="1506">
        <f t="shared" si="4"/>
        <v>1</v>
      </c>
      <c r="AC33" s="2117">
        <f t="shared" si="5"/>
        <v>1</v>
      </c>
    </row>
    <row r="34" spans="1:29" s="429" customFormat="1" ht="15">
      <c r="A34" s="426"/>
      <c r="B34" s="380" t="s">
        <v>2324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87"/>
      <c r="Q34" s="715" t="str">
        <f t="shared" si="11"/>
        <v>项目建筑规模</v>
      </c>
      <c r="R34" s="716" t="s">
        <v>17</v>
      </c>
      <c r="S34" s="717" t="e">
        <f t="shared" si="12"/>
        <v>#N/A</v>
      </c>
      <c r="T34" s="716" t="s">
        <v>17</v>
      </c>
      <c r="U34" s="717" t="e">
        <f t="shared" si="13"/>
        <v>#N/A</v>
      </c>
      <c r="V34" s="716" t="s">
        <v>17</v>
      </c>
      <c r="W34" s="717" t="e">
        <f t="shared" si="14"/>
        <v>#N/A</v>
      </c>
      <c r="X34" s="718"/>
      <c r="Y34" s="3589"/>
      <c r="Z34" s="719" t="str">
        <f t="shared" si="15"/>
        <v>项目建筑规模</v>
      </c>
      <c r="AA34" s="1506" t="e">
        <f t="shared" si="3"/>
        <v>#N/A</v>
      </c>
      <c r="AB34" s="1506" t="e">
        <f t="shared" si="4"/>
        <v>#N/A</v>
      </c>
      <c r="AC34" s="2117" t="e">
        <f t="shared" si="5"/>
        <v>#N/A</v>
      </c>
    </row>
    <row r="35" spans="1:29" ht="15">
      <c r="A35" s="430"/>
      <c r="B35" s="380" t="s">
        <v>2325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87"/>
      <c r="Q35" s="1505" t="str">
        <f t="shared" si="11"/>
        <v>建筑结构</v>
      </c>
      <c r="R35" s="713" t="s">
        <v>17</v>
      </c>
      <c r="S35" s="714">
        <f t="shared" si="12"/>
        <v>100</v>
      </c>
      <c r="T35" s="713" t="s">
        <v>17</v>
      </c>
      <c r="U35" s="714">
        <f t="shared" si="13"/>
        <v>100</v>
      </c>
      <c r="V35" s="713" t="s">
        <v>17</v>
      </c>
      <c r="W35" s="714">
        <f t="shared" si="14"/>
        <v>100</v>
      </c>
      <c r="X35" s="1508"/>
      <c r="Y35" s="3589"/>
      <c r="Z35" s="1509" t="str">
        <f t="shared" si="15"/>
        <v>建筑结构</v>
      </c>
      <c r="AA35" s="1506">
        <f t="shared" si="3"/>
        <v>1</v>
      </c>
      <c r="AB35" s="1506">
        <f t="shared" si="4"/>
        <v>1</v>
      </c>
      <c r="AC35" s="2117">
        <f t="shared" si="5"/>
        <v>1</v>
      </c>
    </row>
    <row r="36" spans="1:29" ht="15">
      <c r="A36" s="430"/>
      <c r="B36" s="380" t="s">
        <v>2419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87"/>
      <c r="Q36" s="1505" t="str">
        <f t="shared" si="11"/>
        <v>公共部分装修</v>
      </c>
      <c r="R36" s="713" t="s">
        <v>17</v>
      </c>
      <c r="S36" s="714">
        <f t="shared" si="12"/>
        <v>100</v>
      </c>
      <c r="T36" s="713" t="s">
        <v>17</v>
      </c>
      <c r="U36" s="714">
        <f t="shared" si="13"/>
        <v>100</v>
      </c>
      <c r="V36" s="713" t="s">
        <v>17</v>
      </c>
      <c r="W36" s="714">
        <f t="shared" si="14"/>
        <v>100</v>
      </c>
      <c r="X36" s="1508"/>
      <c r="Y36" s="3589"/>
      <c r="Z36" s="1509" t="str">
        <f t="shared" si="15"/>
        <v>公共部分装修</v>
      </c>
      <c r="AA36" s="1506">
        <f t="shared" si="3"/>
        <v>1</v>
      </c>
      <c r="AB36" s="1506">
        <f t="shared" si="4"/>
        <v>1</v>
      </c>
      <c r="AC36" s="2117">
        <f t="shared" si="5"/>
        <v>1</v>
      </c>
    </row>
    <row r="37" spans="1:29" ht="15">
      <c r="A37" s="430"/>
      <c r="B37" s="380" t="s">
        <v>2420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87"/>
      <c r="Q37" s="1505" t="str">
        <f t="shared" si="11"/>
        <v>成新度</v>
      </c>
      <c r="R37" s="713" t="s">
        <v>17</v>
      </c>
      <c r="S37" s="714" t="e">
        <f t="shared" si="12"/>
        <v>#N/A</v>
      </c>
      <c r="T37" s="713" t="s">
        <v>17</v>
      </c>
      <c r="U37" s="714" t="e">
        <f t="shared" si="13"/>
        <v>#N/A</v>
      </c>
      <c r="V37" s="713" t="s">
        <v>17</v>
      </c>
      <c r="W37" s="714" t="e">
        <f t="shared" si="14"/>
        <v>#N/A</v>
      </c>
      <c r="X37" s="1508"/>
      <c r="Y37" s="3589"/>
      <c r="Z37" s="1509" t="str">
        <f t="shared" si="15"/>
        <v>成新度</v>
      </c>
      <c r="AA37" s="1506" t="e">
        <f t="shared" si="3"/>
        <v>#N/A</v>
      </c>
      <c r="AB37" s="1506" t="e">
        <f t="shared" si="4"/>
        <v>#N/A</v>
      </c>
      <c r="AC37" s="2117" t="e">
        <f t="shared" si="5"/>
        <v>#N/A</v>
      </c>
    </row>
    <row r="38" spans="1:29" s="112" customFormat="1" ht="15">
      <c r="A38" s="431"/>
      <c r="B38" s="380" t="s">
        <v>2452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87"/>
      <c r="Q38" s="1496" t="str">
        <f t="shared" si="11"/>
        <v>写字楼等级</v>
      </c>
      <c r="R38" s="709" t="s">
        <v>17</v>
      </c>
      <c r="S38" s="710">
        <f t="shared" si="12"/>
        <v>100</v>
      </c>
      <c r="T38" s="709" t="s">
        <v>17</v>
      </c>
      <c r="U38" s="710">
        <f t="shared" si="13"/>
        <v>100</v>
      </c>
      <c r="V38" s="709" t="s">
        <v>17</v>
      </c>
      <c r="W38" s="710">
        <f t="shared" si="14"/>
        <v>100</v>
      </c>
      <c r="X38" s="711"/>
      <c r="Y38" s="3589"/>
      <c r="Z38" s="54" t="str">
        <f t="shared" si="15"/>
        <v>写字楼等级</v>
      </c>
      <c r="AA38" s="712">
        <f t="shared" si="3"/>
        <v>1</v>
      </c>
      <c r="AB38" s="712">
        <f t="shared" si="4"/>
        <v>1</v>
      </c>
      <c r="AC38" s="2114">
        <f t="shared" si="5"/>
        <v>1</v>
      </c>
    </row>
    <row r="39" spans="1:29" ht="15">
      <c r="A39" s="430"/>
      <c r="B39" s="380" t="s">
        <v>2453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87" t="s">
        <v>2323</v>
      </c>
      <c r="Q39" s="1505" t="str">
        <f t="shared" si="11"/>
        <v>物业管理</v>
      </c>
      <c r="R39" s="713" t="s">
        <v>17</v>
      </c>
      <c r="S39" s="714">
        <f t="shared" si="12"/>
        <v>100</v>
      </c>
      <c r="T39" s="713" t="s">
        <v>17</v>
      </c>
      <c r="U39" s="714">
        <f t="shared" si="13"/>
        <v>100</v>
      </c>
      <c r="V39" s="713" t="s">
        <v>17</v>
      </c>
      <c r="W39" s="714">
        <f t="shared" si="14"/>
        <v>100</v>
      </c>
      <c r="X39" s="1508"/>
      <c r="Y39" s="3589" t="s">
        <v>2323</v>
      </c>
      <c r="Z39" s="1509" t="str">
        <f t="shared" si="15"/>
        <v>物业管理</v>
      </c>
      <c r="AA39" s="1506">
        <f t="shared" si="3"/>
        <v>1</v>
      </c>
      <c r="AB39" s="1506">
        <f t="shared" si="4"/>
        <v>1</v>
      </c>
      <c r="AC39" s="2117">
        <f t="shared" si="5"/>
        <v>1</v>
      </c>
    </row>
    <row r="40" spans="1:29" ht="15">
      <c r="A40" s="430"/>
      <c r="B40" s="380" t="s">
        <v>2421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87"/>
      <c r="Q40" s="1505" t="str">
        <f t="shared" si="11"/>
        <v>市政基础设施</v>
      </c>
      <c r="R40" s="713" t="s">
        <v>17</v>
      </c>
      <c r="S40" s="714">
        <f t="shared" si="12"/>
        <v>100</v>
      </c>
      <c r="T40" s="713" t="s">
        <v>17</v>
      </c>
      <c r="U40" s="714">
        <f t="shared" si="13"/>
        <v>100</v>
      </c>
      <c r="V40" s="713" t="s">
        <v>17</v>
      </c>
      <c r="W40" s="714">
        <f t="shared" si="14"/>
        <v>100</v>
      </c>
      <c r="X40" s="1508"/>
      <c r="Y40" s="3589"/>
      <c r="Z40" s="1509" t="str">
        <f t="shared" si="15"/>
        <v>市政基础设施</v>
      </c>
      <c r="AA40" s="1506">
        <f t="shared" si="3"/>
        <v>1</v>
      </c>
      <c r="AB40" s="1506">
        <f t="shared" si="4"/>
        <v>1</v>
      </c>
      <c r="AC40" s="2117">
        <f t="shared" si="5"/>
        <v>1</v>
      </c>
    </row>
    <row r="41" spans="1:29" ht="15">
      <c r="A41" s="430"/>
      <c r="B41" s="380" t="s">
        <v>2423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87"/>
      <c r="Q41" s="1505" t="str">
        <f t="shared" si="11"/>
        <v>层高</v>
      </c>
      <c r="R41" s="713" t="s">
        <v>17</v>
      </c>
      <c r="S41" s="714">
        <f t="shared" si="12"/>
        <v>100</v>
      </c>
      <c r="T41" s="713" t="s">
        <v>17</v>
      </c>
      <c r="U41" s="714">
        <f t="shared" si="13"/>
        <v>100</v>
      </c>
      <c r="V41" s="713" t="s">
        <v>17</v>
      </c>
      <c r="W41" s="714">
        <f t="shared" si="14"/>
        <v>100</v>
      </c>
      <c r="X41" s="1508"/>
      <c r="Y41" s="3589"/>
      <c r="Z41" s="1509" t="str">
        <f t="shared" si="15"/>
        <v>层高</v>
      </c>
      <c r="AA41" s="1506">
        <f t="shared" si="3"/>
        <v>1</v>
      </c>
      <c r="AB41" s="1506">
        <f t="shared" si="4"/>
        <v>1</v>
      </c>
      <c r="AC41" s="2117">
        <f t="shared" si="5"/>
        <v>1</v>
      </c>
    </row>
    <row r="42" spans="1:29" s="429" customFormat="1" ht="15">
      <c r="A42" s="426"/>
      <c r="B42" s="1507" t="s">
        <v>2454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87"/>
      <c r="Q42" s="715" t="str">
        <f t="shared" si="11"/>
        <v>单套建筑面积</v>
      </c>
      <c r="R42" s="716" t="s">
        <v>17</v>
      </c>
      <c r="S42" s="717">
        <f t="shared" si="12"/>
        <v>100</v>
      </c>
      <c r="T42" s="716" t="s">
        <v>17</v>
      </c>
      <c r="U42" s="717">
        <f t="shared" si="13"/>
        <v>100</v>
      </c>
      <c r="V42" s="716" t="s">
        <v>17</v>
      </c>
      <c r="W42" s="717">
        <f t="shared" si="14"/>
        <v>100</v>
      </c>
      <c r="X42" s="718"/>
      <c r="Y42" s="3589"/>
      <c r="Z42" s="719" t="str">
        <f t="shared" si="15"/>
        <v>单套建筑面积</v>
      </c>
      <c r="AA42" s="1506">
        <f t="shared" si="3"/>
        <v>1</v>
      </c>
      <c r="AB42" s="1506">
        <f t="shared" si="4"/>
        <v>1</v>
      </c>
      <c r="AC42" s="2117">
        <f t="shared" si="5"/>
        <v>1</v>
      </c>
    </row>
    <row r="43" spans="1:29" ht="15">
      <c r="A43" s="430"/>
      <c r="B43" s="380" t="s">
        <v>2426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87"/>
      <c r="Q43" s="1505" t="str">
        <f t="shared" si="11"/>
        <v>内部装修</v>
      </c>
      <c r="R43" s="713" t="s">
        <v>17</v>
      </c>
      <c r="S43" s="714">
        <f t="shared" si="12"/>
        <v>100</v>
      </c>
      <c r="T43" s="713" t="s">
        <v>17</v>
      </c>
      <c r="U43" s="714">
        <f t="shared" si="13"/>
        <v>100</v>
      </c>
      <c r="V43" s="713" t="s">
        <v>17</v>
      </c>
      <c r="W43" s="714">
        <f t="shared" si="14"/>
        <v>100</v>
      </c>
      <c r="X43" s="1508"/>
      <c r="Y43" s="3589"/>
      <c r="Z43" s="1509" t="str">
        <f t="shared" si="15"/>
        <v>内部装修</v>
      </c>
      <c r="AA43" s="1506">
        <f t="shared" si="3"/>
        <v>1</v>
      </c>
      <c r="AB43" s="1506">
        <f t="shared" si="4"/>
        <v>1</v>
      </c>
      <c r="AC43" s="2117">
        <f t="shared" si="5"/>
        <v>1</v>
      </c>
    </row>
    <row r="44" spans="1:29" ht="28.8">
      <c r="A44" s="430"/>
      <c r="B44" s="380" t="s">
        <v>2334</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8"/>
      <c r="M44" s="2912"/>
      <c r="N44" s="2912"/>
      <c r="O44" s="2912"/>
      <c r="P44" s="3587"/>
      <c r="Q44" s="1505" t="str">
        <f t="shared" si="11"/>
        <v>内部装修维护情况</v>
      </c>
      <c r="R44" s="713" t="s">
        <v>17</v>
      </c>
      <c r="S44" s="714">
        <f t="shared" si="12"/>
        <v>100</v>
      </c>
      <c r="T44" s="713" t="s">
        <v>17</v>
      </c>
      <c r="U44" s="714">
        <f t="shared" si="13"/>
        <v>100</v>
      </c>
      <c r="V44" s="713" t="s">
        <v>17</v>
      </c>
      <c r="W44" s="714">
        <f t="shared" si="14"/>
        <v>100</v>
      </c>
      <c r="X44" s="1508"/>
      <c r="Y44" s="3589"/>
      <c r="Z44" s="1509" t="str">
        <f t="shared" si="15"/>
        <v>内部装修维护情况</v>
      </c>
      <c r="AA44" s="1506">
        <f t="shared" si="3"/>
        <v>1</v>
      </c>
      <c r="AB44" s="1506">
        <f t="shared" si="4"/>
        <v>1</v>
      </c>
      <c r="AC44" s="2117">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87"/>
      <c r="Q45" s="1496">
        <f t="shared" si="11"/>
        <v>111</v>
      </c>
      <c r="R45" s="709" t="s">
        <v>17</v>
      </c>
      <c r="S45" s="710">
        <f t="shared" si="12"/>
        <v>100</v>
      </c>
      <c r="T45" s="709" t="s">
        <v>17</v>
      </c>
      <c r="U45" s="710">
        <f t="shared" si="13"/>
        <v>100</v>
      </c>
      <c r="V45" s="709" t="s">
        <v>17</v>
      </c>
      <c r="W45" s="710">
        <f t="shared" si="14"/>
        <v>100</v>
      </c>
      <c r="X45" s="711"/>
      <c r="Y45" s="3589"/>
      <c r="Z45" s="54">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87"/>
      <c r="Q46" s="1505">
        <f t="shared" si="11"/>
        <v>111</v>
      </c>
      <c r="R46" s="713" t="s">
        <v>17</v>
      </c>
      <c r="S46" s="714">
        <f t="shared" si="12"/>
        <v>100</v>
      </c>
      <c r="T46" s="713" t="s">
        <v>17</v>
      </c>
      <c r="U46" s="714">
        <f t="shared" si="13"/>
        <v>100</v>
      </c>
      <c r="V46" s="713" t="s">
        <v>17</v>
      </c>
      <c r="W46" s="714">
        <f t="shared" si="14"/>
        <v>100</v>
      </c>
      <c r="X46" s="1508"/>
      <c r="Y46" s="3589"/>
      <c r="Z46" s="1509">
        <f t="shared" si="15"/>
        <v>111</v>
      </c>
      <c r="AA46" s="1506">
        <f t="shared" si="3"/>
        <v>1</v>
      </c>
      <c r="AB46" s="1506">
        <f t="shared" si="4"/>
        <v>1</v>
      </c>
      <c r="AC46" s="2117">
        <f t="shared" si="5"/>
        <v>1</v>
      </c>
    </row>
    <row r="47" spans="1:29" ht="15.6"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88"/>
      <c r="Q47" s="1505">
        <f t="shared" si="11"/>
        <v>111</v>
      </c>
      <c r="R47" s="713" t="s">
        <v>17</v>
      </c>
      <c r="S47" s="714">
        <f t="shared" si="12"/>
        <v>100</v>
      </c>
      <c r="T47" s="713" t="s">
        <v>17</v>
      </c>
      <c r="U47" s="714">
        <f t="shared" si="13"/>
        <v>100</v>
      </c>
      <c r="V47" s="713" t="s">
        <v>17</v>
      </c>
      <c r="W47" s="714">
        <f t="shared" si="14"/>
        <v>100</v>
      </c>
      <c r="X47" s="1508"/>
      <c r="Y47" s="3590"/>
      <c r="Z47" s="1509">
        <f t="shared" si="15"/>
        <v>111</v>
      </c>
      <c r="AA47" s="1506">
        <f t="shared" si="3"/>
        <v>1</v>
      </c>
      <c r="AB47" s="1506">
        <f t="shared" si="4"/>
        <v>1</v>
      </c>
      <c r="AC47" s="2117">
        <f t="shared" si="5"/>
        <v>1</v>
      </c>
    </row>
    <row r="48" spans="1:29" ht="14.4">
      <c r="A48" s="437" t="s">
        <v>2335</v>
      </c>
      <c r="B48" s="438"/>
      <c r="C48" s="1287" t="s">
        <v>1</v>
      </c>
      <c r="D48" s="1288"/>
      <c r="E48" s="1289"/>
      <c r="F48" s="1290"/>
      <c r="G48" s="1291"/>
      <c r="H48" s="1292"/>
      <c r="I48" s="1289"/>
      <c r="J48" s="443"/>
      <c r="K48" s="722"/>
      <c r="L48" s="2920"/>
      <c r="M48" s="2912"/>
      <c r="N48" s="2912"/>
      <c r="O48" s="2912"/>
      <c r="P48" s="3564" t="str">
        <f>A48</f>
        <v>成交单价（元/平方米）</v>
      </c>
      <c r="Q48" s="3582"/>
      <c r="R48" s="3583">
        <f>E48</f>
        <v>0</v>
      </c>
      <c r="S48" s="3583"/>
      <c r="T48" s="3583">
        <f>G48</f>
        <v>0</v>
      </c>
      <c r="U48" s="3583"/>
      <c r="V48" s="3583">
        <f>I48</f>
        <v>0</v>
      </c>
      <c r="W48" s="3583"/>
      <c r="X48" s="404"/>
      <c r="Y48" s="720"/>
      <c r="Z48" s="404"/>
      <c r="AA48" s="404"/>
      <c r="AB48" s="404"/>
      <c r="AC48" s="585"/>
    </row>
    <row r="49" spans="1:29" ht="15" thickBot="1">
      <c r="A49" s="444" t="s">
        <v>2427</v>
      </c>
      <c r="B49" s="445"/>
      <c r="C49" s="1293" t="e">
        <f>R50</f>
        <v>#DIV/0!</v>
      </c>
      <c r="D49" s="2507" t="s">
        <v>2816</v>
      </c>
      <c r="E49" s="1294" t="e">
        <f>R49</f>
        <v>#DIV/0!</v>
      </c>
      <c r="F49" s="2508"/>
      <c r="G49" s="1293" t="e">
        <f>T49</f>
        <v>#DIV/0!</v>
      </c>
      <c r="H49" s="2508"/>
      <c r="I49" s="1294" t="e">
        <f>V49</f>
        <v>#DIV/0!</v>
      </c>
      <c r="J49" s="2508"/>
      <c r="K49" s="2510">
        <f>F49+H49+J49</f>
        <v>0</v>
      </c>
      <c r="L49" s="2920"/>
      <c r="M49" s="2912"/>
      <c r="N49" s="2912"/>
      <c r="O49" s="2912"/>
      <c r="P49" s="3564" t="str">
        <f>A49</f>
        <v>比较价值（元/平方米）</v>
      </c>
      <c r="Q49" s="3582"/>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404"/>
      <c r="Y49" s="404"/>
      <c r="Z49" s="404"/>
      <c r="AA49" s="404"/>
      <c r="AB49" s="404"/>
      <c r="AC49" s="585"/>
    </row>
    <row r="50" spans="1:29" ht="15" thickBot="1">
      <c r="A50" s="448" t="s">
        <v>2428</v>
      </c>
      <c r="B50" s="449"/>
      <c r="C50" s="1296" t="e">
        <f>R50</f>
        <v>#DIV/0!</v>
      </c>
      <c r="D50" s="1296"/>
      <c r="E50" s="1296"/>
      <c r="F50" s="1296"/>
      <c r="G50" s="1296"/>
      <c r="H50" s="1296"/>
      <c r="I50" s="1296"/>
      <c r="J50" s="450"/>
      <c r="K50" s="723"/>
      <c r="L50" s="2920"/>
      <c r="M50" s="2912"/>
      <c r="N50" s="2912"/>
      <c r="O50" s="2912"/>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2429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2.2" thickBot="1">
      <c r="A58" s="702" t="s">
        <v>2432</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4.4">
      <c r="A59" s="461" t="s">
        <v>2306</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5"/>
      <c r="Q59" s="2937"/>
      <c r="R59" s="2937"/>
      <c r="S59" s="2937"/>
      <c r="T59" s="2937"/>
      <c r="U59" s="2937"/>
      <c r="V59" s="2937"/>
      <c r="W59" s="2937"/>
      <c r="X59" s="2937"/>
      <c r="Y59" s="2937"/>
      <c r="Z59" s="2937"/>
      <c r="AA59" s="2937"/>
      <c r="AB59" s="2937"/>
      <c r="AC59" s="2937"/>
    </row>
    <row r="60" spans="1:29" s="112" customFormat="1">
      <c r="A60" s="465"/>
      <c r="B60" s="466"/>
      <c r="C60" s="1316">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2" customFormat="1" ht="15" thickBot="1">
      <c r="A61" s="471" t="s">
        <v>2343</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2" customFormat="1" ht="14.4">
      <c r="A62" s="477" t="s">
        <v>2308</v>
      </c>
      <c r="B62" s="466"/>
      <c r="C62" s="478" t="s">
        <v>2410</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2" customFormat="1" ht="14.4"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ht="14.4">
      <c r="A64" s="483" t="s">
        <v>2346</v>
      </c>
      <c r="B64" s="484" t="s">
        <v>2312</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4.4"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9.4" thickTop="1">
      <c r="A66" s="490"/>
      <c r="B66" s="494" t="s">
        <v>2315</v>
      </c>
      <c r="C66" s="495" t="s">
        <v>2347</v>
      </c>
      <c r="D66" s="495" t="s">
        <v>2348</v>
      </c>
      <c r="E66" s="495" t="s">
        <v>2349</v>
      </c>
      <c r="F66" s="495" t="s">
        <v>2350</v>
      </c>
      <c r="G66" s="495" t="s">
        <v>2351</v>
      </c>
      <c r="H66" s="495" t="s">
        <v>2352</v>
      </c>
      <c r="I66" s="495" t="s">
        <v>2353</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 thickTop="1">
      <c r="A68" s="490"/>
      <c r="B68" s="502" t="s">
        <v>2316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4.4"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4.4"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4.4"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4.4"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4.4"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4.4"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ht="14.4">
      <c r="A77" s="483" t="s">
        <v>2317</v>
      </c>
      <c r="B77" s="484" t="s">
        <v>2455</v>
      </c>
      <c r="C77" s="529" t="s">
        <v>2355</v>
      </c>
      <c r="D77" s="529" t="s">
        <v>2356</v>
      </c>
      <c r="E77" s="529" t="s">
        <v>2357</v>
      </c>
      <c r="F77" s="529" t="s">
        <v>2358</v>
      </c>
      <c r="G77" s="529" t="s">
        <v>2359</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 thickTop="1">
      <c r="A79" s="490"/>
      <c r="B79" s="494" t="s">
        <v>2360</v>
      </c>
      <c r="C79" s="534" t="s">
        <v>2355</v>
      </c>
      <c r="D79" s="534" t="s">
        <v>2356</v>
      </c>
      <c r="E79" s="534" t="s">
        <v>2357</v>
      </c>
      <c r="F79" s="534" t="s">
        <v>2358</v>
      </c>
      <c r="G79" s="534" t="s">
        <v>2359</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 thickTop="1">
      <c r="A81" s="490"/>
      <c r="B81" s="494" t="s">
        <v>2361</v>
      </c>
      <c r="C81" s="534" t="s">
        <v>2355</v>
      </c>
      <c r="D81" s="534" t="s">
        <v>2356</v>
      </c>
      <c r="E81" s="534" t="s">
        <v>2357</v>
      </c>
      <c r="F81" s="534" t="s">
        <v>2358</v>
      </c>
      <c r="G81" s="534" t="s">
        <v>2359</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 thickTop="1">
      <c r="A83" s="490"/>
      <c r="B83" s="502" t="s">
        <v>2447</v>
      </c>
      <c r="C83" s="615" t="s">
        <v>2433</v>
      </c>
      <c r="D83" s="615" t="s">
        <v>2434</v>
      </c>
      <c r="E83" s="615" t="s">
        <v>2435</v>
      </c>
      <c r="F83" s="615" t="s">
        <v>2436</v>
      </c>
      <c r="G83" s="615" t="s">
        <v>2437</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 thickTop="1">
      <c r="A85" s="490"/>
      <c r="B85" s="494" t="s">
        <v>2456</v>
      </c>
      <c r="C85" s="534" t="s">
        <v>2355</v>
      </c>
      <c r="D85" s="534" t="s">
        <v>2356</v>
      </c>
      <c r="E85" s="534" t="s">
        <v>2357</v>
      </c>
      <c r="F85" s="534" t="s">
        <v>2358</v>
      </c>
      <c r="G85" s="534" t="s">
        <v>2359</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2" customFormat="1" ht="29.4" thickTop="1">
      <c r="A87" s="535"/>
      <c r="B87" s="494" t="s">
        <v>2457</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2" customFormat="1" ht="14.4" thickTop="1">
      <c r="A89" s="535"/>
      <c r="B89" s="494" t="str">
        <f>B27</f>
        <v>楼层</v>
      </c>
      <c r="C89" s="510"/>
      <c r="D89" s="510"/>
      <c r="E89" s="510"/>
      <c r="F89" s="2082"/>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4.4"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4.4"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4.4"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4.4"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4.4"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4.4"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4.4" thickBot="1">
      <c r="A100" s="2083"/>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ht="14.4">
      <c r="A101" s="483" t="s">
        <v>2321</v>
      </c>
      <c r="B101" s="484" t="s">
        <v>2370</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 thickTop="1">
      <c r="A103" s="490"/>
      <c r="B103" s="494" t="s">
        <v>2371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4.4"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2372</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2374</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1813</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2458</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2375</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2376</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2459</v>
      </c>
      <c r="C119" s="539"/>
      <c r="D119" s="539"/>
      <c r="E119" s="539"/>
      <c r="F119" s="539"/>
      <c r="G119" s="539"/>
      <c r="H119" s="539"/>
      <c r="I119" s="539"/>
      <c r="J119" s="539"/>
      <c r="K119" s="539"/>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2442</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4.4"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2378</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29.4" thickTop="1">
      <c r="A125" s="555"/>
      <c r="B125" s="494" t="s">
        <v>2379</v>
      </c>
      <c r="C125" s="534" t="s">
        <v>2355</v>
      </c>
      <c r="D125" s="534" t="s">
        <v>2356</v>
      </c>
      <c r="E125" s="534" t="s">
        <v>2357</v>
      </c>
      <c r="F125" s="534" t="s">
        <v>2358</v>
      </c>
      <c r="G125" s="534" t="s">
        <v>2359</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4.4"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4.4"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4.4"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4.4"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4.4"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4.4" thickBot="1">
      <c r="A132" s="2083"/>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2286</v>
      </c>
      <c r="B1" s="2112" t="s">
        <v>2460</v>
      </c>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IF(C2="——",ROUND(C43*D3/10000,0),ROUND(C43*D3/10000,0)-D2)</f>
        <v>#DIV/0!</v>
      </c>
      <c r="C2" s="2036"/>
      <c r="D2" s="1037" t="e">
        <f ca="1">SUMIF(INDIRECT("'"&amp;F2&amp;"'"&amp;"!A:A"),"承租人权益价值",INDIRECT("'"&amp;F2&amp;"'"&amp;"!c:c"))</f>
        <v>#REF!</v>
      </c>
      <c r="E2" s="2037" t="s">
        <v>2086</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2087</v>
      </c>
      <c r="B3" s="565" t="e">
        <f ca="1">IF(C2="——",C43,ROUND(B2*10000/D3,0))</f>
        <v>#DIV/0!</v>
      </c>
      <c r="C3" s="359" t="s">
        <v>2402</v>
      </c>
      <c r="D3" s="358">
        <f>IF(D1="",'数据-汇总表'!E3,SUMIF('数据-汇总表'!$C19:$C33,D1,'数据-汇总表'!$E19:$E33))</f>
        <v>17650.910000000003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0" t="s">
        <v>2403</v>
      </c>
      <c r="B4" s="361"/>
      <c r="C4" s="3565" t="s">
        <v>2404</v>
      </c>
      <c r="D4" s="3566"/>
      <c r="E4" s="3567" t="s">
        <v>2405</v>
      </c>
      <c r="F4" s="3568"/>
      <c r="G4" s="3565" t="s">
        <v>2406</v>
      </c>
      <c r="H4" s="3566"/>
      <c r="I4" s="3565" t="s">
        <v>2407</v>
      </c>
      <c r="J4" s="3566"/>
      <c r="K4" s="566" t="s">
        <v>2408</v>
      </c>
      <c r="L4" s="1043"/>
      <c r="M4" s="1044"/>
      <c r="N4" s="1044"/>
      <c r="O4" s="1044"/>
      <c r="P4" s="3569" t="s">
        <v>2409</v>
      </c>
      <c r="Q4" s="3570"/>
      <c r="R4" s="3552" t="s">
        <v>2405</v>
      </c>
      <c r="S4" s="3553"/>
      <c r="T4" s="3552" t="s">
        <v>2406</v>
      </c>
      <c r="U4" s="3553"/>
      <c r="V4" s="3577" t="s">
        <v>2407</v>
      </c>
      <c r="W4" s="3577"/>
      <c r="X4" s="1508"/>
      <c r="Y4" s="3552" t="s">
        <v>2409</v>
      </c>
      <c r="Z4" s="3553"/>
      <c r="AA4" s="3547" t="s">
        <v>2405</v>
      </c>
      <c r="AB4" s="3548" t="s">
        <v>2406</v>
      </c>
      <c r="AC4" s="3547" t="s">
        <v>2407</v>
      </c>
    </row>
    <row r="5" spans="1:29">
      <c r="A5" s="363"/>
      <c r="B5" s="364"/>
      <c r="C5" s="3558" t="s">
        <v>2300</v>
      </c>
      <c r="D5" s="3559"/>
      <c r="E5" s="3556" t="s">
        <v>2301</v>
      </c>
      <c r="F5" s="3557"/>
      <c r="G5" s="3558" t="s">
        <v>2302</v>
      </c>
      <c r="H5" s="3559"/>
      <c r="I5" s="3558" t="s">
        <v>2303</v>
      </c>
      <c r="J5" s="3559"/>
      <c r="K5" s="566"/>
      <c r="L5" s="1043"/>
      <c r="M5" s="1044"/>
      <c r="N5" s="1044"/>
      <c r="O5" s="1044"/>
      <c r="P5" s="3571"/>
      <c r="Q5" s="3572"/>
      <c r="R5" s="3554"/>
      <c r="S5" s="3555"/>
      <c r="T5" s="3554"/>
      <c r="U5" s="3555"/>
      <c r="V5" s="3577"/>
      <c r="W5" s="3577"/>
      <c r="X5" s="1508"/>
      <c r="Y5" s="3554"/>
      <c r="Z5" s="3555"/>
      <c r="AA5" s="3548"/>
      <c r="AB5" s="3548"/>
      <c r="AC5" s="3548"/>
    </row>
    <row r="6" spans="1:29" ht="15" thickBot="1">
      <c r="A6" s="365"/>
      <c r="B6" s="366"/>
      <c r="C6" s="3560" t="s">
        <v>2304</v>
      </c>
      <c r="D6" s="3561"/>
      <c r="E6" s="3562" t="s">
        <v>2304</v>
      </c>
      <c r="F6" s="3563"/>
      <c r="G6" s="3560" t="s">
        <v>2304</v>
      </c>
      <c r="H6" s="3561"/>
      <c r="I6" s="3560" t="s">
        <v>2304</v>
      </c>
      <c r="J6" s="3561"/>
      <c r="K6" s="566" t="s">
        <v>2305</v>
      </c>
      <c r="L6" s="1043"/>
      <c r="M6" s="1044"/>
      <c r="N6" s="1044"/>
      <c r="O6" s="1044"/>
      <c r="P6" s="3573"/>
      <c r="Q6" s="3574"/>
      <c r="R6" s="3554"/>
      <c r="S6" s="3555"/>
      <c r="T6" s="3575"/>
      <c r="U6" s="3576"/>
      <c r="V6" s="3577"/>
      <c r="W6" s="3577"/>
      <c r="X6" s="1508"/>
      <c r="Y6" s="3575"/>
      <c r="Z6" s="3576"/>
      <c r="AA6" s="3549"/>
      <c r="AB6" s="3549"/>
      <c r="AC6" s="3549"/>
    </row>
    <row r="7" spans="1:29" s="112" customFormat="1" ht="15" thickBot="1">
      <c r="A7" s="367" t="s">
        <v>2306</v>
      </c>
      <c r="B7" s="368"/>
      <c r="C7" s="369">
        <f>'数据-取费表'!B2</f>
        <v>44610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50" t="s">
        <v>2307</v>
      </c>
      <c r="Q7" s="3578"/>
      <c r="R7" s="709" t="s">
        <v>17</v>
      </c>
      <c r="S7" s="710">
        <f t="shared" ref="S7:S15" si="0">F7</f>
        <v>0</v>
      </c>
      <c r="T7" s="709" t="s">
        <v>17</v>
      </c>
      <c r="U7" s="710">
        <f t="shared" ref="U7:U15" si="1">H7</f>
        <v>0</v>
      </c>
      <c r="V7" s="709" t="s">
        <v>17</v>
      </c>
      <c r="W7" s="710">
        <f t="shared" ref="W7:W15" si="2">J7</f>
        <v>0</v>
      </c>
      <c r="X7" s="711"/>
      <c r="Y7" s="3550" t="s">
        <v>2307</v>
      </c>
      <c r="Z7" s="3551"/>
      <c r="AA7" s="712" t="e">
        <f>D7/F7</f>
        <v>#DIV/0!</v>
      </c>
      <c r="AB7" s="712" t="e">
        <f>D7/H7</f>
        <v>#DIV/0!</v>
      </c>
      <c r="AC7" s="712" t="e">
        <f>D7/J7</f>
        <v>#DIV/0!</v>
      </c>
    </row>
    <row r="8" spans="1:29" s="112" customFormat="1" ht="15" thickBot="1">
      <c r="A8" s="367" t="s">
        <v>2308</v>
      </c>
      <c r="B8" s="368"/>
      <c r="C8" s="373" t="s">
        <v>2309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50" t="s">
        <v>2310</v>
      </c>
      <c r="Q8" s="3551"/>
      <c r="R8" s="709" t="s">
        <v>17</v>
      </c>
      <c r="S8" s="710">
        <f t="shared" si="0"/>
        <v>0</v>
      </c>
      <c r="T8" s="709" t="s">
        <v>17</v>
      </c>
      <c r="U8" s="710">
        <f t="shared" si="1"/>
        <v>0</v>
      </c>
      <c r="V8" s="709" t="s">
        <v>17</v>
      </c>
      <c r="W8" s="710">
        <f t="shared" si="2"/>
        <v>0</v>
      </c>
      <c r="X8" s="711"/>
      <c r="Y8" s="3550" t="s">
        <v>2310</v>
      </c>
      <c r="Z8" s="3551"/>
      <c r="AA8" s="712" t="e">
        <f t="shared" ref="AA8:AA40" si="3">D8/F8</f>
        <v>#DIV/0!</v>
      </c>
      <c r="AB8" s="712" t="e">
        <f t="shared" ref="AB8:AB40" si="4">D8/H8</f>
        <v>#DIV/0!</v>
      </c>
      <c r="AC8" s="712" t="e">
        <f t="shared" ref="AC8:AC40" si="5">D8/J8</f>
        <v>#DIV/0!</v>
      </c>
    </row>
    <row r="9" spans="1:29" s="112" customFormat="1" ht="14.4">
      <c r="A9" s="374" t="s">
        <v>2311</v>
      </c>
      <c r="B9" s="66" t="s">
        <v>2312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82"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712">
        <f t="shared" si="5"/>
        <v>1</v>
      </c>
    </row>
    <row r="10" spans="1:29" s="385" customFormat="1" ht="28.8">
      <c r="A10" s="379"/>
      <c r="B10" s="380" t="s">
        <v>2315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82"/>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712">
        <f t="shared" si="5"/>
        <v>1</v>
      </c>
    </row>
    <row r="11" spans="1:29" ht="15">
      <c r="A11" s="386"/>
      <c r="B11" s="380" t="s">
        <v>2316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82"/>
      <c r="Q11" s="1496" t="str">
        <f t="shared" si="6"/>
        <v>容积率</v>
      </c>
      <c r="R11" s="709" t="s">
        <v>17</v>
      </c>
      <c r="S11" s="710" t="e">
        <f t="shared" si="0"/>
        <v>#N/A</v>
      </c>
      <c r="T11" s="709" t="s">
        <v>17</v>
      </c>
      <c r="U11" s="710" t="e">
        <f t="shared" si="1"/>
        <v>#N/A</v>
      </c>
      <c r="V11" s="709" t="s">
        <v>17</v>
      </c>
      <c r="W11" s="710" t="e">
        <f t="shared" si="2"/>
        <v>#N/A</v>
      </c>
      <c r="X11" s="711"/>
      <c r="Y11" s="3487"/>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582"/>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582"/>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712">
        <f t="shared" si="5"/>
        <v>1</v>
      </c>
    </row>
    <row r="14" spans="1:29" ht="15.6"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582"/>
      <c r="Q14" s="1496">
        <f t="shared" si="6"/>
        <v>111</v>
      </c>
      <c r="R14" s="709" t="s">
        <v>17</v>
      </c>
      <c r="S14" s="710">
        <f t="shared" si="0"/>
        <v>100</v>
      </c>
      <c r="T14" s="709" t="s">
        <v>17</v>
      </c>
      <c r="U14" s="710">
        <f t="shared" si="1"/>
        <v>100</v>
      </c>
      <c r="V14" s="709" t="s">
        <v>17</v>
      </c>
      <c r="W14" s="710">
        <f t="shared" si="2"/>
        <v>100</v>
      </c>
      <c r="X14" s="711"/>
      <c r="Y14" s="3487"/>
      <c r="Z14" s="54">
        <f t="shared" si="7"/>
        <v>111</v>
      </c>
      <c r="AA14" s="712">
        <f t="shared" si="3"/>
        <v>1</v>
      </c>
      <c r="AB14" s="712">
        <f t="shared" si="4"/>
        <v>1</v>
      </c>
      <c r="AC14" s="712">
        <f t="shared" si="5"/>
        <v>1</v>
      </c>
    </row>
    <row r="15" spans="1:29" ht="69">
      <c r="A15" s="398" t="s">
        <v>2317</v>
      </c>
      <c r="B15" s="64" t="s">
        <v>2461</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84" t="s">
        <v>2318</v>
      </c>
      <c r="Q15" s="1505" t="str">
        <f t="shared" si="6"/>
        <v>产业集聚程度</v>
      </c>
      <c r="R15" s="713" t="s">
        <v>17</v>
      </c>
      <c r="S15" s="714">
        <f t="shared" si="0"/>
        <v>100</v>
      </c>
      <c r="T15" s="713" t="s">
        <v>17</v>
      </c>
      <c r="U15" s="714">
        <f t="shared" si="1"/>
        <v>100</v>
      </c>
      <c r="V15" s="713" t="s">
        <v>17</v>
      </c>
      <c r="W15" s="714">
        <f t="shared" si="2"/>
        <v>100</v>
      </c>
      <c r="X15" s="1508"/>
      <c r="Y15" s="3584" t="s">
        <v>2318</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585"/>
      <c r="Q16" s="1505"/>
      <c r="R16" s="713"/>
      <c r="S16" s="714"/>
      <c r="T16" s="713"/>
      <c r="U16" s="714"/>
      <c r="V16" s="713"/>
      <c r="W16" s="714"/>
      <c r="X16" s="1508"/>
      <c r="Y16" s="3585"/>
      <c r="Z16" s="1509"/>
      <c r="AA16" s="1506">
        <v>1</v>
      </c>
      <c r="AB16" s="1506">
        <v>1</v>
      </c>
      <c r="AC16" s="1506">
        <v>1</v>
      </c>
    </row>
    <row r="17" spans="1:29" ht="96.6">
      <c r="A17" s="386"/>
      <c r="B17" s="409" t="s">
        <v>1882</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85"/>
      <c r="Q17" s="1505" t="str">
        <f>B17</f>
        <v>交通便捷度</v>
      </c>
      <c r="R17" s="713" t="s">
        <v>17</v>
      </c>
      <c r="S17" s="714">
        <f>F17</f>
        <v>100</v>
      </c>
      <c r="T17" s="713" t="s">
        <v>17</v>
      </c>
      <c r="U17" s="714">
        <f>H17</f>
        <v>100</v>
      </c>
      <c r="V17" s="713" t="s">
        <v>17</v>
      </c>
      <c r="W17" s="714">
        <f>J17</f>
        <v>100</v>
      </c>
      <c r="X17" s="1508"/>
      <c r="Y17" s="3585"/>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585"/>
      <c r="Q18" s="1505"/>
      <c r="R18" s="713"/>
      <c r="S18" s="714"/>
      <c r="T18" s="713"/>
      <c r="U18" s="714"/>
      <c r="V18" s="713"/>
      <c r="W18" s="714"/>
      <c r="X18" s="1508"/>
      <c r="Y18" s="3585"/>
      <c r="Z18" s="1509"/>
      <c r="AA18" s="1506">
        <v>1</v>
      </c>
      <c r="AB18" s="1506">
        <v>1</v>
      </c>
      <c r="AC18" s="1506">
        <v>1</v>
      </c>
    </row>
    <row r="19" spans="1:29" ht="41.4">
      <c r="A19" s="386"/>
      <c r="B19" s="409" t="s">
        <v>2446</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85"/>
      <c r="Q19" s="1505" t="str">
        <f>B19</f>
        <v>公共配套设施</v>
      </c>
      <c r="R19" s="713" t="s">
        <v>17</v>
      </c>
      <c r="S19" s="714">
        <f>F19</f>
        <v>100</v>
      </c>
      <c r="T19" s="713" t="s">
        <v>17</v>
      </c>
      <c r="U19" s="714">
        <f>H19</f>
        <v>100</v>
      </c>
      <c r="V19" s="713" t="s">
        <v>17</v>
      </c>
      <c r="W19" s="714">
        <f>J19</f>
        <v>100</v>
      </c>
      <c r="X19" s="1508"/>
      <c r="Y19" s="3585"/>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585"/>
      <c r="Q20" s="1505"/>
      <c r="R20" s="713"/>
      <c r="S20" s="714"/>
      <c r="T20" s="713"/>
      <c r="U20" s="714"/>
      <c r="V20" s="713"/>
      <c r="W20" s="714"/>
      <c r="X20" s="1508"/>
      <c r="Y20" s="3585"/>
      <c r="Z20" s="1509"/>
      <c r="AA20" s="1506">
        <v>1</v>
      </c>
      <c r="AB20" s="1506">
        <v>1</v>
      </c>
      <c r="AC20" s="1506">
        <v>1</v>
      </c>
    </row>
    <row r="21" spans="1:29" ht="41.4">
      <c r="A21" s="386"/>
      <c r="B21" s="1264" t="s">
        <v>2447</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85"/>
      <c r="Q21" s="1505" t="str">
        <f>B21</f>
        <v>基础设施水平</v>
      </c>
      <c r="R21" s="713" t="s">
        <v>17</v>
      </c>
      <c r="S21" s="714">
        <f>F21</f>
        <v>100</v>
      </c>
      <c r="T21" s="713" t="s">
        <v>17</v>
      </c>
      <c r="U21" s="714">
        <f>H21</f>
        <v>100</v>
      </c>
      <c r="V21" s="713" t="s">
        <v>17</v>
      </c>
      <c r="W21" s="714">
        <f>J21</f>
        <v>100</v>
      </c>
      <c r="X21" s="1508"/>
      <c r="Y21" s="35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585"/>
      <c r="Q22" s="1505"/>
      <c r="R22" s="713"/>
      <c r="S22" s="714"/>
      <c r="T22" s="713"/>
      <c r="U22" s="714"/>
      <c r="V22" s="713"/>
      <c r="W22" s="714"/>
      <c r="X22" s="1508"/>
      <c r="Y22" s="3585"/>
      <c r="Z22" s="1509"/>
      <c r="AA22" s="1506">
        <v>1</v>
      </c>
      <c r="AB22" s="1506">
        <v>1</v>
      </c>
      <c r="AC22" s="1506">
        <v>1</v>
      </c>
    </row>
    <row r="23" spans="1:29" ht="82.8">
      <c r="A23" s="386"/>
      <c r="B23" s="409" t="s">
        <v>2448</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85"/>
      <c r="Q23" s="1505" t="str">
        <f>B23</f>
        <v>环境质量</v>
      </c>
      <c r="R23" s="713" t="s">
        <v>17</v>
      </c>
      <c r="S23" s="714">
        <f>F23</f>
        <v>100</v>
      </c>
      <c r="T23" s="713" t="s">
        <v>17</v>
      </c>
      <c r="U23" s="714">
        <f>H23</f>
        <v>100</v>
      </c>
      <c r="V23" s="713" t="s">
        <v>17</v>
      </c>
      <c r="W23" s="714">
        <f>J23</f>
        <v>100</v>
      </c>
      <c r="X23" s="1508"/>
      <c r="Y23" s="3585"/>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585"/>
      <c r="Q24" s="1505"/>
      <c r="R24" s="713"/>
      <c r="S24" s="714"/>
      <c r="T24" s="713"/>
      <c r="U24" s="714"/>
      <c r="V24" s="713"/>
      <c r="W24" s="714"/>
      <c r="X24" s="1508"/>
      <c r="Y24" s="3585"/>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85"/>
      <c r="Q25" s="1505">
        <f>B25</f>
        <v>111</v>
      </c>
      <c r="R25" s="713" t="s">
        <v>17</v>
      </c>
      <c r="S25" s="714">
        <f>F25</f>
        <v>100</v>
      </c>
      <c r="T25" s="713" t="s">
        <v>17</v>
      </c>
      <c r="U25" s="714">
        <f>H25</f>
        <v>100</v>
      </c>
      <c r="V25" s="713" t="s">
        <v>17</v>
      </c>
      <c r="W25" s="714">
        <f>J25</f>
        <v>100</v>
      </c>
      <c r="X25" s="1508"/>
      <c r="Y25" s="3585"/>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85"/>
      <c r="Q26" s="1505">
        <f t="shared" ref="Q26:Q40" si="11">B26</f>
        <v>111</v>
      </c>
      <c r="R26" s="713" t="s">
        <v>17</v>
      </c>
      <c r="S26" s="714">
        <f>F26</f>
        <v>100</v>
      </c>
      <c r="T26" s="713" t="s">
        <v>17</v>
      </c>
      <c r="U26" s="714">
        <f>H26</f>
        <v>100</v>
      </c>
      <c r="V26" s="713" t="s">
        <v>17</v>
      </c>
      <c r="W26" s="714">
        <f>J26</f>
        <v>100</v>
      </c>
      <c r="X26" s="1508"/>
      <c r="Y26" s="3585"/>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85"/>
      <c r="Q27" s="1496">
        <f t="shared" si="11"/>
        <v>111</v>
      </c>
      <c r="R27" s="709" t="s">
        <v>17</v>
      </c>
      <c r="S27" s="710">
        <f>F27</f>
        <v>100</v>
      </c>
      <c r="T27" s="709" t="s">
        <v>17</v>
      </c>
      <c r="U27" s="710">
        <f>H27</f>
        <v>100</v>
      </c>
      <c r="V27" s="709" t="s">
        <v>17</v>
      </c>
      <c r="W27" s="710">
        <f>J27</f>
        <v>100</v>
      </c>
      <c r="X27" s="711"/>
      <c r="Y27" s="3585"/>
      <c r="Z27" s="54">
        <f>Q27</f>
        <v>111</v>
      </c>
      <c r="AA27" s="1506">
        <f>D27/F27</f>
        <v>1</v>
      </c>
      <c r="AB27" s="1506">
        <f>D27/H27</f>
        <v>1</v>
      </c>
      <c r="AC27" s="1506">
        <f>D27/J27</f>
        <v>1</v>
      </c>
    </row>
    <row r="28" spans="1:29" ht="15.6"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85"/>
      <c r="Q28" s="1505">
        <f t="shared" si="11"/>
        <v>111</v>
      </c>
      <c r="R28" s="713" t="s">
        <v>17</v>
      </c>
      <c r="S28" s="714">
        <f t="shared" ref="S28:S40" si="12">F28</f>
        <v>100</v>
      </c>
      <c r="T28" s="713" t="s">
        <v>17</v>
      </c>
      <c r="U28" s="714">
        <f t="shared" ref="U28:U40" si="13">H28</f>
        <v>100</v>
      </c>
      <c r="V28" s="713" t="s">
        <v>17</v>
      </c>
      <c r="W28" s="714">
        <f t="shared" ref="W28:W40" si="14">J28</f>
        <v>100</v>
      </c>
      <c r="X28" s="1508"/>
      <c r="Y28" s="3585"/>
      <c r="Z28" s="1509">
        <f t="shared" ref="Z28:Z40" si="15">Q28</f>
        <v>111</v>
      </c>
      <c r="AA28" s="1506">
        <f t="shared" si="3"/>
        <v>1</v>
      </c>
      <c r="AB28" s="1506">
        <f t="shared" si="4"/>
        <v>1</v>
      </c>
      <c r="AC28" s="1506">
        <f t="shared" si="5"/>
        <v>1</v>
      </c>
    </row>
    <row r="29" spans="1:29" ht="30">
      <c r="A29" s="424" t="s">
        <v>2321</v>
      </c>
      <c r="B29" s="66" t="s">
        <v>2451</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608" t="s">
        <v>2323</v>
      </c>
      <c r="Q29" s="1505" t="str">
        <f t="shared" si="11"/>
        <v>建筑类型</v>
      </c>
      <c r="R29" s="713" t="s">
        <v>17</v>
      </c>
      <c r="S29" s="714">
        <f t="shared" si="12"/>
        <v>100</v>
      </c>
      <c r="T29" s="713" t="s">
        <v>17</v>
      </c>
      <c r="U29" s="714">
        <f t="shared" si="13"/>
        <v>100</v>
      </c>
      <c r="V29" s="713" t="s">
        <v>17</v>
      </c>
      <c r="W29" s="714">
        <f t="shared" si="14"/>
        <v>100</v>
      </c>
      <c r="X29" s="1508"/>
      <c r="Y29" s="3589" t="s">
        <v>2323</v>
      </c>
      <c r="Z29" s="1509" t="str">
        <f t="shared" si="15"/>
        <v>建筑类型</v>
      </c>
      <c r="AA29" s="1506">
        <f t="shared" si="3"/>
        <v>1</v>
      </c>
      <c r="AB29" s="1506">
        <f t="shared" si="4"/>
        <v>1</v>
      </c>
      <c r="AC29" s="1506">
        <f t="shared" si="5"/>
        <v>1</v>
      </c>
    </row>
    <row r="30" spans="1:29" s="429" customFormat="1" ht="15">
      <c r="A30" s="426"/>
      <c r="B30" s="380" t="s">
        <v>2324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89"/>
      <c r="Q30" s="715" t="str">
        <f t="shared" si="11"/>
        <v>项目建筑规模</v>
      </c>
      <c r="R30" s="716" t="s">
        <v>17</v>
      </c>
      <c r="S30" s="717" t="e">
        <f t="shared" si="12"/>
        <v>#N/A</v>
      </c>
      <c r="T30" s="716" t="s">
        <v>17</v>
      </c>
      <c r="U30" s="717" t="e">
        <f t="shared" si="13"/>
        <v>#N/A</v>
      </c>
      <c r="V30" s="716" t="s">
        <v>17</v>
      </c>
      <c r="W30" s="717" t="e">
        <f t="shared" si="14"/>
        <v>#N/A</v>
      </c>
      <c r="X30" s="718"/>
      <c r="Y30" s="3589"/>
      <c r="Z30" s="719" t="str">
        <f t="shared" si="15"/>
        <v>项目建筑规模</v>
      </c>
      <c r="AA30" s="1506" t="e">
        <f t="shared" si="3"/>
        <v>#N/A</v>
      </c>
      <c r="AB30" s="1506" t="e">
        <f t="shared" si="4"/>
        <v>#N/A</v>
      </c>
      <c r="AC30" s="1506" t="e">
        <f t="shared" si="5"/>
        <v>#N/A</v>
      </c>
    </row>
    <row r="31" spans="1:29" ht="15">
      <c r="A31" s="430"/>
      <c r="B31" s="380" t="s">
        <v>2325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89"/>
      <c r="Q31" s="1505" t="str">
        <f t="shared" si="11"/>
        <v>建筑结构</v>
      </c>
      <c r="R31" s="713" t="s">
        <v>17</v>
      </c>
      <c r="S31" s="714">
        <f t="shared" si="12"/>
        <v>100</v>
      </c>
      <c r="T31" s="713" t="s">
        <v>17</v>
      </c>
      <c r="U31" s="714">
        <f t="shared" si="13"/>
        <v>100</v>
      </c>
      <c r="V31" s="713" t="s">
        <v>17</v>
      </c>
      <c r="W31" s="714">
        <f t="shared" si="14"/>
        <v>100</v>
      </c>
      <c r="X31" s="1508"/>
      <c r="Y31" s="3589"/>
      <c r="Z31" s="1509" t="str">
        <f t="shared" si="15"/>
        <v>建筑结构</v>
      </c>
      <c r="AA31" s="1506">
        <f t="shared" si="3"/>
        <v>1</v>
      </c>
      <c r="AB31" s="1506">
        <f t="shared" si="4"/>
        <v>1</v>
      </c>
      <c r="AC31" s="1506">
        <f t="shared" si="5"/>
        <v>1</v>
      </c>
    </row>
    <row r="32" spans="1:29" ht="15">
      <c r="A32" s="430"/>
      <c r="B32" s="380" t="s">
        <v>2419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89"/>
      <c r="Q32" s="1505" t="str">
        <f t="shared" si="11"/>
        <v>公共部分装修</v>
      </c>
      <c r="R32" s="713" t="s">
        <v>17</v>
      </c>
      <c r="S32" s="714">
        <f t="shared" si="12"/>
        <v>100</v>
      </c>
      <c r="T32" s="713" t="s">
        <v>17</v>
      </c>
      <c r="U32" s="714">
        <f t="shared" si="13"/>
        <v>100</v>
      </c>
      <c r="V32" s="713" t="s">
        <v>17</v>
      </c>
      <c r="W32" s="714">
        <f t="shared" si="14"/>
        <v>100</v>
      </c>
      <c r="X32" s="1508"/>
      <c r="Y32" s="3589"/>
      <c r="Z32" s="1509" t="str">
        <f t="shared" si="15"/>
        <v>公共部分装修</v>
      </c>
      <c r="AA32" s="1506">
        <f t="shared" si="3"/>
        <v>1</v>
      </c>
      <c r="AB32" s="1506">
        <f t="shared" si="4"/>
        <v>1</v>
      </c>
      <c r="AC32" s="1506">
        <f t="shared" si="5"/>
        <v>1</v>
      </c>
    </row>
    <row r="33" spans="1:29" ht="15">
      <c r="A33" s="430"/>
      <c r="B33" s="380" t="s">
        <v>2420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89"/>
      <c r="Q33" s="1505" t="str">
        <f t="shared" si="11"/>
        <v>成新度</v>
      </c>
      <c r="R33" s="713" t="s">
        <v>17</v>
      </c>
      <c r="S33" s="714" t="e">
        <f t="shared" si="12"/>
        <v>#N/A</v>
      </c>
      <c r="T33" s="713" t="s">
        <v>17</v>
      </c>
      <c r="U33" s="714" t="e">
        <f t="shared" si="13"/>
        <v>#N/A</v>
      </c>
      <c r="V33" s="713" t="s">
        <v>17</v>
      </c>
      <c r="W33" s="714" t="e">
        <f t="shared" si="14"/>
        <v>#N/A</v>
      </c>
      <c r="X33" s="1508"/>
      <c r="Y33" s="3589"/>
      <c r="Z33" s="1509" t="str">
        <f t="shared" si="15"/>
        <v>成新度</v>
      </c>
      <c r="AA33" s="1506" t="e">
        <f t="shared" si="3"/>
        <v>#N/A</v>
      </c>
      <c r="AB33" s="1506" t="e">
        <f t="shared" si="4"/>
        <v>#N/A</v>
      </c>
      <c r="AC33" s="1506" t="e">
        <f t="shared" si="5"/>
        <v>#N/A</v>
      </c>
    </row>
    <row r="34" spans="1:29" s="112" customFormat="1" ht="15">
      <c r="A34" s="431"/>
      <c r="B34" s="380" t="s">
        <v>2453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89"/>
      <c r="Q34" s="1496" t="str">
        <f t="shared" si="11"/>
        <v>物业管理</v>
      </c>
      <c r="R34" s="709" t="s">
        <v>17</v>
      </c>
      <c r="S34" s="710">
        <f t="shared" si="12"/>
        <v>100</v>
      </c>
      <c r="T34" s="709" t="s">
        <v>17</v>
      </c>
      <c r="U34" s="710">
        <f t="shared" si="13"/>
        <v>100</v>
      </c>
      <c r="V34" s="709" t="s">
        <v>17</v>
      </c>
      <c r="W34" s="710">
        <f t="shared" si="14"/>
        <v>100</v>
      </c>
      <c r="X34" s="711"/>
      <c r="Y34" s="3589"/>
      <c r="Z34" s="54" t="str">
        <f t="shared" si="15"/>
        <v>物业管理</v>
      </c>
      <c r="AA34" s="712">
        <f t="shared" si="3"/>
        <v>1</v>
      </c>
      <c r="AB34" s="712">
        <f t="shared" si="4"/>
        <v>1</v>
      </c>
      <c r="AC34" s="712">
        <f t="shared" si="5"/>
        <v>1</v>
      </c>
    </row>
    <row r="35" spans="1:29" ht="15">
      <c r="A35" s="430"/>
      <c r="B35" s="380" t="s">
        <v>2421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89" t="s">
        <v>2323</v>
      </c>
      <c r="Q35" s="1505" t="str">
        <f t="shared" si="11"/>
        <v>市政基础设施</v>
      </c>
      <c r="R35" s="713" t="s">
        <v>17</v>
      </c>
      <c r="S35" s="714">
        <f t="shared" si="12"/>
        <v>100</v>
      </c>
      <c r="T35" s="713" t="s">
        <v>17</v>
      </c>
      <c r="U35" s="714">
        <f t="shared" si="13"/>
        <v>100</v>
      </c>
      <c r="V35" s="713" t="s">
        <v>17</v>
      </c>
      <c r="W35" s="714">
        <f t="shared" si="14"/>
        <v>100</v>
      </c>
      <c r="X35" s="1508"/>
      <c r="Y35" s="3589" t="s">
        <v>2323</v>
      </c>
      <c r="Z35" s="1509" t="str">
        <f t="shared" si="15"/>
        <v>市政基础设施</v>
      </c>
      <c r="AA35" s="1506">
        <f t="shared" si="3"/>
        <v>1</v>
      </c>
      <c r="AB35" s="1506">
        <f t="shared" si="4"/>
        <v>1</v>
      </c>
      <c r="AC35" s="1506">
        <f t="shared" si="5"/>
        <v>1</v>
      </c>
    </row>
    <row r="36" spans="1:29" ht="15">
      <c r="A36" s="430"/>
      <c r="B36" s="380" t="s">
        <v>2426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89"/>
      <c r="Q36" s="1505" t="str">
        <f t="shared" si="11"/>
        <v>内部装修</v>
      </c>
      <c r="R36" s="713" t="s">
        <v>17</v>
      </c>
      <c r="S36" s="714">
        <f t="shared" si="12"/>
        <v>100</v>
      </c>
      <c r="T36" s="713" t="s">
        <v>17</v>
      </c>
      <c r="U36" s="714">
        <f t="shared" si="13"/>
        <v>100</v>
      </c>
      <c r="V36" s="713" t="s">
        <v>17</v>
      </c>
      <c r="W36" s="714">
        <f t="shared" si="14"/>
        <v>100</v>
      </c>
      <c r="X36" s="1508"/>
      <c r="Y36" s="3589"/>
      <c r="Z36" s="1509" t="str">
        <f t="shared" si="15"/>
        <v>内部装修</v>
      </c>
      <c r="AA36" s="1506">
        <f t="shared" si="3"/>
        <v>1</v>
      </c>
      <c r="AB36" s="1506">
        <f t="shared" si="4"/>
        <v>1</v>
      </c>
      <c r="AC36" s="1506">
        <f t="shared" si="5"/>
        <v>1</v>
      </c>
    </row>
    <row r="37" spans="1:29" ht="15">
      <c r="A37" s="430"/>
      <c r="B37" s="380" t="s">
        <v>2462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89"/>
      <c r="Q37" s="1505" t="str">
        <f t="shared" si="11"/>
        <v>内部装修状况</v>
      </c>
      <c r="R37" s="713" t="s">
        <v>17</v>
      </c>
      <c r="S37" s="714">
        <f t="shared" si="12"/>
        <v>100</v>
      </c>
      <c r="T37" s="713" t="s">
        <v>17</v>
      </c>
      <c r="U37" s="714">
        <f t="shared" si="13"/>
        <v>100</v>
      </c>
      <c r="V37" s="713" t="s">
        <v>17</v>
      </c>
      <c r="W37" s="714">
        <f t="shared" si="14"/>
        <v>100</v>
      </c>
      <c r="X37" s="1508"/>
      <c r="Y37" s="3589"/>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89"/>
      <c r="Q38" s="715">
        <f t="shared" si="11"/>
        <v>111</v>
      </c>
      <c r="R38" s="716" t="s">
        <v>17</v>
      </c>
      <c r="S38" s="717">
        <f t="shared" si="12"/>
        <v>100</v>
      </c>
      <c r="T38" s="716" t="s">
        <v>17</v>
      </c>
      <c r="U38" s="717">
        <f t="shared" si="13"/>
        <v>100</v>
      </c>
      <c r="V38" s="716" t="s">
        <v>17</v>
      </c>
      <c r="W38" s="717">
        <f t="shared" si="14"/>
        <v>100</v>
      </c>
      <c r="X38" s="718"/>
      <c r="Y38" s="3589"/>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89"/>
      <c r="Q39" s="1505">
        <f t="shared" si="11"/>
        <v>111</v>
      </c>
      <c r="R39" s="713" t="s">
        <v>17</v>
      </c>
      <c r="S39" s="714">
        <f t="shared" si="12"/>
        <v>100</v>
      </c>
      <c r="T39" s="713" t="s">
        <v>17</v>
      </c>
      <c r="U39" s="714">
        <f t="shared" si="13"/>
        <v>100</v>
      </c>
      <c r="V39" s="713" t="s">
        <v>17</v>
      </c>
      <c r="W39" s="714">
        <f t="shared" si="14"/>
        <v>100</v>
      </c>
      <c r="X39" s="1508"/>
      <c r="Y39" s="3589"/>
      <c r="Z39" s="1509">
        <f t="shared" si="15"/>
        <v>111</v>
      </c>
      <c r="AA39" s="1506">
        <f t="shared" si="3"/>
        <v>1</v>
      </c>
      <c r="AB39" s="1506">
        <f t="shared" si="4"/>
        <v>1</v>
      </c>
      <c r="AC39" s="1506">
        <f t="shared" si="5"/>
        <v>1</v>
      </c>
    </row>
    <row r="40" spans="1:29" ht="15.6"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90"/>
      <c r="Q40" s="1505">
        <f t="shared" si="11"/>
        <v>111</v>
      </c>
      <c r="R40" s="713" t="s">
        <v>17</v>
      </c>
      <c r="S40" s="714">
        <f t="shared" si="12"/>
        <v>100</v>
      </c>
      <c r="T40" s="713" t="s">
        <v>17</v>
      </c>
      <c r="U40" s="714">
        <f t="shared" si="13"/>
        <v>100</v>
      </c>
      <c r="V40" s="713" t="s">
        <v>17</v>
      </c>
      <c r="W40" s="714">
        <f t="shared" si="14"/>
        <v>100</v>
      </c>
      <c r="X40" s="1508"/>
      <c r="Y40" s="3590"/>
      <c r="Z40" s="1509">
        <f t="shared" si="15"/>
        <v>111</v>
      </c>
      <c r="AA40" s="1506">
        <f t="shared" si="3"/>
        <v>1</v>
      </c>
      <c r="AB40" s="1506">
        <f t="shared" si="4"/>
        <v>1</v>
      </c>
      <c r="AC40" s="1506">
        <f t="shared" si="5"/>
        <v>1</v>
      </c>
    </row>
    <row r="41" spans="1:29" ht="14.4">
      <c r="A41" s="437" t="s">
        <v>2335</v>
      </c>
      <c r="B41" s="438"/>
      <c r="C41" s="1287" t="s">
        <v>1</v>
      </c>
      <c r="D41" s="1288"/>
      <c r="E41" s="1289"/>
      <c r="F41" s="1290"/>
      <c r="G41" s="1291"/>
      <c r="H41" s="1292"/>
      <c r="I41" s="1289"/>
      <c r="J41" s="1292"/>
      <c r="K41" s="722"/>
      <c r="L41" s="1056"/>
      <c r="M41" s="1057"/>
      <c r="N41" s="1044"/>
      <c r="O41" s="1057"/>
      <c r="P41" s="3582" t="str">
        <f>A41</f>
        <v>成交单价（元/平方米）</v>
      </c>
      <c r="Q41" s="3582"/>
      <c r="R41" s="3583">
        <f>E41</f>
        <v>0</v>
      </c>
      <c r="S41" s="3583"/>
      <c r="T41" s="3583">
        <f>G41</f>
        <v>0</v>
      </c>
      <c r="U41" s="3583"/>
      <c r="V41" s="3583">
        <f>I41</f>
        <v>0</v>
      </c>
      <c r="W41" s="3583"/>
      <c r="X41" s="698"/>
      <c r="Y41" s="720"/>
      <c r="Z41" s="698"/>
      <c r="AA41" s="698"/>
      <c r="AB41" s="698"/>
      <c r="AC41" s="698"/>
    </row>
    <row r="42" spans="1:29" ht="15" thickBot="1">
      <c r="A42" s="444" t="s">
        <v>2427</v>
      </c>
      <c r="B42" s="445"/>
      <c r="C42" s="1293" t="e">
        <f>R43</f>
        <v>#DIV/0!</v>
      </c>
      <c r="D42" s="2507" t="s">
        <v>2816</v>
      </c>
      <c r="E42" s="1294" t="e">
        <f>R42</f>
        <v>#DIV/0!</v>
      </c>
      <c r="F42" s="2508"/>
      <c r="G42" s="1293" t="e">
        <f>T42</f>
        <v>#DIV/0!</v>
      </c>
      <c r="H42" s="2508"/>
      <c r="I42" s="1294" t="e">
        <f>V42</f>
        <v>#DIV/0!</v>
      </c>
      <c r="J42" s="2508"/>
      <c r="K42" s="2510">
        <f>F42+H42+J42</f>
        <v>0</v>
      </c>
      <c r="L42" s="1056"/>
      <c r="M42" s="1057"/>
      <c r="N42" s="1044"/>
      <c r="O42" s="1057"/>
      <c r="P42" s="3582" t="str">
        <f>A42</f>
        <v>比较价值（元/平方米）</v>
      </c>
      <c r="Q42" s="3582"/>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698"/>
      <c r="Y42" s="698"/>
      <c r="Z42" s="698"/>
      <c r="AA42" s="698"/>
      <c r="AB42" s="698"/>
      <c r="AC42" s="698"/>
    </row>
    <row r="43" spans="1:29" ht="15" thickBot="1">
      <c r="A43" s="448" t="s">
        <v>2428</v>
      </c>
      <c r="B43" s="449"/>
      <c r="C43" s="1296" t="e">
        <f>R43</f>
        <v>#DIV/0!</v>
      </c>
      <c r="D43" s="1296"/>
      <c r="E43" s="1296"/>
      <c r="F43" s="1296"/>
      <c r="G43" s="1296"/>
      <c r="H43" s="1296"/>
      <c r="I43" s="1296"/>
      <c r="J43" s="1296"/>
      <c r="K43" s="723"/>
      <c r="L43" s="1056"/>
      <c r="M43" s="1057"/>
      <c r="N43" s="1057"/>
      <c r="O43" s="1057"/>
      <c r="P43" s="3579" t="str">
        <f>A43</f>
        <v>估价对象XX用房的比较价值（楼面单价，元/平方米）</v>
      </c>
      <c r="Q43" s="3580"/>
      <c r="R43" s="3581" t="e">
        <f>IF(F1="售价",ROUND(IF(D42="简单平均",AVERAGE(R42:V42),R42*F42+T42*H42+V42*J42),0),ROUND(IF(D42="简单平均",AVERAGE(R42:V42),R42*F42+T42*H42+V42*J42),1))</f>
        <v>#DIV/0!</v>
      </c>
      <c r="S43" s="3581"/>
      <c r="T43" s="3581"/>
      <c r="U43" s="3581"/>
      <c r="V43" s="3581"/>
      <c r="W43" s="3581"/>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2429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2.2" thickBot="1">
      <c r="A51" s="702" t="s">
        <v>2432</v>
      </c>
      <c r="B51" s="698"/>
      <c r="C51" s="703"/>
      <c r="D51" s="703"/>
      <c r="E51" s="703"/>
      <c r="F51" s="704"/>
      <c r="G51" s="704"/>
      <c r="H51" s="703"/>
      <c r="I51" s="703"/>
      <c r="J51" s="703"/>
      <c r="K51" s="1071"/>
      <c r="L51" s="1072"/>
      <c r="M51" s="1070"/>
      <c r="N51" s="1070"/>
      <c r="O51" s="1070"/>
      <c r="P51" s="459"/>
      <c r="Q51" s="460"/>
    </row>
    <row r="52" spans="1:17" s="464" customFormat="1" ht="14.4">
      <c r="A52" s="461" t="s">
        <v>2306</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2" customFormat="1">
      <c r="A53" s="465"/>
      <c r="B53" s="466"/>
      <c r="C53" s="1316">
        <v>100</v>
      </c>
      <c r="D53" s="468"/>
      <c r="E53" s="468"/>
      <c r="F53" s="468"/>
      <c r="G53" s="468"/>
      <c r="H53" s="468"/>
      <c r="I53" s="468"/>
      <c r="J53" s="468"/>
      <c r="K53" s="468"/>
      <c r="L53" s="468"/>
      <c r="M53" s="469"/>
      <c r="N53" s="468"/>
      <c r="O53" s="470"/>
      <c r="P53" s="460"/>
    </row>
    <row r="54" spans="1:17" s="112" customFormat="1" ht="15" thickBot="1">
      <c r="A54" s="471" t="s">
        <v>2343</v>
      </c>
      <c r="B54" s="472"/>
      <c r="C54" s="473"/>
      <c r="D54" s="474"/>
      <c r="E54" s="474"/>
      <c r="F54" s="474"/>
      <c r="G54" s="474"/>
      <c r="H54" s="474"/>
      <c r="I54" s="474"/>
      <c r="J54" s="474"/>
      <c r="K54" s="474"/>
      <c r="L54" s="474"/>
      <c r="M54" s="475"/>
      <c r="N54" s="2966"/>
      <c r="O54" s="2967"/>
      <c r="P54" s="460"/>
      <c r="Q54" s="460"/>
    </row>
    <row r="55" spans="1:17" s="112" customFormat="1" ht="14.4">
      <c r="A55" s="477" t="s">
        <v>2308</v>
      </c>
      <c r="B55" s="466"/>
      <c r="C55" s="478" t="s">
        <v>2410</v>
      </c>
      <c r="D55" s="479"/>
      <c r="E55" s="479"/>
      <c r="F55" s="479"/>
      <c r="G55" s="479"/>
      <c r="H55" s="479"/>
      <c r="I55" s="479"/>
      <c r="J55" s="479"/>
      <c r="K55" s="479"/>
      <c r="L55" s="480"/>
      <c r="M55" s="481"/>
      <c r="N55" s="1062"/>
      <c r="O55" s="1062"/>
      <c r="P55" s="482"/>
      <c r="Q55" s="460"/>
    </row>
    <row r="56" spans="1:17" s="112" customFormat="1" ht="14.4" thickBot="1">
      <c r="A56" s="477"/>
      <c r="B56" s="466"/>
      <c r="C56" s="594">
        <v>100</v>
      </c>
      <c r="D56" s="468"/>
      <c r="E56" s="468"/>
      <c r="F56" s="468"/>
      <c r="G56" s="468"/>
      <c r="H56" s="468"/>
      <c r="I56" s="468"/>
      <c r="J56" s="468"/>
      <c r="K56" s="468"/>
      <c r="L56" s="468"/>
      <c r="M56" s="470"/>
      <c r="N56" s="1062"/>
      <c r="O56" s="1062"/>
      <c r="P56" s="460"/>
      <c r="Q56" s="460"/>
    </row>
    <row r="57" spans="1:17" ht="14.4">
      <c r="A57" s="483" t="s">
        <v>2346</v>
      </c>
      <c r="B57" s="484" t="s">
        <v>2312</v>
      </c>
      <c r="C57" s="485">
        <f>C9</f>
        <v>0</v>
      </c>
      <c r="D57" s="486"/>
      <c r="E57" s="486"/>
      <c r="F57" s="486"/>
      <c r="G57" s="486"/>
      <c r="H57" s="486"/>
      <c r="I57" s="486"/>
      <c r="J57" s="486"/>
      <c r="K57" s="487"/>
      <c r="L57" s="488"/>
      <c r="M57" s="489"/>
      <c r="N57" s="1063"/>
      <c r="O57" s="1063"/>
      <c r="P57" s="44"/>
      <c r="Q57" s="460"/>
    </row>
    <row r="58" spans="1:17" ht="14.4" thickBot="1">
      <c r="A58" s="490"/>
      <c r="B58" s="491"/>
      <c r="C58" s="492">
        <v>100</v>
      </c>
      <c r="D58" s="492"/>
      <c r="E58" s="492"/>
      <c r="F58" s="492"/>
      <c r="G58" s="492"/>
      <c r="H58" s="492"/>
      <c r="I58" s="492"/>
      <c r="J58" s="492"/>
      <c r="K58" s="492"/>
      <c r="L58" s="492"/>
      <c r="M58" s="493"/>
      <c r="N58" s="1064"/>
      <c r="O58" s="1064"/>
      <c r="P58" s="44"/>
      <c r="Q58" s="460"/>
    </row>
    <row r="59" spans="1:17" ht="29.4" thickTop="1">
      <c r="A59" s="490"/>
      <c r="B59" s="494" t="s">
        <v>2315</v>
      </c>
      <c r="C59" s="495" t="s">
        <v>2347</v>
      </c>
      <c r="D59" s="495" t="s">
        <v>2348</v>
      </c>
      <c r="E59" s="495" t="s">
        <v>2349</v>
      </c>
      <c r="F59" s="495" t="s">
        <v>2350</v>
      </c>
      <c r="G59" s="495" t="s">
        <v>2351</v>
      </c>
      <c r="H59" s="495" t="s">
        <v>2352</v>
      </c>
      <c r="I59" s="495" t="s">
        <v>2353</v>
      </c>
      <c r="J59" s="495"/>
      <c r="K59" s="496"/>
      <c r="L59" s="497"/>
      <c r="M59" s="498"/>
      <c r="N59" s="1063"/>
      <c r="O59" s="1063"/>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 thickTop="1">
      <c r="A61" s="490"/>
      <c r="B61" s="502" t="s">
        <v>2316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c r="A62" s="490"/>
      <c r="B62" s="504"/>
      <c r="C62" s="505"/>
      <c r="D62" s="505"/>
      <c r="E62" s="505"/>
      <c r="F62" s="505"/>
      <c r="G62" s="505"/>
      <c r="H62" s="505"/>
      <c r="I62" s="505"/>
      <c r="J62" s="505"/>
      <c r="K62" s="506"/>
      <c r="L62" s="507"/>
      <c r="M62" s="508"/>
      <c r="N62" s="1063"/>
      <c r="O62" s="1063"/>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4.4" thickTop="1">
      <c r="A64" s="509"/>
      <c r="B64" s="494">
        <f>B12</f>
        <v>111</v>
      </c>
      <c r="C64" s="510"/>
      <c r="D64" s="510"/>
      <c r="E64" s="510"/>
      <c r="F64" s="510"/>
      <c r="G64" s="510"/>
      <c r="H64" s="511"/>
      <c r="I64" s="511"/>
      <c r="J64" s="511"/>
      <c r="K64" s="511"/>
      <c r="L64" s="512"/>
      <c r="M64" s="513"/>
      <c r="N64" s="1065"/>
      <c r="O64" s="1065"/>
      <c r="P64" s="514"/>
      <c r="Q64" s="515"/>
    </row>
    <row r="65" spans="1:17" s="429" customFormat="1" ht="14.4" thickBot="1">
      <c r="A65" s="509"/>
      <c r="B65" s="499"/>
      <c r="C65" s="516"/>
      <c r="D65" s="492"/>
      <c r="E65" s="492"/>
      <c r="F65" s="492"/>
      <c r="G65" s="492"/>
      <c r="H65" s="492"/>
      <c r="I65" s="492"/>
      <c r="J65" s="492"/>
      <c r="K65" s="492"/>
      <c r="L65" s="492"/>
      <c r="M65" s="493"/>
      <c r="N65" s="1064"/>
      <c r="O65" s="1064"/>
      <c r="P65" s="514"/>
      <c r="Q65" s="515"/>
    </row>
    <row r="66" spans="1:17" s="429" customFormat="1" ht="14.4" thickTop="1">
      <c r="A66" s="509"/>
      <c r="B66" s="494">
        <f>B13</f>
        <v>111</v>
      </c>
      <c r="C66" s="510"/>
      <c r="D66" s="510"/>
      <c r="E66" s="510"/>
      <c r="F66" s="510"/>
      <c r="G66" s="510"/>
      <c r="H66" s="511"/>
      <c r="I66" s="511"/>
      <c r="J66" s="511"/>
      <c r="K66" s="511"/>
      <c r="L66" s="512"/>
      <c r="M66" s="513"/>
      <c r="N66" s="1065"/>
      <c r="O66" s="1065"/>
      <c r="P66" s="428"/>
      <c r="Q66" s="517"/>
    </row>
    <row r="67" spans="1:17" s="429" customFormat="1" ht="14.4" thickBot="1">
      <c r="A67" s="509"/>
      <c r="B67" s="499"/>
      <c r="C67" s="516"/>
      <c r="D67" s="492"/>
      <c r="E67" s="492"/>
      <c r="F67" s="492"/>
      <c r="G67" s="516"/>
      <c r="H67" s="518"/>
      <c r="I67" s="518"/>
      <c r="J67" s="518"/>
      <c r="K67" s="518"/>
      <c r="L67" s="518"/>
      <c r="M67" s="519"/>
      <c r="N67" s="1065"/>
      <c r="O67" s="1065"/>
      <c r="P67" s="514"/>
      <c r="Q67" s="515"/>
    </row>
    <row r="68" spans="1:17" s="429" customFormat="1" ht="14.4" thickTop="1">
      <c r="A68" s="509"/>
      <c r="B68" s="502">
        <f>B14</f>
        <v>111</v>
      </c>
      <c r="C68" s="479"/>
      <c r="D68" s="479"/>
      <c r="E68" s="479"/>
      <c r="F68" s="479"/>
      <c r="G68" s="479"/>
      <c r="H68" s="520"/>
      <c r="I68" s="520"/>
      <c r="J68" s="520"/>
      <c r="K68" s="520"/>
      <c r="L68" s="521"/>
      <c r="M68" s="522"/>
      <c r="N68" s="1065"/>
      <c r="O68" s="1065"/>
      <c r="P68" s="523"/>
      <c r="Q68" s="515"/>
    </row>
    <row r="69" spans="1:17" s="429" customFormat="1" ht="14.4" thickBot="1">
      <c r="A69" s="524"/>
      <c r="B69" s="525"/>
      <c r="C69" s="526"/>
      <c r="D69" s="526"/>
      <c r="E69" s="526"/>
      <c r="F69" s="526"/>
      <c r="G69" s="526"/>
      <c r="H69" s="527"/>
      <c r="I69" s="527"/>
      <c r="J69" s="527"/>
      <c r="K69" s="527"/>
      <c r="L69" s="527"/>
      <c r="M69" s="528"/>
      <c r="N69" s="1065"/>
      <c r="O69" s="1065"/>
      <c r="P69" s="514"/>
      <c r="Q69" s="515"/>
    </row>
    <row r="70" spans="1:17" ht="14.4">
      <c r="A70" s="483" t="s">
        <v>2317</v>
      </c>
      <c r="B70" s="484" t="s">
        <v>2463</v>
      </c>
      <c r="C70" s="529" t="s">
        <v>2355</v>
      </c>
      <c r="D70" s="529" t="s">
        <v>2356</v>
      </c>
      <c r="E70" s="529" t="s">
        <v>2357</v>
      </c>
      <c r="F70" s="529" t="s">
        <v>2358</v>
      </c>
      <c r="G70" s="529" t="s">
        <v>2359</v>
      </c>
      <c r="H70" s="485"/>
      <c r="I70" s="485"/>
      <c r="J70" s="485"/>
      <c r="K70" s="530"/>
      <c r="L70" s="531"/>
      <c r="M70" s="532"/>
      <c r="N70" s="1063"/>
      <c r="O70" s="1063"/>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 thickTop="1">
      <c r="A72" s="490"/>
      <c r="B72" s="494" t="s">
        <v>2360</v>
      </c>
      <c r="C72" s="534" t="s">
        <v>2355</v>
      </c>
      <c r="D72" s="534" t="s">
        <v>2356</v>
      </c>
      <c r="E72" s="534" t="s">
        <v>2357</v>
      </c>
      <c r="F72" s="534" t="s">
        <v>2358</v>
      </c>
      <c r="G72" s="534" t="s">
        <v>2359</v>
      </c>
      <c r="H72" s="495"/>
      <c r="I72" s="495"/>
      <c r="J72" s="495"/>
      <c r="K72" s="496"/>
      <c r="L72" s="497"/>
      <c r="M72" s="498"/>
      <c r="N72" s="1063"/>
      <c r="O72" s="1063"/>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 thickTop="1">
      <c r="A74" s="490"/>
      <c r="B74" s="494" t="s">
        <v>2361</v>
      </c>
      <c r="C74" s="534" t="s">
        <v>2355</v>
      </c>
      <c r="D74" s="534" t="s">
        <v>2356</v>
      </c>
      <c r="E74" s="534" t="s">
        <v>2357</v>
      </c>
      <c r="F74" s="534" t="s">
        <v>2358</v>
      </c>
      <c r="G74" s="534" t="s">
        <v>2359</v>
      </c>
      <c r="H74" s="495"/>
      <c r="I74" s="495"/>
      <c r="J74" s="495"/>
      <c r="K74" s="496"/>
      <c r="L74" s="497"/>
      <c r="M74" s="498"/>
      <c r="N74" s="1063"/>
      <c r="O74" s="1063"/>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 thickTop="1">
      <c r="A76" s="490"/>
      <c r="B76" s="502" t="s">
        <v>2447</v>
      </c>
      <c r="C76" s="615" t="s">
        <v>2433</v>
      </c>
      <c r="D76" s="615" t="s">
        <v>2434</v>
      </c>
      <c r="E76" s="615" t="s">
        <v>2435</v>
      </c>
      <c r="F76" s="615" t="s">
        <v>2436</v>
      </c>
      <c r="G76" s="615" t="s">
        <v>2437</v>
      </c>
      <c r="H76" s="495"/>
      <c r="I76" s="495"/>
      <c r="J76" s="495"/>
      <c r="K76" s="495"/>
      <c r="L76" s="495"/>
      <c r="M76" s="1262"/>
      <c r="N76" s="1064"/>
      <c r="O76" s="1064"/>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 thickTop="1">
      <c r="A78" s="490"/>
      <c r="B78" s="494" t="s">
        <v>2456</v>
      </c>
      <c r="C78" s="534" t="s">
        <v>2355</v>
      </c>
      <c r="D78" s="534" t="s">
        <v>2356</v>
      </c>
      <c r="E78" s="534" t="s">
        <v>2357</v>
      </c>
      <c r="F78" s="534" t="s">
        <v>2358</v>
      </c>
      <c r="G78" s="534" t="s">
        <v>2359</v>
      </c>
      <c r="H78" s="495"/>
      <c r="I78" s="495"/>
      <c r="J78" s="495"/>
      <c r="K78" s="496"/>
      <c r="L78" s="497"/>
      <c r="M78" s="498"/>
      <c r="N78" s="1063"/>
      <c r="O78" s="1063"/>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4.4" thickTop="1">
      <c r="A80" s="535"/>
      <c r="B80" s="494">
        <f>B25</f>
        <v>111</v>
      </c>
      <c r="C80" s="510"/>
      <c r="D80" s="510"/>
      <c r="E80" s="510"/>
      <c r="F80" s="510"/>
      <c r="G80" s="510"/>
      <c r="H80" s="510"/>
      <c r="I80" s="510"/>
      <c r="J80" s="510"/>
      <c r="K80" s="510"/>
      <c r="L80" s="536"/>
      <c r="M80" s="537"/>
      <c r="N80" s="1062"/>
      <c r="O80" s="1062"/>
      <c r="P80" s="44"/>
      <c r="Q80" s="460"/>
    </row>
    <row r="81" spans="1:17" s="112" customFormat="1" ht="14.4" thickBot="1">
      <c r="A81" s="535"/>
      <c r="B81" s="499"/>
      <c r="C81" s="516"/>
      <c r="D81" s="492"/>
      <c r="E81" s="492"/>
      <c r="F81" s="492"/>
      <c r="G81" s="492"/>
      <c r="H81" s="492"/>
      <c r="I81" s="492"/>
      <c r="J81" s="492"/>
      <c r="K81" s="492"/>
      <c r="L81" s="492"/>
      <c r="M81" s="493"/>
      <c r="N81" s="1064"/>
      <c r="O81" s="1064"/>
      <c r="P81" s="44"/>
      <c r="Q81" s="460"/>
    </row>
    <row r="82" spans="1:17" s="112" customFormat="1" ht="14.4" thickTop="1">
      <c r="A82" s="535"/>
      <c r="B82" s="494">
        <f>B26</f>
        <v>111</v>
      </c>
      <c r="C82" s="510"/>
      <c r="D82" s="510"/>
      <c r="E82" s="510"/>
      <c r="F82" s="510"/>
      <c r="G82" s="510"/>
      <c r="H82" s="510"/>
      <c r="I82" s="510"/>
      <c r="J82" s="510"/>
      <c r="K82" s="510"/>
      <c r="L82" s="536"/>
      <c r="M82" s="537"/>
      <c r="N82" s="1062"/>
      <c r="O82" s="1062"/>
      <c r="P82" s="44"/>
      <c r="Q82" s="460"/>
    </row>
    <row r="83" spans="1:17" s="112" customFormat="1" ht="14.4" thickBot="1">
      <c r="A83" s="535"/>
      <c r="B83" s="499"/>
      <c r="C83" s="516"/>
      <c r="D83" s="492"/>
      <c r="E83" s="492"/>
      <c r="F83" s="492"/>
      <c r="G83" s="492"/>
      <c r="H83" s="492"/>
      <c r="I83" s="492"/>
      <c r="J83" s="492"/>
      <c r="K83" s="492"/>
      <c r="L83" s="492"/>
      <c r="M83" s="493"/>
      <c r="N83" s="1064"/>
      <c r="O83" s="1064"/>
      <c r="P83" s="44"/>
      <c r="Q83" s="460"/>
    </row>
    <row r="84" spans="1:17" s="429" customFormat="1" ht="14.4" thickTop="1">
      <c r="A84" s="509"/>
      <c r="B84" s="494">
        <f>B27</f>
        <v>111</v>
      </c>
      <c r="C84" s="510"/>
      <c r="D84" s="510"/>
      <c r="E84" s="510"/>
      <c r="F84" s="510"/>
      <c r="G84" s="510"/>
      <c r="H84" s="510"/>
      <c r="I84" s="510"/>
      <c r="J84" s="510"/>
      <c r="K84" s="510"/>
      <c r="L84" s="536"/>
      <c r="M84" s="537"/>
      <c r="N84" s="1065"/>
      <c r="O84" s="1065"/>
      <c r="P84" s="514"/>
      <c r="Q84" s="515"/>
    </row>
    <row r="85" spans="1:17" s="429" customFormat="1" ht="14.4" thickBot="1">
      <c r="A85" s="509"/>
      <c r="B85" s="499"/>
      <c r="C85" s="516"/>
      <c r="D85" s="492"/>
      <c r="E85" s="492"/>
      <c r="F85" s="492"/>
      <c r="G85" s="492"/>
      <c r="H85" s="492"/>
      <c r="I85" s="492"/>
      <c r="J85" s="492"/>
      <c r="K85" s="492"/>
      <c r="L85" s="492"/>
      <c r="M85" s="493"/>
      <c r="N85" s="1065"/>
      <c r="O85" s="1065"/>
      <c r="P85" s="514"/>
      <c r="Q85" s="515"/>
    </row>
    <row r="86" spans="1:17" ht="14.4" thickTop="1">
      <c r="A86" s="490"/>
      <c r="B86" s="502">
        <f>B28</f>
        <v>111</v>
      </c>
      <c r="C86" s="479"/>
      <c r="D86" s="479"/>
      <c r="E86" s="479"/>
      <c r="F86" s="479"/>
      <c r="G86" s="543"/>
      <c r="H86" s="543"/>
      <c r="I86" s="543"/>
      <c r="J86" s="543"/>
      <c r="K86" s="544"/>
      <c r="L86" s="545"/>
      <c r="M86" s="546"/>
      <c r="N86" s="1063"/>
      <c r="O86" s="1063"/>
      <c r="P86" s="44"/>
      <c r="Q86" s="460"/>
    </row>
    <row r="87" spans="1:17" ht="14.4" thickBot="1">
      <c r="A87" s="2083"/>
      <c r="B87" s="525"/>
      <c r="C87" s="526"/>
      <c r="D87" s="526"/>
      <c r="E87" s="526"/>
      <c r="F87" s="526"/>
      <c r="G87" s="547"/>
      <c r="H87" s="547"/>
      <c r="I87" s="547"/>
      <c r="J87" s="547"/>
      <c r="K87" s="547"/>
      <c r="L87" s="547"/>
      <c r="M87" s="548"/>
      <c r="N87" s="1064"/>
      <c r="O87" s="1064"/>
      <c r="P87" s="44"/>
      <c r="Q87" s="460"/>
    </row>
    <row r="88" spans="1:17" ht="14.4">
      <c r="A88" s="483" t="s">
        <v>2321</v>
      </c>
      <c r="B88" s="484" t="s">
        <v>2370</v>
      </c>
      <c r="C88" s="486"/>
      <c r="D88" s="486"/>
      <c r="E88" s="486"/>
      <c r="F88" s="486"/>
      <c r="G88" s="486"/>
      <c r="H88" s="486"/>
      <c r="I88" s="486"/>
      <c r="J88" s="486"/>
      <c r="K88" s="487"/>
      <c r="L88" s="488"/>
      <c r="M88" s="489"/>
      <c r="N88" s="1063"/>
      <c r="O88" s="1063"/>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 thickTop="1">
      <c r="A90" s="490"/>
      <c r="B90" s="494" t="s">
        <v>2371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4.4"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2372</v>
      </c>
      <c r="C93" s="510"/>
      <c r="D93" s="510"/>
      <c r="E93" s="539"/>
      <c r="F93" s="539"/>
      <c r="G93" s="539"/>
      <c r="H93" s="539"/>
      <c r="I93" s="539"/>
      <c r="J93" s="539"/>
      <c r="K93" s="540"/>
      <c r="L93" s="541"/>
      <c r="M93" s="542"/>
      <c r="N93" s="1063"/>
      <c r="O93" s="1063"/>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2374</v>
      </c>
      <c r="C95" s="510"/>
      <c r="D95" s="510"/>
      <c r="E95" s="510"/>
      <c r="F95" s="539"/>
      <c r="G95" s="539"/>
      <c r="H95" s="539"/>
      <c r="I95" s="539"/>
      <c r="J95" s="539"/>
      <c r="K95" s="540"/>
      <c r="L95" s="541"/>
      <c r="M95" s="542"/>
      <c r="N95" s="1063"/>
      <c r="O95" s="1063"/>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1813</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2375</v>
      </c>
      <c r="C100" s="510"/>
      <c r="D100" s="510"/>
      <c r="E100" s="510"/>
      <c r="F100" s="510"/>
      <c r="G100" s="510"/>
      <c r="H100" s="539"/>
      <c r="I100" s="539"/>
      <c r="J100" s="539"/>
      <c r="K100" s="540"/>
      <c r="L100" s="541"/>
      <c r="M100" s="542"/>
      <c r="N100" s="1065"/>
      <c r="O100" s="1065"/>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2376</v>
      </c>
      <c r="C102" s="510"/>
      <c r="D102" s="510"/>
      <c r="E102" s="510"/>
      <c r="F102" s="510"/>
      <c r="G102" s="510"/>
      <c r="H102" s="539"/>
      <c r="I102" s="539"/>
      <c r="J102" s="539"/>
      <c r="K102" s="540"/>
      <c r="L102" s="541"/>
      <c r="M102" s="542"/>
      <c r="N102" s="1063"/>
      <c r="O102" s="1063"/>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2378</v>
      </c>
      <c r="C104" s="510"/>
      <c r="D104" s="510"/>
      <c r="E104" s="510"/>
      <c r="F104" s="510"/>
      <c r="G104" s="510"/>
      <c r="H104" s="539"/>
      <c r="I104" s="539"/>
      <c r="J104" s="539"/>
      <c r="K104" s="540"/>
      <c r="L104" s="541"/>
      <c r="M104" s="542"/>
      <c r="N104" s="1063"/>
      <c r="O104" s="1063"/>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29.4" thickTop="1">
      <c r="A106" s="555"/>
      <c r="B106" s="591" t="s">
        <v>2464</v>
      </c>
      <c r="C106" s="534" t="s">
        <v>2355</v>
      </c>
      <c r="D106" s="534" t="s">
        <v>2356</v>
      </c>
      <c r="E106" s="534" t="s">
        <v>2357</v>
      </c>
      <c r="F106" s="534" t="s">
        <v>2358</v>
      </c>
      <c r="G106" s="534" t="s">
        <v>2359</v>
      </c>
      <c r="H106" s="495"/>
      <c r="I106" s="495"/>
      <c r="J106" s="495"/>
      <c r="K106" s="496"/>
      <c r="L106" s="497"/>
      <c r="M106" s="498"/>
      <c r="N106" s="1064"/>
      <c r="O106" s="1064"/>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4.4"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4.4" thickBot="1">
      <c r="A109" s="509"/>
      <c r="B109" s="491"/>
      <c r="C109" s="516"/>
      <c r="D109" s="492"/>
      <c r="E109" s="492"/>
      <c r="F109" s="492"/>
      <c r="G109" s="516"/>
      <c r="H109" s="518"/>
      <c r="I109" s="518"/>
      <c r="J109" s="518"/>
      <c r="K109" s="518"/>
      <c r="L109" s="518"/>
      <c r="M109" s="519"/>
      <c r="N109" s="1065"/>
      <c r="O109" s="1065"/>
      <c r="P109" s="514"/>
      <c r="Q109" s="515"/>
    </row>
    <row r="110" spans="1:17" ht="14.4" thickTop="1">
      <c r="A110" s="555"/>
      <c r="B110" s="494">
        <f>B39</f>
        <v>111</v>
      </c>
      <c r="C110" s="510"/>
      <c r="D110" s="510"/>
      <c r="E110" s="510"/>
      <c r="F110" s="510"/>
      <c r="G110" s="510"/>
      <c r="H110" s="511"/>
      <c r="I110" s="511"/>
      <c r="J110" s="511"/>
      <c r="K110" s="511"/>
      <c r="L110" s="512"/>
      <c r="M110" s="513"/>
      <c r="N110" s="1063"/>
      <c r="O110" s="1063"/>
      <c r="P110" s="44"/>
      <c r="Q110" s="460"/>
    </row>
    <row r="111" spans="1:17" ht="14.4" thickBot="1">
      <c r="A111" s="490"/>
      <c r="B111" s="499"/>
      <c r="C111" s="516"/>
      <c r="D111" s="492"/>
      <c r="E111" s="492"/>
      <c r="F111" s="492"/>
      <c r="G111" s="516"/>
      <c r="H111" s="518"/>
      <c r="I111" s="518"/>
      <c r="J111" s="518"/>
      <c r="K111" s="518"/>
      <c r="L111" s="518"/>
      <c r="M111" s="519"/>
      <c r="N111" s="1064"/>
      <c r="O111" s="1064"/>
      <c r="P111" s="44"/>
      <c r="Q111" s="460"/>
    </row>
    <row r="112" spans="1:17" ht="14.4" thickTop="1">
      <c r="A112" s="555"/>
      <c r="B112" s="502">
        <f>B40</f>
        <v>111</v>
      </c>
      <c r="C112" s="479"/>
      <c r="D112" s="479"/>
      <c r="E112" s="479"/>
      <c r="F112" s="479"/>
      <c r="G112" s="543"/>
      <c r="H112" s="543"/>
      <c r="I112" s="543"/>
      <c r="J112" s="543"/>
      <c r="K112" s="479"/>
      <c r="L112" s="480"/>
      <c r="M112" s="546"/>
      <c r="N112" s="1063"/>
      <c r="O112" s="1063"/>
      <c r="P112" s="44"/>
      <c r="Q112" s="460"/>
    </row>
    <row r="113" spans="1:17" ht="14.4"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6" customWidth="1"/>
    <col min="2" max="2" width="37.21875" style="1646" customWidth="1"/>
    <col min="3" max="3" width="11.33203125" style="1646" customWidth="1"/>
    <col min="4" max="4" width="31.77734375" style="1646" customWidth="1"/>
    <col min="5" max="5" width="0.44140625" style="1646" customWidth="1"/>
    <col min="6" max="7" width="13" style="1646" customWidth="1"/>
    <col min="8" max="16384" width="9" style="1646"/>
  </cols>
  <sheetData>
    <row r="1" spans="1:5" ht="17.399999999999999">
      <c r="A1" s="1644" t="s">
        <v>1523</v>
      </c>
      <c r="B1" s="1645"/>
      <c r="C1" s="1645"/>
      <c r="D1" s="1645"/>
      <c r="E1" s="1645"/>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7.399999999999999">
      <c r="A3" s="3294" t="str">
        <f>IF(项目基本情况!B9="房地产市场价值","估价结果一览表（市场价值不需“结果表-1”）","估价结果一览表")</f>
        <v>估价结果一览表</v>
      </c>
      <c r="B3" s="3294"/>
      <c r="C3" s="3294"/>
      <c r="D3" s="3294"/>
      <c r="E3" s="3294"/>
    </row>
    <row r="4" spans="1:5" ht="18" thickBot="1">
      <c r="A4" s="1647"/>
      <c r="B4" s="3292" t="s">
        <v>1532</v>
      </c>
      <c r="C4" s="3292"/>
      <c r="D4" s="3292"/>
      <c r="E4" s="1647"/>
    </row>
    <row r="5" spans="1:5" ht="16.2" thickTop="1">
      <c r="A5" s="1645"/>
      <c r="B5" s="3290" t="s">
        <v>1524</v>
      </c>
      <c r="C5" s="1648" t="s">
        <v>1525</v>
      </c>
      <c r="D5" s="958">
        <f ca="1">结果表!H101</f>
        <v>34390</v>
      </c>
      <c r="E5" s="1645"/>
    </row>
    <row r="6" spans="1:5" ht="15.6">
      <c r="A6" s="1645"/>
      <c r="B6" s="3290"/>
      <c r="C6" s="1648" t="s">
        <v>1526</v>
      </c>
      <c r="D6" s="958" t="str">
        <f ca="1">NUMBERSTRING(INT(D5*10000),2)&amp;"元整"</f>
        <v>叁亿肆仟叁佰玖拾万元整</v>
      </c>
      <c r="E6" s="1645"/>
    </row>
    <row r="7" spans="1:5" ht="15.6">
      <c r="A7" s="1645"/>
      <c r="B7" s="3295"/>
      <c r="C7" s="1649" t="s">
        <v>1527</v>
      </c>
      <c r="D7" s="959">
        <f ca="1">结果表!H102</f>
        <v>23577</v>
      </c>
      <c r="E7" s="1645"/>
    </row>
    <row r="8" spans="1:5" ht="15.6">
      <c r="A8" s="1645"/>
      <c r="B8" s="3296" t="str">
        <f>结果表!E103</f>
        <v>2.估价师知悉的法定优先受偿款</v>
      </c>
      <c r="C8" s="1650" t="s">
        <v>1528</v>
      </c>
      <c r="D8" s="959">
        <f>结果表!H103</f>
        <v>0</v>
      </c>
      <c r="E8" s="1645"/>
    </row>
    <row r="9" spans="1:5" ht="15.6">
      <c r="A9" s="1645"/>
      <c r="B9" s="3298"/>
      <c r="C9" s="1648" t="s">
        <v>1526</v>
      </c>
      <c r="D9" s="958" t="str">
        <f>NUMBERSTRING(INT(D8*10000),2)&amp;"元整"</f>
        <v>零元整</v>
      </c>
      <c r="E9" s="1645"/>
    </row>
    <row r="10" spans="1:5" ht="15.6">
      <c r="A10" s="1645"/>
      <c r="B10" s="1651" t="s">
        <v>1531</v>
      </c>
      <c r="C10" s="1652" t="s">
        <v>1529</v>
      </c>
      <c r="D10" s="960">
        <f>结果表!H104</f>
        <v>0</v>
      </c>
      <c r="E10" s="1645"/>
    </row>
    <row r="11" spans="1:5" ht="15.6">
      <c r="A11" s="1645"/>
      <c r="B11" s="1651" t="s">
        <v>1533</v>
      </c>
      <c r="C11" s="1652" t="s">
        <v>1534</v>
      </c>
      <c r="D11" s="960">
        <f>结果表!H105</f>
        <v>0</v>
      </c>
      <c r="E11" s="1645"/>
    </row>
    <row r="12" spans="1:5" ht="15.6">
      <c r="A12" s="1645"/>
      <c r="B12" s="1651" t="s">
        <v>1535</v>
      </c>
      <c r="C12" s="1652" t="s">
        <v>1534</v>
      </c>
      <c r="D12" s="960">
        <f>结果表!H106</f>
        <v>0</v>
      </c>
      <c r="E12" s="1645"/>
    </row>
    <row r="13" spans="1:5" ht="15.6">
      <c r="A13" s="1645"/>
      <c r="B13" s="3289" t="str">
        <f>结果表!E107</f>
        <v>3.房地产抵押价值</v>
      </c>
      <c r="C13" s="1653" t="s">
        <v>1525</v>
      </c>
      <c r="D13" s="961">
        <f ca="1">结果表!H107</f>
        <v>34390</v>
      </c>
      <c r="E13" s="1645"/>
    </row>
    <row r="14" spans="1:5" ht="15.6">
      <c r="A14" s="1645"/>
      <c r="B14" s="3290"/>
      <c r="C14" s="1648" t="s">
        <v>1526</v>
      </c>
      <c r="D14" s="958" t="str">
        <f ca="1">NUMBERSTRING(INT(D13*10000),2)&amp;"元整"</f>
        <v>叁亿肆仟叁佰玖拾万元整</v>
      </c>
      <c r="E14" s="1645"/>
    </row>
    <row r="15" spans="1:5" ht="15.6">
      <c r="A15" s="1645"/>
      <c r="B15" s="3295"/>
      <c r="C15" s="1649" t="s">
        <v>1536</v>
      </c>
      <c r="D15" s="967">
        <f ca="1">结果表!H108</f>
        <v>19483</v>
      </c>
      <c r="E15" s="1645"/>
    </row>
    <row r="16" spans="1:5" ht="15.6">
      <c r="A16" s="1645"/>
      <c r="B16" s="3296" t="str">
        <f>结果表!E109</f>
        <v>——</v>
      </c>
      <c r="C16" s="1653" t="s">
        <v>1537</v>
      </c>
      <c r="D16" s="1654" t="str">
        <f>结果表!H109</f>
        <v>——</v>
      </c>
      <c r="E16" s="1645"/>
    </row>
    <row r="17" spans="1:5" ht="15.6">
      <c r="A17" s="1645"/>
      <c r="B17" s="3297"/>
      <c r="C17" s="1648" t="s">
        <v>1538</v>
      </c>
      <c r="D17" s="958" t="e">
        <f>NUMBERSTRING(INT(D16*10000),2)&amp;"元整"</f>
        <v>#VALUE!</v>
      </c>
      <c r="E17" s="1645"/>
    </row>
    <row r="18" spans="1:5" ht="15.6">
      <c r="A18" s="1645"/>
      <c r="B18" s="3298"/>
      <c r="C18" s="1649" t="s">
        <v>1527</v>
      </c>
      <c r="D18" s="967" t="str">
        <f>结果表!H110</f>
        <v>——</v>
      </c>
      <c r="E18" s="1645"/>
    </row>
    <row r="19" spans="1:5" ht="15.6">
      <c r="A19" s="1645"/>
      <c r="B19" s="3289" t="str">
        <f>结果表!E111</f>
        <v>——</v>
      </c>
      <c r="C19" s="1653" t="s">
        <v>1525</v>
      </c>
      <c r="D19" s="959" t="str">
        <f>结果表!H111</f>
        <v>——</v>
      </c>
      <c r="E19" s="1645"/>
    </row>
    <row r="20" spans="1:5" ht="15.6">
      <c r="A20" s="1645"/>
      <c r="B20" s="3290"/>
      <c r="C20" s="1648" t="s">
        <v>1538</v>
      </c>
      <c r="D20" s="958" t="e">
        <f>NUMBERSTRING(INT(D19*10000),2)&amp;"元整"</f>
        <v>#VALUE!</v>
      </c>
      <c r="E20" s="1645"/>
    </row>
    <row r="21" spans="1:5" ht="16.2" thickBot="1">
      <c r="A21" s="1645"/>
      <c r="B21" s="3291"/>
      <c r="C21" s="1655" t="s">
        <v>1536</v>
      </c>
      <c r="D21" s="968" t="str">
        <f>结果表!H112</f>
        <v>——</v>
      </c>
      <c r="E21" s="1645"/>
    </row>
    <row r="22" spans="1:5" ht="14.4" thickTop="1">
      <c r="A22" s="1645"/>
      <c r="B22" s="1656" t="s">
        <v>1539</v>
      </c>
      <c r="C22" s="1645"/>
      <c r="D22" s="1645"/>
      <c r="E22" s="1645"/>
    </row>
    <row r="23" spans="1:5">
      <c r="A23" s="1645"/>
      <c r="B23" s="1645"/>
      <c r="C23" s="1645"/>
      <c r="D23" s="1645"/>
      <c r="E23" s="1645"/>
    </row>
    <row r="24" spans="1:5" ht="17.399999999999999">
      <c r="A24" s="1657"/>
      <c r="B24" s="1658" t="s">
        <v>1530</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2465</v>
      </c>
      <c r="B1" s="1362"/>
      <c r="C1" s="1363" t="s">
        <v>2288</v>
      </c>
      <c r="D1" s="1364"/>
      <c r="E1" s="1365"/>
      <c r="F1" s="2034"/>
      <c r="G1" s="1366" t="s">
        <v>2401</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2085</v>
      </c>
      <c r="B2" s="1297" t="e">
        <f ca="1">IF(C2="——",IF(B37="元/平方米",ROUND(C39*D3/10000,0),ROUND(F3*C39/10000,0)),IF(B37="元/平方米",ROUND(C39*D3/10000,0),ROUND(F3*C39/10000,0))-D2)</f>
        <v>#DIV/0!</v>
      </c>
      <c r="C2" s="2036"/>
      <c r="D2" s="1037" t="e">
        <f ca="1">SUMIF(INDIRECT("'"&amp;F2&amp;"'"&amp;"!A:A"),"承租人权益价值",INDIRECT("'"&amp;F2&amp;"'"&amp;"!c:c"))</f>
        <v>#REF!</v>
      </c>
      <c r="E2" s="2037" t="s">
        <v>2086</v>
      </c>
      <c r="F2" s="2038"/>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2087</v>
      </c>
      <c r="B3" s="565" t="e">
        <f ca="1">IF(AND(C2="——",B37="元/平方米"),C39,ROUND(B2*10000/D3,0))</f>
        <v>#DIV/0!</v>
      </c>
      <c r="C3" s="359" t="s">
        <v>2402</v>
      </c>
      <c r="D3" s="358">
        <f>SUMIF('数据-汇总表'!$C19:$C33,D1,'数据-汇总表'!$E19:$E33)</f>
        <v>0</v>
      </c>
      <c r="E3" s="359" t="s">
        <v>2466</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4.4">
      <c r="A4" s="360" t="s">
        <v>2403</v>
      </c>
      <c r="B4" s="361"/>
      <c r="C4" s="3565" t="s">
        <v>2404</v>
      </c>
      <c r="D4" s="3566"/>
      <c r="E4" s="3567" t="s">
        <v>2405</v>
      </c>
      <c r="F4" s="3568"/>
      <c r="G4" s="3565" t="s">
        <v>2406</v>
      </c>
      <c r="H4" s="3566"/>
      <c r="I4" s="3565" t="s">
        <v>2407</v>
      </c>
      <c r="J4" s="3566"/>
      <c r="K4" s="566" t="s">
        <v>2408</v>
      </c>
      <c r="L4" s="2911"/>
      <c r="M4" s="2912"/>
      <c r="N4" s="2912"/>
      <c r="O4" s="2912"/>
      <c r="P4" s="3569" t="s">
        <v>2409</v>
      </c>
      <c r="Q4" s="3570"/>
      <c r="R4" s="3552" t="s">
        <v>2405</v>
      </c>
      <c r="S4" s="3553"/>
      <c r="T4" s="3552" t="s">
        <v>2406</v>
      </c>
      <c r="U4" s="3553"/>
      <c r="V4" s="3577" t="s">
        <v>2407</v>
      </c>
      <c r="W4" s="3577"/>
      <c r="X4" s="1508"/>
      <c r="Y4" s="3552" t="s">
        <v>2409</v>
      </c>
      <c r="Z4" s="3553"/>
      <c r="AA4" s="3547" t="s">
        <v>2405</v>
      </c>
      <c r="AB4" s="3548" t="s">
        <v>2406</v>
      </c>
      <c r="AC4" s="3547" t="s">
        <v>2407</v>
      </c>
    </row>
    <row r="5" spans="1:29">
      <c r="A5" s="363"/>
      <c r="B5" s="364"/>
      <c r="C5" s="3558" t="s">
        <v>2300</v>
      </c>
      <c r="D5" s="3559"/>
      <c r="E5" s="3556" t="s">
        <v>2301</v>
      </c>
      <c r="F5" s="3557"/>
      <c r="G5" s="3558" t="s">
        <v>2302</v>
      </c>
      <c r="H5" s="3559"/>
      <c r="I5" s="3558" t="s">
        <v>2303</v>
      </c>
      <c r="J5" s="3559"/>
      <c r="K5" s="566"/>
      <c r="L5" s="2911"/>
      <c r="M5" s="2912"/>
      <c r="N5" s="2912"/>
      <c r="O5" s="2912"/>
      <c r="P5" s="3571"/>
      <c r="Q5" s="3572"/>
      <c r="R5" s="3554"/>
      <c r="S5" s="3555"/>
      <c r="T5" s="3554"/>
      <c r="U5" s="3555"/>
      <c r="V5" s="3577"/>
      <c r="W5" s="3577"/>
      <c r="X5" s="1508"/>
      <c r="Y5" s="3554"/>
      <c r="Z5" s="3555"/>
      <c r="AA5" s="3548"/>
      <c r="AB5" s="3548"/>
      <c r="AC5" s="3548"/>
    </row>
    <row r="6" spans="1:29" ht="15" thickBot="1">
      <c r="A6" s="365"/>
      <c r="B6" s="366"/>
      <c r="C6" s="3560" t="s">
        <v>2304</v>
      </c>
      <c r="D6" s="3561"/>
      <c r="E6" s="3562" t="s">
        <v>2304</v>
      </c>
      <c r="F6" s="3563"/>
      <c r="G6" s="3560" t="s">
        <v>2304</v>
      </c>
      <c r="H6" s="3561"/>
      <c r="I6" s="3560" t="s">
        <v>2304</v>
      </c>
      <c r="J6" s="3561"/>
      <c r="K6" s="566" t="s">
        <v>2305</v>
      </c>
      <c r="L6" s="2911"/>
      <c r="M6" s="2912"/>
      <c r="N6" s="2912"/>
      <c r="O6" s="2912"/>
      <c r="P6" s="3573"/>
      <c r="Q6" s="3574"/>
      <c r="R6" s="3554"/>
      <c r="S6" s="3555"/>
      <c r="T6" s="3575"/>
      <c r="U6" s="3576"/>
      <c r="V6" s="3577"/>
      <c r="W6" s="3577"/>
      <c r="X6" s="1508"/>
      <c r="Y6" s="3575"/>
      <c r="Z6" s="3576"/>
      <c r="AA6" s="3549"/>
      <c r="AB6" s="3549"/>
      <c r="AC6" s="3549"/>
    </row>
    <row r="7" spans="1:29" s="112" customFormat="1" ht="15" thickBot="1">
      <c r="A7" s="367" t="s">
        <v>2306</v>
      </c>
      <c r="B7" s="368"/>
      <c r="C7" s="369">
        <f>'数据-取费表'!B2</f>
        <v>44610</v>
      </c>
      <c r="D7" s="370">
        <v>100</v>
      </c>
      <c r="E7" s="371"/>
      <c r="F7" s="372">
        <f>SUMIF(48:48,YEAR(E7)&amp;"-"&amp;MONTH(E7),49:49)</f>
        <v>0</v>
      </c>
      <c r="G7" s="371"/>
      <c r="H7" s="370">
        <f>SUMIF(48:48,YEAR(G7)&amp;"-"&amp;MONTH(G7),49:49)</f>
        <v>0</v>
      </c>
      <c r="I7" s="371"/>
      <c r="J7" s="370">
        <f>SUMIF(48:48,YEAR(I7)&amp;"-"&amp;MONTH(I7),49:49)</f>
        <v>0</v>
      </c>
      <c r="K7" s="567"/>
      <c r="L7" s="2913"/>
      <c r="M7" s="2914"/>
      <c r="N7" s="2914"/>
      <c r="O7" s="2914"/>
      <c r="P7" s="3550" t="s">
        <v>2307</v>
      </c>
      <c r="Q7" s="3578"/>
      <c r="R7" s="709" t="s">
        <v>17</v>
      </c>
      <c r="S7" s="710">
        <f t="shared" ref="S7:S14" si="0">F7</f>
        <v>0</v>
      </c>
      <c r="T7" s="709" t="s">
        <v>17</v>
      </c>
      <c r="U7" s="710">
        <f t="shared" ref="U7:U14" si="1">H7</f>
        <v>0</v>
      </c>
      <c r="V7" s="709" t="s">
        <v>17</v>
      </c>
      <c r="W7" s="710">
        <f t="shared" ref="W7:W14" si="2">J7</f>
        <v>0</v>
      </c>
      <c r="X7" s="711"/>
      <c r="Y7" s="3550" t="s">
        <v>2307</v>
      </c>
      <c r="Z7" s="3551"/>
      <c r="AA7" s="712" t="e">
        <f>D7/F7</f>
        <v>#DIV/0!</v>
      </c>
      <c r="AB7" s="712" t="e">
        <f>D7/H7</f>
        <v>#DIV/0!</v>
      </c>
      <c r="AC7" s="712" t="e">
        <f>D7/J7</f>
        <v>#DIV/0!</v>
      </c>
    </row>
    <row r="8" spans="1:29" s="112" customFormat="1" ht="15" thickBot="1">
      <c r="A8" s="367" t="s">
        <v>2308</v>
      </c>
      <c r="B8" s="368"/>
      <c r="C8" s="373" t="s">
        <v>2410</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550" t="s">
        <v>2310</v>
      </c>
      <c r="Q8" s="3551"/>
      <c r="R8" s="709" t="s">
        <v>17</v>
      </c>
      <c r="S8" s="710">
        <f t="shared" si="0"/>
        <v>0</v>
      </c>
      <c r="T8" s="709" t="s">
        <v>17</v>
      </c>
      <c r="U8" s="710">
        <f t="shared" si="1"/>
        <v>0</v>
      </c>
      <c r="V8" s="709" t="s">
        <v>17</v>
      </c>
      <c r="W8" s="710">
        <f t="shared" si="2"/>
        <v>0</v>
      </c>
      <c r="X8" s="711"/>
      <c r="Y8" s="3550" t="s">
        <v>2310</v>
      </c>
      <c r="Z8" s="3551"/>
      <c r="AA8" s="712" t="e">
        <f t="shared" ref="AA8:AA36" si="3">D8/F8</f>
        <v>#DIV/0!</v>
      </c>
      <c r="AB8" s="712" t="e">
        <f t="shared" ref="AB8:AB36" si="4">D8/H8</f>
        <v>#DIV/0!</v>
      </c>
      <c r="AC8" s="712" t="e">
        <f t="shared" ref="AC8:AC36" si="5">D8/J8</f>
        <v>#DIV/0!</v>
      </c>
    </row>
    <row r="9" spans="1:29" s="112" customFormat="1" ht="14.4">
      <c r="A9" s="63" t="s">
        <v>2311</v>
      </c>
      <c r="B9" s="595" t="s">
        <v>2312</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582" t="s">
        <v>2313</v>
      </c>
      <c r="Q9" s="1496" t="str">
        <f t="shared" ref="Q9:Q14" si="6">B9</f>
        <v>用途</v>
      </c>
      <c r="R9" s="709" t="s">
        <v>17</v>
      </c>
      <c r="S9" s="710">
        <f t="shared" si="0"/>
        <v>100</v>
      </c>
      <c r="T9" s="709" t="s">
        <v>17</v>
      </c>
      <c r="U9" s="710">
        <f t="shared" si="1"/>
        <v>100</v>
      </c>
      <c r="V9" s="709" t="s">
        <v>17</v>
      </c>
      <c r="W9" s="710">
        <f t="shared" si="2"/>
        <v>100</v>
      </c>
      <c r="X9" s="711"/>
      <c r="Y9" s="3487" t="s">
        <v>2314</v>
      </c>
      <c r="Z9" s="54" t="str">
        <f t="shared" ref="Z9:Z14" si="7">Q9</f>
        <v>用途</v>
      </c>
      <c r="AA9" s="712">
        <f t="shared" si="3"/>
        <v>1</v>
      </c>
      <c r="AB9" s="712">
        <f t="shared" si="4"/>
        <v>1</v>
      </c>
      <c r="AC9" s="712">
        <f t="shared" si="5"/>
        <v>1</v>
      </c>
    </row>
    <row r="10" spans="1:29" s="385" customFormat="1" ht="28.8">
      <c r="A10" s="596"/>
      <c r="B10" s="597" t="s">
        <v>2315</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582"/>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582"/>
      <c r="Q11" s="1496">
        <f t="shared" si="6"/>
        <v>111</v>
      </c>
      <c r="R11" s="709" t="s">
        <v>17</v>
      </c>
      <c r="S11" s="710">
        <f t="shared" si="0"/>
        <v>100</v>
      </c>
      <c r="T11" s="709" t="s">
        <v>17</v>
      </c>
      <c r="U11" s="710">
        <f t="shared" si="1"/>
        <v>100</v>
      </c>
      <c r="V11" s="709" t="s">
        <v>17</v>
      </c>
      <c r="W11" s="710">
        <f t="shared" si="2"/>
        <v>100</v>
      </c>
      <c r="X11" s="711"/>
      <c r="Y11" s="3487"/>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582"/>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582"/>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712">
        <f t="shared" si="5"/>
        <v>1</v>
      </c>
    </row>
    <row r="14" spans="1:29" ht="15">
      <c r="A14" s="360" t="s">
        <v>2317</v>
      </c>
      <c r="B14" s="584" t="s">
        <v>2467</v>
      </c>
      <c r="C14" s="2126"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584" t="s">
        <v>2318</v>
      </c>
      <c r="Q14" s="1505" t="str">
        <f t="shared" si="6"/>
        <v>交通便捷度</v>
      </c>
      <c r="R14" s="713" t="s">
        <v>17</v>
      </c>
      <c r="S14" s="714">
        <f t="shared" si="0"/>
        <v>100</v>
      </c>
      <c r="T14" s="713" t="s">
        <v>17</v>
      </c>
      <c r="U14" s="714">
        <f t="shared" si="1"/>
        <v>100</v>
      </c>
      <c r="V14" s="713" t="s">
        <v>17</v>
      </c>
      <c r="W14" s="714">
        <f t="shared" si="2"/>
        <v>100</v>
      </c>
      <c r="X14" s="1508"/>
      <c r="Y14" s="3584" t="s">
        <v>2318</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18"/>
      <c r="M15" s="2912"/>
      <c r="N15" s="2912"/>
      <c r="O15" s="2912"/>
      <c r="P15" s="3585"/>
      <c r="Q15" s="1505"/>
      <c r="R15" s="713"/>
      <c r="S15" s="714"/>
      <c r="T15" s="713"/>
      <c r="U15" s="714"/>
      <c r="V15" s="713"/>
      <c r="W15" s="714"/>
      <c r="X15" s="1508"/>
      <c r="Y15" s="3585"/>
      <c r="Z15" s="1509"/>
      <c r="AA15" s="1506">
        <v>1</v>
      </c>
      <c r="AB15" s="1506">
        <v>1</v>
      </c>
      <c r="AC15" s="1506">
        <v>1</v>
      </c>
    </row>
    <row r="16" spans="1:29" ht="15">
      <c r="A16" s="363"/>
      <c r="B16" s="586" t="s">
        <v>2446</v>
      </c>
      <c r="C16" s="2055"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585"/>
      <c r="Q16" s="1505" t="str">
        <f>B16</f>
        <v>公共配套设施</v>
      </c>
      <c r="R16" s="713" t="s">
        <v>17</v>
      </c>
      <c r="S16" s="714">
        <f>F16</f>
        <v>100</v>
      </c>
      <c r="T16" s="713" t="s">
        <v>17</v>
      </c>
      <c r="U16" s="714">
        <f>H16</f>
        <v>100</v>
      </c>
      <c r="V16" s="713" t="s">
        <v>17</v>
      </c>
      <c r="W16" s="714">
        <f>J16</f>
        <v>100</v>
      </c>
      <c r="X16" s="1508"/>
      <c r="Y16" s="3585"/>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18"/>
      <c r="M17" s="2912"/>
      <c r="N17" s="2912"/>
      <c r="O17" s="2912"/>
      <c r="P17" s="3585"/>
      <c r="Q17" s="1505"/>
      <c r="R17" s="713"/>
      <c r="S17" s="714"/>
      <c r="T17" s="713"/>
      <c r="U17" s="714"/>
      <c r="V17" s="713"/>
      <c r="W17" s="714"/>
      <c r="X17" s="1508"/>
      <c r="Y17" s="3585"/>
      <c r="Z17" s="1509"/>
      <c r="AA17" s="1506">
        <v>1</v>
      </c>
      <c r="AB17" s="1506">
        <v>1</v>
      </c>
      <c r="AC17" s="1506">
        <v>1</v>
      </c>
    </row>
    <row r="18" spans="1:29" ht="15">
      <c r="A18" s="363"/>
      <c r="B18" s="588" t="s">
        <v>2447</v>
      </c>
      <c r="C18" s="205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585"/>
      <c r="Q18" s="1505" t="str">
        <f>B18</f>
        <v>基础设施水平</v>
      </c>
      <c r="R18" s="713" t="s">
        <v>17</v>
      </c>
      <c r="S18" s="714">
        <f>F18</f>
        <v>100</v>
      </c>
      <c r="T18" s="713" t="s">
        <v>17</v>
      </c>
      <c r="U18" s="714">
        <f>H18</f>
        <v>100</v>
      </c>
      <c r="V18" s="713" t="s">
        <v>17</v>
      </c>
      <c r="W18" s="714">
        <f>J18</f>
        <v>100</v>
      </c>
      <c r="X18" s="1508"/>
      <c r="Y18" s="3585"/>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18"/>
      <c r="M19" s="2912"/>
      <c r="N19" s="2912"/>
      <c r="O19" s="2912"/>
      <c r="P19" s="3585"/>
      <c r="Q19" s="1505"/>
      <c r="R19" s="713"/>
      <c r="S19" s="714"/>
      <c r="T19" s="713"/>
      <c r="U19" s="714"/>
      <c r="V19" s="713"/>
      <c r="W19" s="714"/>
      <c r="X19" s="1508"/>
      <c r="Y19" s="3585"/>
      <c r="Z19" s="1509"/>
      <c r="AA19" s="1506">
        <v>1</v>
      </c>
      <c r="AB19" s="1506">
        <v>1</v>
      </c>
      <c r="AC19" s="1506">
        <v>1</v>
      </c>
    </row>
    <row r="20" spans="1:29" ht="15">
      <c r="A20" s="363"/>
      <c r="B20" s="586" t="s">
        <v>2468</v>
      </c>
      <c r="C20" s="2055"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585"/>
      <c r="Q20" s="1505" t="str">
        <f>B20</f>
        <v>自然及人文环境</v>
      </c>
      <c r="R20" s="713" t="s">
        <v>17</v>
      </c>
      <c r="S20" s="714">
        <f>F20</f>
        <v>100</v>
      </c>
      <c r="T20" s="713" t="s">
        <v>17</v>
      </c>
      <c r="U20" s="714">
        <f>H20</f>
        <v>100</v>
      </c>
      <c r="V20" s="713" t="s">
        <v>17</v>
      </c>
      <c r="W20" s="714">
        <f>J20</f>
        <v>100</v>
      </c>
      <c r="X20" s="1508"/>
      <c r="Y20" s="3585"/>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18"/>
      <c r="M21" s="2912"/>
      <c r="N21" s="2912"/>
      <c r="O21" s="2912"/>
      <c r="P21" s="3585"/>
      <c r="Q21" s="1505"/>
      <c r="R21" s="713"/>
      <c r="S21" s="714"/>
      <c r="T21" s="713"/>
      <c r="U21" s="714"/>
      <c r="V21" s="713"/>
      <c r="W21" s="714"/>
      <c r="X21" s="1508"/>
      <c r="Y21" s="3585"/>
      <c r="Z21" s="1509"/>
      <c r="AA21" s="1506">
        <v>1</v>
      </c>
      <c r="AB21" s="1506">
        <v>1</v>
      </c>
      <c r="AC21" s="1506">
        <v>1</v>
      </c>
    </row>
    <row r="22" spans="1:29" ht="15">
      <c r="A22" s="363"/>
      <c r="B22" s="586" t="s">
        <v>2469</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585"/>
      <c r="Q22" s="1505" t="str">
        <f>B22</f>
        <v>楼层</v>
      </c>
      <c r="R22" s="713" t="s">
        <v>17</v>
      </c>
      <c r="S22" s="714">
        <f>F22</f>
        <v>100</v>
      </c>
      <c r="T22" s="713" t="s">
        <v>17</v>
      </c>
      <c r="U22" s="714">
        <f>H22</f>
        <v>100</v>
      </c>
      <c r="V22" s="713" t="s">
        <v>17</v>
      </c>
      <c r="W22" s="714">
        <f>J22</f>
        <v>100</v>
      </c>
      <c r="X22" s="1508"/>
      <c r="Y22" s="3585"/>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85"/>
      <c r="Q23" s="1505">
        <f>B23</f>
        <v>111</v>
      </c>
      <c r="R23" s="713" t="s">
        <v>17</v>
      </c>
      <c r="S23" s="714">
        <f>F23</f>
        <v>100</v>
      </c>
      <c r="T23" s="713" t="s">
        <v>17</v>
      </c>
      <c r="U23" s="714">
        <f>H23</f>
        <v>100</v>
      </c>
      <c r="V23" s="713" t="s">
        <v>17</v>
      </c>
      <c r="W23" s="714">
        <f>J23</f>
        <v>100</v>
      </c>
      <c r="X23" s="1508"/>
      <c r="Y23" s="3585"/>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85"/>
      <c r="Q24" s="1505">
        <f t="shared" ref="Q24:Q36" si="11">B24</f>
        <v>111</v>
      </c>
      <c r="R24" s="713" t="s">
        <v>17</v>
      </c>
      <c r="S24" s="714">
        <f>F24</f>
        <v>100</v>
      </c>
      <c r="T24" s="713" t="s">
        <v>17</v>
      </c>
      <c r="U24" s="714">
        <f>H24</f>
        <v>100</v>
      </c>
      <c r="V24" s="713" t="s">
        <v>17</v>
      </c>
      <c r="W24" s="714">
        <f>J24</f>
        <v>100</v>
      </c>
      <c r="X24" s="1508"/>
      <c r="Y24" s="3585"/>
      <c r="Z24" s="1509">
        <f>Q24</f>
        <v>111</v>
      </c>
      <c r="AA24" s="1506">
        <f t="shared" si="3"/>
        <v>1</v>
      </c>
      <c r="AB24" s="1506">
        <f t="shared" si="4"/>
        <v>1</v>
      </c>
      <c r="AC24" s="1506">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85"/>
      <c r="Q25" s="1496">
        <f t="shared" si="11"/>
        <v>111</v>
      </c>
      <c r="R25" s="709" t="s">
        <v>17</v>
      </c>
      <c r="S25" s="710">
        <f>F25</f>
        <v>100</v>
      </c>
      <c r="T25" s="709" t="s">
        <v>17</v>
      </c>
      <c r="U25" s="710">
        <f>H25</f>
        <v>100</v>
      </c>
      <c r="V25" s="709" t="s">
        <v>17</v>
      </c>
      <c r="W25" s="710">
        <f>J25</f>
        <v>100</v>
      </c>
      <c r="X25" s="711"/>
      <c r="Y25" s="3585"/>
      <c r="Z25" s="54">
        <f>Q25</f>
        <v>111</v>
      </c>
      <c r="AA25" s="1506">
        <f>D25/F25</f>
        <v>1</v>
      </c>
      <c r="AB25" s="1506">
        <f>D25/H25</f>
        <v>1</v>
      </c>
      <c r="AC25" s="1506">
        <f>D25/J25</f>
        <v>1</v>
      </c>
    </row>
    <row r="26" spans="1:29" ht="30">
      <c r="A26" s="607" t="s">
        <v>2321</v>
      </c>
      <c r="B26" s="65" t="s">
        <v>2470</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608" t="s">
        <v>2323</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589" t="s">
        <v>2323</v>
      </c>
      <c r="Z26" s="1509" t="str">
        <f t="shared" ref="Z26:Z36" si="15">Q26</f>
        <v>配套类型</v>
      </c>
      <c r="AA26" s="1506">
        <f t="shared" si="3"/>
        <v>1</v>
      </c>
      <c r="AB26" s="1506">
        <f t="shared" si="4"/>
        <v>1</v>
      </c>
      <c r="AC26" s="1506">
        <f t="shared" si="5"/>
        <v>1</v>
      </c>
    </row>
    <row r="27" spans="1:29" s="429" customFormat="1" ht="15">
      <c r="A27" s="608"/>
      <c r="B27" s="609" t="s">
        <v>2471</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589"/>
      <c r="Q27" s="715" t="str">
        <f t="shared" si="11"/>
        <v>项目停车位配比</v>
      </c>
      <c r="R27" s="716" t="s">
        <v>17</v>
      </c>
      <c r="S27" s="717">
        <f t="shared" si="12"/>
        <v>100</v>
      </c>
      <c r="T27" s="716" t="s">
        <v>17</v>
      </c>
      <c r="U27" s="717">
        <f t="shared" si="13"/>
        <v>100</v>
      </c>
      <c r="V27" s="716" t="s">
        <v>17</v>
      </c>
      <c r="W27" s="717">
        <f t="shared" si="14"/>
        <v>100</v>
      </c>
      <c r="X27" s="718"/>
      <c r="Y27" s="3589"/>
      <c r="Z27" s="719" t="str">
        <f t="shared" si="15"/>
        <v>项目停车位配比</v>
      </c>
      <c r="AA27" s="1506">
        <f t="shared" si="3"/>
        <v>1</v>
      </c>
      <c r="AB27" s="1506">
        <f t="shared" si="4"/>
        <v>1</v>
      </c>
      <c r="AC27" s="1506">
        <f t="shared" si="5"/>
        <v>1</v>
      </c>
    </row>
    <row r="28" spans="1:29" ht="15">
      <c r="A28" s="611"/>
      <c r="B28" s="609" t="s">
        <v>2472</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589"/>
      <c r="Q28" s="1505" t="str">
        <f t="shared" si="11"/>
        <v>公共部分装修</v>
      </c>
      <c r="R28" s="713" t="s">
        <v>17</v>
      </c>
      <c r="S28" s="714">
        <f t="shared" si="12"/>
        <v>100</v>
      </c>
      <c r="T28" s="713" t="s">
        <v>17</v>
      </c>
      <c r="U28" s="714">
        <f t="shared" si="13"/>
        <v>100</v>
      </c>
      <c r="V28" s="713" t="s">
        <v>17</v>
      </c>
      <c r="W28" s="714">
        <f t="shared" si="14"/>
        <v>100</v>
      </c>
      <c r="X28" s="1508"/>
      <c r="Y28" s="3589"/>
      <c r="Z28" s="1509" t="str">
        <f t="shared" si="15"/>
        <v>公共部分装修</v>
      </c>
      <c r="AA28" s="1506">
        <f t="shared" si="3"/>
        <v>1</v>
      </c>
      <c r="AB28" s="1506">
        <f t="shared" si="4"/>
        <v>1</v>
      </c>
      <c r="AC28" s="1506">
        <f t="shared" si="5"/>
        <v>1</v>
      </c>
    </row>
    <row r="29" spans="1:29" ht="15">
      <c r="A29" s="611"/>
      <c r="B29" s="609" t="s">
        <v>2473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589"/>
      <c r="Q29" s="1505" t="str">
        <f t="shared" si="11"/>
        <v>成新率</v>
      </c>
      <c r="R29" s="713" t="s">
        <v>17</v>
      </c>
      <c r="S29" s="714" t="e">
        <f t="shared" si="12"/>
        <v>#N/A</v>
      </c>
      <c r="T29" s="713" t="s">
        <v>17</v>
      </c>
      <c r="U29" s="714" t="e">
        <f t="shared" si="13"/>
        <v>#N/A</v>
      </c>
      <c r="V29" s="713" t="s">
        <v>17</v>
      </c>
      <c r="W29" s="714" t="e">
        <f t="shared" si="14"/>
        <v>#N/A</v>
      </c>
      <c r="X29" s="1508"/>
      <c r="Y29" s="3589"/>
      <c r="Z29" s="1509" t="str">
        <f t="shared" si="15"/>
        <v>成新率</v>
      </c>
      <c r="AA29" s="1506" t="e">
        <f t="shared" si="3"/>
        <v>#N/A</v>
      </c>
      <c r="AB29" s="1506" t="e">
        <f t="shared" si="4"/>
        <v>#N/A</v>
      </c>
      <c r="AC29" s="1506" t="e">
        <f t="shared" si="5"/>
        <v>#N/A</v>
      </c>
    </row>
    <row r="30" spans="1:29" ht="15">
      <c r="A30" s="611"/>
      <c r="B30" s="609" t="s">
        <v>2474</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589"/>
      <c r="Q30" s="1505" t="str">
        <f t="shared" si="11"/>
        <v>物业等级</v>
      </c>
      <c r="R30" s="713" t="s">
        <v>17</v>
      </c>
      <c r="S30" s="714">
        <f t="shared" si="12"/>
        <v>100</v>
      </c>
      <c r="T30" s="713" t="s">
        <v>17</v>
      </c>
      <c r="U30" s="714">
        <f t="shared" si="13"/>
        <v>100</v>
      </c>
      <c r="V30" s="713" t="s">
        <v>17</v>
      </c>
      <c r="W30" s="714">
        <f t="shared" si="14"/>
        <v>100</v>
      </c>
      <c r="X30" s="1508"/>
      <c r="Y30" s="3589"/>
      <c r="Z30" s="1509" t="str">
        <f t="shared" si="15"/>
        <v>物业等级</v>
      </c>
      <c r="AA30" s="1506">
        <f t="shared" si="3"/>
        <v>1</v>
      </c>
      <c r="AB30" s="1506">
        <f t="shared" si="4"/>
        <v>1</v>
      </c>
      <c r="AC30" s="1506">
        <f t="shared" si="5"/>
        <v>1</v>
      </c>
    </row>
    <row r="31" spans="1:29" s="112" customFormat="1" ht="15">
      <c r="A31" s="613"/>
      <c r="B31" s="609" t="s">
        <v>2475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589"/>
      <c r="Q31" s="1496" t="str">
        <f t="shared" si="11"/>
        <v>停车位面积</v>
      </c>
      <c r="R31" s="709" t="s">
        <v>17</v>
      </c>
      <c r="S31" s="710" t="e">
        <f t="shared" si="12"/>
        <v>#N/A</v>
      </c>
      <c r="T31" s="709" t="s">
        <v>17</v>
      </c>
      <c r="U31" s="710" t="e">
        <f t="shared" si="13"/>
        <v>#N/A</v>
      </c>
      <c r="V31" s="709" t="s">
        <v>17</v>
      </c>
      <c r="W31" s="710" t="e">
        <f t="shared" si="14"/>
        <v>#N/A</v>
      </c>
      <c r="X31" s="711"/>
      <c r="Y31" s="3589"/>
      <c r="Z31" s="54" t="str">
        <f t="shared" si="15"/>
        <v>停车位面积</v>
      </c>
      <c r="AA31" s="712" t="e">
        <f t="shared" si="3"/>
        <v>#N/A</v>
      </c>
      <c r="AB31" s="712" t="e">
        <f t="shared" si="4"/>
        <v>#N/A</v>
      </c>
      <c r="AC31" s="712" t="e">
        <f t="shared" si="5"/>
        <v>#N/A</v>
      </c>
    </row>
    <row r="32" spans="1:29" ht="15">
      <c r="A32" s="611"/>
      <c r="B32" s="609" t="s">
        <v>2476</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589" t="s">
        <v>2323</v>
      </c>
      <c r="Q32" s="1505" t="str">
        <f t="shared" si="11"/>
        <v>车位类型</v>
      </c>
      <c r="R32" s="713" t="s">
        <v>17</v>
      </c>
      <c r="S32" s="714">
        <f t="shared" si="12"/>
        <v>100</v>
      </c>
      <c r="T32" s="713" t="s">
        <v>17</v>
      </c>
      <c r="U32" s="714">
        <f t="shared" si="13"/>
        <v>100</v>
      </c>
      <c r="V32" s="713" t="s">
        <v>17</v>
      </c>
      <c r="W32" s="714">
        <f t="shared" si="14"/>
        <v>100</v>
      </c>
      <c r="X32" s="1508"/>
      <c r="Y32" s="3589" t="s">
        <v>2323</v>
      </c>
      <c r="Z32" s="1509" t="str">
        <f t="shared" si="15"/>
        <v>车位类型</v>
      </c>
      <c r="AA32" s="1506">
        <f t="shared" si="3"/>
        <v>1</v>
      </c>
      <c r="AB32" s="1506">
        <f t="shared" si="4"/>
        <v>1</v>
      </c>
      <c r="AC32" s="1506">
        <f t="shared" si="5"/>
        <v>1</v>
      </c>
    </row>
    <row r="33" spans="1:29" ht="15">
      <c r="A33" s="611"/>
      <c r="B33" s="609" t="s">
        <v>2477</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89"/>
      <c r="Q33" s="1505" t="str">
        <f t="shared" si="11"/>
        <v>是否直接入户</v>
      </c>
      <c r="R33" s="713" t="s">
        <v>17</v>
      </c>
      <c r="S33" s="714">
        <f t="shared" si="12"/>
        <v>100</v>
      </c>
      <c r="T33" s="713" t="s">
        <v>17</v>
      </c>
      <c r="U33" s="714">
        <f t="shared" si="13"/>
        <v>100</v>
      </c>
      <c r="V33" s="713" t="s">
        <v>17</v>
      </c>
      <c r="W33" s="714">
        <f t="shared" si="14"/>
        <v>100</v>
      </c>
      <c r="X33" s="1508"/>
      <c r="Y33" s="3589"/>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589"/>
      <c r="Q34" s="1505">
        <f t="shared" si="11"/>
        <v>111</v>
      </c>
      <c r="R34" s="713" t="s">
        <v>17</v>
      </c>
      <c r="S34" s="714">
        <f t="shared" si="12"/>
        <v>100</v>
      </c>
      <c r="T34" s="713" t="s">
        <v>17</v>
      </c>
      <c r="U34" s="714">
        <f t="shared" si="13"/>
        <v>100</v>
      </c>
      <c r="V34" s="713" t="s">
        <v>17</v>
      </c>
      <c r="W34" s="714">
        <f t="shared" si="14"/>
        <v>100</v>
      </c>
      <c r="X34" s="1508"/>
      <c r="Y34" s="3589"/>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89"/>
      <c r="Q35" s="715">
        <f t="shared" si="11"/>
        <v>111</v>
      </c>
      <c r="R35" s="716" t="s">
        <v>17</v>
      </c>
      <c r="S35" s="717">
        <f t="shared" si="12"/>
        <v>100</v>
      </c>
      <c r="T35" s="716" t="s">
        <v>17</v>
      </c>
      <c r="U35" s="717">
        <f t="shared" si="13"/>
        <v>100</v>
      </c>
      <c r="V35" s="716" t="s">
        <v>17</v>
      </c>
      <c r="W35" s="717">
        <f t="shared" si="14"/>
        <v>100</v>
      </c>
      <c r="X35" s="718"/>
      <c r="Y35" s="3589"/>
      <c r="Z35" s="719">
        <f t="shared" si="15"/>
        <v>111</v>
      </c>
      <c r="AA35" s="1506">
        <f t="shared" si="3"/>
        <v>1</v>
      </c>
      <c r="AB35" s="1506">
        <f t="shared" si="4"/>
        <v>1</v>
      </c>
      <c r="AC35" s="150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89"/>
      <c r="Q36" s="1505">
        <f t="shared" si="11"/>
        <v>111</v>
      </c>
      <c r="R36" s="713" t="s">
        <v>17</v>
      </c>
      <c r="S36" s="714">
        <f t="shared" si="12"/>
        <v>100</v>
      </c>
      <c r="T36" s="713" t="s">
        <v>17</v>
      </c>
      <c r="U36" s="714">
        <f t="shared" si="13"/>
        <v>100</v>
      </c>
      <c r="V36" s="713" t="s">
        <v>17</v>
      </c>
      <c r="W36" s="714">
        <f t="shared" si="14"/>
        <v>100</v>
      </c>
      <c r="X36" s="1508"/>
      <c r="Y36" s="3589"/>
      <c r="Z36" s="1509">
        <f t="shared" si="15"/>
        <v>111</v>
      </c>
      <c r="AA36" s="1506">
        <f t="shared" si="3"/>
        <v>1</v>
      </c>
      <c r="AB36" s="1506">
        <f t="shared" si="4"/>
        <v>1</v>
      </c>
      <c r="AC36" s="1506">
        <f t="shared" si="5"/>
        <v>1</v>
      </c>
    </row>
    <row r="37" spans="1:29" ht="14.4">
      <c r="A37" s="437" t="s">
        <v>2478</v>
      </c>
      <c r="B37" s="2128" t="s">
        <v>2479</v>
      </c>
      <c r="C37" s="1287" t="s">
        <v>1</v>
      </c>
      <c r="D37" s="1288"/>
      <c r="E37" s="1289"/>
      <c r="F37" s="1290"/>
      <c r="G37" s="1291"/>
      <c r="H37" s="1292"/>
      <c r="I37" s="1289"/>
      <c r="J37" s="1292"/>
      <c r="K37" s="575"/>
      <c r="L37" s="2920"/>
      <c r="M37" s="2921"/>
      <c r="N37" s="2912"/>
      <c r="O37" s="2921"/>
      <c r="P37" s="3582" t="str">
        <f>A37</f>
        <v>成交单价</v>
      </c>
      <c r="Q37" s="3582"/>
      <c r="R37" s="3583">
        <f>E37</f>
        <v>0</v>
      </c>
      <c r="S37" s="3583"/>
      <c r="T37" s="3583">
        <f>G37</f>
        <v>0</v>
      </c>
      <c r="U37" s="3583"/>
      <c r="V37" s="3583">
        <f>I37</f>
        <v>0</v>
      </c>
      <c r="W37" s="3583"/>
      <c r="X37" s="698"/>
      <c r="Y37" s="720"/>
      <c r="Z37" s="698"/>
      <c r="AA37" s="698"/>
      <c r="AB37" s="698"/>
      <c r="AC37" s="698"/>
    </row>
    <row r="38" spans="1:29" ht="15" thickBot="1">
      <c r="A38" s="444" t="s">
        <v>2480</v>
      </c>
      <c r="B38" s="445" t="str">
        <f>B37</f>
        <v>元/车位</v>
      </c>
      <c r="C38" s="1293" t="e">
        <f>R39</f>
        <v>#DIV/0!</v>
      </c>
      <c r="D38" s="2507" t="s">
        <v>2816</v>
      </c>
      <c r="E38" s="1294" t="e">
        <f>R38</f>
        <v>#DIV/0!</v>
      </c>
      <c r="F38" s="2508"/>
      <c r="G38" s="1293" t="e">
        <f>T38</f>
        <v>#DIV/0!</v>
      </c>
      <c r="H38" s="2508"/>
      <c r="I38" s="1294" t="e">
        <f>V38</f>
        <v>#DIV/0!</v>
      </c>
      <c r="J38" s="2508"/>
      <c r="K38" s="2510">
        <f>F38+H38+J38</f>
        <v>0</v>
      </c>
      <c r="L38" s="2920"/>
      <c r="M38" s="2921"/>
      <c r="N38" s="2921"/>
      <c r="O38" s="2921"/>
      <c r="P38" s="3582" t="str">
        <f>A38</f>
        <v>比较价值（元/平方米）</v>
      </c>
      <c r="Q38" s="3582"/>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698"/>
      <c r="Y38" s="698"/>
      <c r="Z38" s="698"/>
      <c r="AA38" s="698"/>
      <c r="AB38" s="698"/>
      <c r="AC38" s="698"/>
    </row>
    <row r="39" spans="1:29" ht="15" thickBot="1">
      <c r="A39" s="448" t="s">
        <v>2481</v>
      </c>
      <c r="B39" s="449"/>
      <c r="C39" s="1296" t="e">
        <f>R39</f>
        <v>#DIV/0!</v>
      </c>
      <c r="D39" s="1296"/>
      <c r="E39" s="1296"/>
      <c r="F39" s="1296"/>
      <c r="G39" s="1296"/>
      <c r="H39" s="1296"/>
      <c r="I39" s="1296"/>
      <c r="J39" s="1296"/>
      <c r="K39" s="576"/>
      <c r="L39" s="2920"/>
      <c r="M39" s="2921"/>
      <c r="N39" s="2921"/>
      <c r="O39" s="2921"/>
      <c r="P39" s="3579" t="str">
        <f>A39</f>
        <v>估价对象XX用房的比较价值（楼面单价，元/平方米）</v>
      </c>
      <c r="Q39" s="3580"/>
      <c r="R39" s="3609" t="e">
        <f>IF(F1="售价",ROUND(IF(D38="简单平均",AVERAGE(R38:W38),R38*F38+T38*H38+V38*J38),0),ROUND(IF(D38="简单平均",AVERAGE(R38:V38),R38*F38+T38*H38+V38*J38),1))</f>
        <v>#DIV/0!</v>
      </c>
      <c r="S39" s="3609"/>
      <c r="T39" s="3609"/>
      <c r="U39" s="3609"/>
      <c r="V39" s="3609"/>
      <c r="W39" s="3609"/>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2.2" thickBot="1">
      <c r="A47" s="1299" t="s">
        <v>2485</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4.4">
      <c r="A48" s="461" t="s">
        <v>2486</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5"/>
      <c r="Q48" s="2937"/>
      <c r="R48" s="2937"/>
      <c r="S48" s="2937"/>
      <c r="T48" s="2937"/>
      <c r="U48" s="2937"/>
      <c r="V48" s="2937"/>
      <c r="W48" s="2937"/>
      <c r="X48" s="2937"/>
      <c r="Y48" s="2937"/>
      <c r="Z48" s="2937"/>
      <c r="AA48" s="2937"/>
      <c r="AB48" s="2937"/>
      <c r="AC48" s="2937"/>
    </row>
    <row r="49" spans="1:29" s="112" customFormat="1">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2" customFormat="1" ht="15" thickBot="1">
      <c r="A50" s="471" t="s">
        <v>2343</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2" customFormat="1" ht="14.4">
      <c r="A51" s="477" t="s">
        <v>2308</v>
      </c>
      <c r="B51" s="466"/>
      <c r="C51" s="478" t="s">
        <v>2410</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2" customFormat="1" ht="14.4"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ht="14.4">
      <c r="A53" s="483" t="s">
        <v>2346</v>
      </c>
      <c r="B53" s="484" t="s">
        <v>2312</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4.4"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9.4" thickTop="1">
      <c r="A55" s="490"/>
      <c r="B55" s="494" t="s">
        <v>2315</v>
      </c>
      <c r="C55" s="495" t="s">
        <v>2347</v>
      </c>
      <c r="D55" s="495" t="s">
        <v>2348</v>
      </c>
      <c r="E55" s="495" t="s">
        <v>2349</v>
      </c>
      <c r="F55" s="495" t="s">
        <v>2350</v>
      </c>
      <c r="G55" s="495" t="s">
        <v>2351</v>
      </c>
      <c r="H55" s="495" t="s">
        <v>2352</v>
      </c>
      <c r="I55" s="495" t="s">
        <v>2353</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4.4"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4.4"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4.4"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4.4"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4.4"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4.4"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2317</v>
      </c>
      <c r="B63" s="484" t="s">
        <v>2360</v>
      </c>
      <c r="C63" s="529" t="s">
        <v>2355</v>
      </c>
      <c r="D63" s="529" t="s">
        <v>2356</v>
      </c>
      <c r="E63" s="529" t="s">
        <v>2357</v>
      </c>
      <c r="F63" s="529" t="s">
        <v>2358</v>
      </c>
      <c r="G63" s="529" t="s">
        <v>2359</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 thickTop="1">
      <c r="A65" s="490"/>
      <c r="B65" s="494" t="s">
        <v>2361</v>
      </c>
      <c r="C65" s="534" t="s">
        <v>2355</v>
      </c>
      <c r="D65" s="534" t="s">
        <v>2356</v>
      </c>
      <c r="E65" s="534" t="s">
        <v>2357</v>
      </c>
      <c r="F65" s="534" t="s">
        <v>2358</v>
      </c>
      <c r="G65" s="534" t="s">
        <v>2359</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 thickTop="1">
      <c r="A67" s="490"/>
      <c r="B67" s="502" t="s">
        <v>2447</v>
      </c>
      <c r="C67" s="615" t="s">
        <v>2433</v>
      </c>
      <c r="D67" s="615" t="s">
        <v>2434</v>
      </c>
      <c r="E67" s="615" t="s">
        <v>2435</v>
      </c>
      <c r="F67" s="615" t="s">
        <v>2436</v>
      </c>
      <c r="G67" s="615" t="s">
        <v>2437</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 thickTop="1">
      <c r="A69" s="490"/>
      <c r="B69" s="494" t="s">
        <v>2367</v>
      </c>
      <c r="C69" s="534" t="s">
        <v>2355</v>
      </c>
      <c r="D69" s="534" t="s">
        <v>2356</v>
      </c>
      <c r="E69" s="534" t="s">
        <v>2357</v>
      </c>
      <c r="F69" s="534" t="s">
        <v>2358</v>
      </c>
      <c r="G69" s="534" t="s">
        <v>2359</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 thickTop="1">
      <c r="A71" s="490"/>
      <c r="B71" s="494" t="s">
        <v>2487</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2" customFormat="1" ht="14.4"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2" customFormat="1" ht="14.4"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2" customFormat="1" ht="14.4"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2" customFormat="1" ht="14.4"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4.4"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4.4"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9.4" thickTop="1">
      <c r="A79" s="483" t="s">
        <v>2321</v>
      </c>
      <c r="B79" s="484" t="s">
        <v>2488</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 thickTop="1">
      <c r="A81" s="490"/>
      <c r="B81" s="494" t="s">
        <v>2489</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4.4"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2374</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2491</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2493</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2494</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4.4"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4.4"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4.4"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4.4"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4.4"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4.4"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2465</v>
      </c>
      <c r="B1" s="1362"/>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IF(C2="——",ROUND(C37*D3/10000,0),ROUND(C37*D3/10000,0)-D2)</f>
        <v>#DIV/0!</v>
      </c>
      <c r="C2" s="2036"/>
      <c r="D2" s="1037" t="e">
        <f ca="1">SUMIF(INDIRECT("'"&amp;F2&amp;"'"&amp;"!A:A"),"承租人权益价值",INDIRECT("'"&amp;F2&amp;"'"&amp;"!c:c"))</f>
        <v>#REF!</v>
      </c>
      <c r="E2" s="2037" t="s">
        <v>2086</v>
      </c>
      <c r="F2" s="2038"/>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 ca="1">IF(C2="——",C37,ROUND(B2*10000/D3,0))</f>
        <v>#DIV/0!</v>
      </c>
      <c r="C3" s="359" t="s">
        <v>2402</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2403</v>
      </c>
      <c r="B4" s="361"/>
      <c r="C4" s="3565" t="s">
        <v>2404</v>
      </c>
      <c r="D4" s="3566"/>
      <c r="E4" s="3567" t="s">
        <v>2405</v>
      </c>
      <c r="F4" s="3568"/>
      <c r="G4" s="3565" t="s">
        <v>2406</v>
      </c>
      <c r="H4" s="3566"/>
      <c r="I4" s="3565" t="s">
        <v>2407</v>
      </c>
      <c r="J4" s="3566"/>
      <c r="K4" s="566" t="s">
        <v>2408</v>
      </c>
      <c r="L4" s="2911"/>
      <c r="M4" s="2912"/>
      <c r="N4" s="2912"/>
      <c r="O4" s="2912"/>
      <c r="P4" s="3569" t="s">
        <v>2409</v>
      </c>
      <c r="Q4" s="3570"/>
      <c r="R4" s="3552" t="s">
        <v>2405</v>
      </c>
      <c r="S4" s="3553"/>
      <c r="T4" s="3552" t="s">
        <v>2406</v>
      </c>
      <c r="U4" s="3553"/>
      <c r="V4" s="3577" t="s">
        <v>2407</v>
      </c>
      <c r="W4" s="3577"/>
      <c r="X4" s="1508"/>
      <c r="Y4" s="3552" t="s">
        <v>2409</v>
      </c>
      <c r="Z4" s="3553"/>
      <c r="AA4" s="3547" t="s">
        <v>2405</v>
      </c>
      <c r="AB4" s="3548" t="s">
        <v>2406</v>
      </c>
      <c r="AC4" s="3547" t="s">
        <v>2407</v>
      </c>
    </row>
    <row r="5" spans="1:29">
      <c r="A5" s="363"/>
      <c r="B5" s="364"/>
      <c r="C5" s="3558" t="s">
        <v>2300</v>
      </c>
      <c r="D5" s="3559"/>
      <c r="E5" s="3556" t="s">
        <v>2301</v>
      </c>
      <c r="F5" s="3557"/>
      <c r="G5" s="3558" t="s">
        <v>2302</v>
      </c>
      <c r="H5" s="3559"/>
      <c r="I5" s="3558" t="s">
        <v>2303</v>
      </c>
      <c r="J5" s="3559"/>
      <c r="K5" s="566"/>
      <c r="L5" s="2911"/>
      <c r="M5" s="2912"/>
      <c r="N5" s="2912"/>
      <c r="O5" s="2912"/>
      <c r="P5" s="3571"/>
      <c r="Q5" s="3572"/>
      <c r="R5" s="3554"/>
      <c r="S5" s="3555"/>
      <c r="T5" s="3554"/>
      <c r="U5" s="3555"/>
      <c r="V5" s="3577"/>
      <c r="W5" s="3577"/>
      <c r="X5" s="1508"/>
      <c r="Y5" s="3554"/>
      <c r="Z5" s="3555"/>
      <c r="AA5" s="3548"/>
      <c r="AB5" s="3548"/>
      <c r="AC5" s="3548"/>
    </row>
    <row r="6" spans="1:29" ht="15" thickBot="1">
      <c r="A6" s="365"/>
      <c r="B6" s="366"/>
      <c r="C6" s="3560" t="s">
        <v>2304</v>
      </c>
      <c r="D6" s="3561"/>
      <c r="E6" s="3562" t="s">
        <v>2304</v>
      </c>
      <c r="F6" s="3563"/>
      <c r="G6" s="3560" t="s">
        <v>2304</v>
      </c>
      <c r="H6" s="3561"/>
      <c r="I6" s="3560" t="s">
        <v>2304</v>
      </c>
      <c r="J6" s="3561"/>
      <c r="K6" s="566" t="s">
        <v>2305</v>
      </c>
      <c r="L6" s="2911"/>
      <c r="M6" s="2912"/>
      <c r="N6" s="2912"/>
      <c r="O6" s="2912"/>
      <c r="P6" s="3573"/>
      <c r="Q6" s="3574"/>
      <c r="R6" s="3554"/>
      <c r="S6" s="3555"/>
      <c r="T6" s="3575"/>
      <c r="U6" s="3576"/>
      <c r="V6" s="3577"/>
      <c r="W6" s="3577"/>
      <c r="X6" s="1508"/>
      <c r="Y6" s="3575"/>
      <c r="Z6" s="3576"/>
      <c r="AA6" s="3549"/>
      <c r="AB6" s="3549"/>
      <c r="AC6" s="3549"/>
    </row>
    <row r="7" spans="1:29" s="112" customFormat="1" ht="15" thickBot="1">
      <c r="A7" s="367" t="s">
        <v>2306</v>
      </c>
      <c r="B7" s="368"/>
      <c r="C7" s="369">
        <f>'数据-取费表'!B2</f>
        <v>44610</v>
      </c>
      <c r="D7" s="370">
        <v>100</v>
      </c>
      <c r="E7" s="371"/>
      <c r="F7" s="372">
        <f>SUMIF(46:46,YEAR(E7)&amp;"-"&amp;MONTH(E7),47:47)</f>
        <v>0</v>
      </c>
      <c r="G7" s="2129"/>
      <c r="H7" s="370">
        <f>SUMIF(46:46,YEAR(G7)&amp;"-"&amp;MONTH(G7),47:47)</f>
        <v>0</v>
      </c>
      <c r="I7" s="371"/>
      <c r="J7" s="370">
        <f>SUMIF(46:46,YEAR(I7)&amp;"-"&amp;MONTH(I7),47:47)</f>
        <v>0</v>
      </c>
      <c r="K7" s="567"/>
      <c r="L7" s="2913"/>
      <c r="M7" s="2914"/>
      <c r="N7" s="2914"/>
      <c r="O7" s="2914"/>
      <c r="P7" s="3550" t="s">
        <v>2307</v>
      </c>
      <c r="Q7" s="3578"/>
      <c r="R7" s="709" t="s">
        <v>17</v>
      </c>
      <c r="S7" s="710">
        <f t="shared" ref="S7:S14" si="0">F7</f>
        <v>0</v>
      </c>
      <c r="T7" s="709" t="s">
        <v>17</v>
      </c>
      <c r="U7" s="710">
        <f t="shared" ref="U7:U14" si="1">H7</f>
        <v>0</v>
      </c>
      <c r="V7" s="709" t="s">
        <v>17</v>
      </c>
      <c r="W7" s="710">
        <f t="shared" ref="W7:W14" si="2">J7</f>
        <v>0</v>
      </c>
      <c r="X7" s="711"/>
      <c r="Y7" s="3550" t="s">
        <v>2307</v>
      </c>
      <c r="Z7" s="3551"/>
      <c r="AA7" s="712" t="e">
        <f>D7/F7</f>
        <v>#DIV/0!</v>
      </c>
      <c r="AB7" s="712" t="e">
        <f>D7/H7</f>
        <v>#DIV/0!</v>
      </c>
      <c r="AC7" s="712" t="e">
        <f>D7/J7</f>
        <v>#DIV/0!</v>
      </c>
    </row>
    <row r="8" spans="1:29" s="112" customFormat="1" ht="15" thickBot="1">
      <c r="A8" s="367" t="s">
        <v>2308</v>
      </c>
      <c r="B8" s="368"/>
      <c r="C8" s="373" t="s">
        <v>2410</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550" t="s">
        <v>2310</v>
      </c>
      <c r="Q8" s="3551"/>
      <c r="R8" s="709" t="s">
        <v>17</v>
      </c>
      <c r="S8" s="710">
        <f t="shared" si="0"/>
        <v>0</v>
      </c>
      <c r="T8" s="709" t="s">
        <v>17</v>
      </c>
      <c r="U8" s="710">
        <f t="shared" si="1"/>
        <v>0</v>
      </c>
      <c r="V8" s="709" t="s">
        <v>17</v>
      </c>
      <c r="W8" s="710">
        <f t="shared" si="2"/>
        <v>0</v>
      </c>
      <c r="X8" s="711"/>
      <c r="Y8" s="3550" t="s">
        <v>2310</v>
      </c>
      <c r="Z8" s="3551"/>
      <c r="AA8" s="712" t="e">
        <f t="shared" ref="AA8:AA34" si="3">D8/F8</f>
        <v>#DIV/0!</v>
      </c>
      <c r="AB8" s="712" t="e">
        <f t="shared" ref="AB8:AB34" si="4">D8/H8</f>
        <v>#DIV/0!</v>
      </c>
      <c r="AC8" s="712" t="e">
        <f t="shared" ref="AC8:AC34" si="5">D8/J8</f>
        <v>#DIV/0!</v>
      </c>
    </row>
    <row r="9" spans="1:29" s="112" customFormat="1" ht="14.4">
      <c r="A9" s="374" t="s">
        <v>2311</v>
      </c>
      <c r="B9" s="66" t="s">
        <v>2312</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582" t="s">
        <v>2313</v>
      </c>
      <c r="Q9" s="1496" t="str">
        <f t="shared" ref="Q9:Q14" si="6">B9</f>
        <v>用途</v>
      </c>
      <c r="R9" s="709" t="s">
        <v>17</v>
      </c>
      <c r="S9" s="710">
        <f t="shared" si="0"/>
        <v>100</v>
      </c>
      <c r="T9" s="709" t="s">
        <v>17</v>
      </c>
      <c r="U9" s="710">
        <f t="shared" si="1"/>
        <v>100</v>
      </c>
      <c r="V9" s="709" t="s">
        <v>17</v>
      </c>
      <c r="W9" s="710">
        <f t="shared" si="2"/>
        <v>100</v>
      </c>
      <c r="X9" s="711"/>
      <c r="Y9" s="3487" t="s">
        <v>2314</v>
      </c>
      <c r="Z9" s="54" t="str">
        <f t="shared" ref="Z9:Z14" si="7">Q9</f>
        <v>用途</v>
      </c>
      <c r="AA9" s="712">
        <f t="shared" si="3"/>
        <v>1</v>
      </c>
      <c r="AB9" s="712">
        <f t="shared" si="4"/>
        <v>1</v>
      </c>
      <c r="AC9" s="712">
        <f t="shared" si="5"/>
        <v>1</v>
      </c>
    </row>
    <row r="10" spans="1:29" s="385" customFormat="1" ht="28.8">
      <c r="A10" s="379"/>
      <c r="B10" s="380" t="s">
        <v>2315</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582"/>
      <c r="Q10" s="1496" t="str">
        <f t="shared" si="6"/>
        <v>土地使用年限（年）</v>
      </c>
      <c r="R10" s="709" t="s">
        <v>17</v>
      </c>
      <c r="S10" s="710">
        <f t="shared" si="0"/>
        <v>100</v>
      </c>
      <c r="T10" s="709" t="s">
        <v>17</v>
      </c>
      <c r="U10" s="710">
        <f t="shared" si="1"/>
        <v>100</v>
      </c>
      <c r="V10" s="709" t="s">
        <v>17</v>
      </c>
      <c r="W10" s="710">
        <f t="shared" si="2"/>
        <v>100</v>
      </c>
      <c r="X10" s="711"/>
      <c r="Y10" s="3487"/>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582"/>
      <c r="Q11" s="1496">
        <f t="shared" si="6"/>
        <v>111</v>
      </c>
      <c r="R11" s="709" t="s">
        <v>17</v>
      </c>
      <c r="S11" s="710">
        <f t="shared" si="0"/>
        <v>100</v>
      </c>
      <c r="T11" s="709" t="s">
        <v>17</v>
      </c>
      <c r="U11" s="710">
        <f t="shared" si="1"/>
        <v>100</v>
      </c>
      <c r="V11" s="709" t="s">
        <v>17</v>
      </c>
      <c r="W11" s="710">
        <f t="shared" si="2"/>
        <v>100</v>
      </c>
      <c r="X11" s="711"/>
      <c r="Y11" s="3487"/>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582"/>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712">
        <f>D12/J12</f>
        <v>1</v>
      </c>
    </row>
    <row r="13" spans="1:29" ht="15.6"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8"/>
      <c r="M13" s="2912"/>
      <c r="N13" s="2912"/>
      <c r="O13" s="2970"/>
      <c r="P13" s="3582"/>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712">
        <f t="shared" si="5"/>
        <v>1</v>
      </c>
    </row>
    <row r="14" spans="1:29" ht="15">
      <c r="A14" s="398" t="s">
        <v>2317</v>
      </c>
      <c r="B14" s="64" t="s">
        <v>2467</v>
      </c>
      <c r="C14" s="2126"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84" t="s">
        <v>2318</v>
      </c>
      <c r="Q14" s="1505" t="str">
        <f t="shared" si="6"/>
        <v>交通便捷度</v>
      </c>
      <c r="R14" s="713" t="s">
        <v>17</v>
      </c>
      <c r="S14" s="714">
        <f t="shared" si="0"/>
        <v>100</v>
      </c>
      <c r="T14" s="713" t="s">
        <v>17</v>
      </c>
      <c r="U14" s="714">
        <f t="shared" si="1"/>
        <v>100</v>
      </c>
      <c r="V14" s="713" t="s">
        <v>17</v>
      </c>
      <c r="W14" s="714">
        <f t="shared" si="2"/>
        <v>100</v>
      </c>
      <c r="X14" s="1508"/>
      <c r="Y14" s="3584" t="s">
        <v>2318</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8"/>
      <c r="M15" s="2912"/>
      <c r="N15" s="2912"/>
      <c r="O15" s="2970"/>
      <c r="P15" s="3585"/>
      <c r="Q15" s="1505"/>
      <c r="R15" s="713"/>
      <c r="S15" s="714"/>
      <c r="T15" s="713"/>
      <c r="U15" s="714"/>
      <c r="V15" s="713"/>
      <c r="W15" s="714"/>
      <c r="X15" s="1508"/>
      <c r="Y15" s="3585"/>
      <c r="Z15" s="1509"/>
      <c r="AA15" s="1506">
        <v>1</v>
      </c>
      <c r="AB15" s="1506">
        <v>1</v>
      </c>
      <c r="AC15" s="1506">
        <v>1</v>
      </c>
    </row>
    <row r="16" spans="1:29" ht="15">
      <c r="A16" s="386"/>
      <c r="B16" s="409" t="s">
        <v>2446</v>
      </c>
      <c r="C16" s="2055"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85"/>
      <c r="Q16" s="1505" t="str">
        <f>B16</f>
        <v>公共配套设施</v>
      </c>
      <c r="R16" s="713" t="s">
        <v>17</v>
      </c>
      <c r="S16" s="714">
        <f>F16</f>
        <v>100</v>
      </c>
      <c r="T16" s="713" t="s">
        <v>17</v>
      </c>
      <c r="U16" s="714">
        <f>H16</f>
        <v>100</v>
      </c>
      <c r="V16" s="713" t="s">
        <v>17</v>
      </c>
      <c r="W16" s="714">
        <f>J16</f>
        <v>100</v>
      </c>
      <c r="X16" s="1508"/>
      <c r="Y16" s="3585"/>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8"/>
      <c r="M17" s="2912"/>
      <c r="N17" s="2912"/>
      <c r="O17" s="2970"/>
      <c r="P17" s="3585"/>
      <c r="Q17" s="1505"/>
      <c r="R17" s="713"/>
      <c r="S17" s="714"/>
      <c r="T17" s="713"/>
      <c r="U17" s="714"/>
      <c r="V17" s="713"/>
      <c r="W17" s="714"/>
      <c r="X17" s="1508"/>
      <c r="Y17" s="3585"/>
      <c r="Z17" s="1509"/>
      <c r="AA17" s="1506">
        <v>1</v>
      </c>
      <c r="AB17" s="1506">
        <v>1</v>
      </c>
      <c r="AC17" s="1506">
        <v>1</v>
      </c>
    </row>
    <row r="18" spans="1:29" ht="15">
      <c r="A18" s="386"/>
      <c r="B18" s="1264" t="s">
        <v>2447</v>
      </c>
      <c r="C18" s="205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85"/>
      <c r="Q18" s="1505" t="str">
        <f>B18</f>
        <v>基础设施水平</v>
      </c>
      <c r="R18" s="713" t="s">
        <v>17</v>
      </c>
      <c r="S18" s="714">
        <f>F18</f>
        <v>100</v>
      </c>
      <c r="T18" s="713" t="s">
        <v>17</v>
      </c>
      <c r="U18" s="714">
        <f>H18</f>
        <v>100</v>
      </c>
      <c r="V18" s="713" t="s">
        <v>17</v>
      </c>
      <c r="W18" s="714">
        <f>J18</f>
        <v>100</v>
      </c>
      <c r="X18" s="1508"/>
      <c r="Y18" s="3585"/>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8"/>
      <c r="M19" s="2912"/>
      <c r="N19" s="2912"/>
      <c r="O19" s="2970"/>
      <c r="P19" s="3585"/>
      <c r="Q19" s="1505"/>
      <c r="R19" s="713"/>
      <c r="S19" s="714"/>
      <c r="T19" s="713"/>
      <c r="U19" s="714"/>
      <c r="V19" s="713"/>
      <c r="W19" s="714"/>
      <c r="X19" s="1508"/>
      <c r="Y19" s="3585"/>
      <c r="Z19" s="1509"/>
      <c r="AA19" s="1506">
        <v>1</v>
      </c>
      <c r="AB19" s="1506">
        <v>1</v>
      </c>
      <c r="AC19" s="1506">
        <v>1</v>
      </c>
    </row>
    <row r="20" spans="1:29" ht="15">
      <c r="A20" s="386"/>
      <c r="B20" s="409" t="s">
        <v>2468</v>
      </c>
      <c r="C20" s="2055"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85"/>
      <c r="Q20" s="1505" t="str">
        <f>B20</f>
        <v>自然及人文环境</v>
      </c>
      <c r="R20" s="713" t="s">
        <v>17</v>
      </c>
      <c r="S20" s="714">
        <f>F20</f>
        <v>100</v>
      </c>
      <c r="T20" s="713" t="s">
        <v>17</v>
      </c>
      <c r="U20" s="714">
        <f>H20</f>
        <v>100</v>
      </c>
      <c r="V20" s="713" t="s">
        <v>17</v>
      </c>
      <c r="W20" s="714">
        <f>J20</f>
        <v>100</v>
      </c>
      <c r="X20" s="1508"/>
      <c r="Y20" s="3585"/>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8"/>
      <c r="M21" s="2912"/>
      <c r="N21" s="2912"/>
      <c r="O21" s="2970"/>
      <c r="P21" s="3585"/>
      <c r="Q21" s="1505"/>
      <c r="R21" s="713"/>
      <c r="S21" s="714"/>
      <c r="T21" s="713"/>
      <c r="U21" s="714"/>
      <c r="V21" s="713"/>
      <c r="W21" s="714"/>
      <c r="X21" s="1508"/>
      <c r="Y21" s="3585"/>
      <c r="Z21" s="1509"/>
      <c r="AA21" s="1506">
        <v>1</v>
      </c>
      <c r="AB21" s="1506">
        <v>1</v>
      </c>
      <c r="AC21" s="1506">
        <v>1</v>
      </c>
    </row>
    <row r="22" spans="1:29" ht="15">
      <c r="A22" s="386"/>
      <c r="B22" s="409" t="s">
        <v>2469</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85"/>
      <c r="Q22" s="1505" t="str">
        <f>B22</f>
        <v>楼层</v>
      </c>
      <c r="R22" s="713" t="s">
        <v>17</v>
      </c>
      <c r="S22" s="714">
        <f>F22</f>
        <v>100</v>
      </c>
      <c r="T22" s="713" t="s">
        <v>17</v>
      </c>
      <c r="U22" s="714">
        <f>H22</f>
        <v>100</v>
      </c>
      <c r="V22" s="713" t="s">
        <v>17</v>
      </c>
      <c r="W22" s="714">
        <f>J22</f>
        <v>100</v>
      </c>
      <c r="X22" s="1508"/>
      <c r="Y22" s="3585"/>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85"/>
      <c r="Q23" s="1505">
        <f>B23</f>
        <v>111</v>
      </c>
      <c r="R23" s="713" t="s">
        <v>17</v>
      </c>
      <c r="S23" s="714">
        <f>F23</f>
        <v>100</v>
      </c>
      <c r="T23" s="713" t="s">
        <v>17</v>
      </c>
      <c r="U23" s="714">
        <f>H23</f>
        <v>100</v>
      </c>
      <c r="V23" s="713" t="s">
        <v>17</v>
      </c>
      <c r="W23" s="714">
        <f>J23</f>
        <v>100</v>
      </c>
      <c r="X23" s="1508"/>
      <c r="Y23" s="3585"/>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85"/>
      <c r="Q24" s="1505">
        <f t="shared" ref="Q24:Q34" si="11">B24</f>
        <v>111</v>
      </c>
      <c r="R24" s="713" t="s">
        <v>17</v>
      </c>
      <c r="S24" s="714">
        <f>F24</f>
        <v>100</v>
      </c>
      <c r="T24" s="713" t="s">
        <v>17</v>
      </c>
      <c r="U24" s="714">
        <f>H24</f>
        <v>100</v>
      </c>
      <c r="V24" s="713" t="s">
        <v>17</v>
      </c>
      <c r="W24" s="714">
        <f>J24</f>
        <v>100</v>
      </c>
      <c r="X24" s="1508"/>
      <c r="Y24" s="3585"/>
      <c r="Z24" s="1509">
        <f>Q24</f>
        <v>111</v>
      </c>
      <c r="AA24" s="1506">
        <f t="shared" si="3"/>
        <v>1</v>
      </c>
      <c r="AB24" s="1506">
        <f t="shared" si="4"/>
        <v>1</v>
      </c>
      <c r="AC24" s="1506">
        <f t="shared" si="5"/>
        <v>1</v>
      </c>
    </row>
    <row r="25" spans="1:29" s="112" customFormat="1" ht="15.6"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3"/>
      <c r="M25" s="2914"/>
      <c r="N25" s="2914"/>
      <c r="O25" s="2968"/>
      <c r="P25" s="3585"/>
      <c r="Q25" s="1496">
        <f t="shared" si="11"/>
        <v>111</v>
      </c>
      <c r="R25" s="709" t="s">
        <v>17</v>
      </c>
      <c r="S25" s="710">
        <f>F25</f>
        <v>100</v>
      </c>
      <c r="T25" s="709" t="s">
        <v>17</v>
      </c>
      <c r="U25" s="710">
        <f>H25</f>
        <v>100</v>
      </c>
      <c r="V25" s="709" t="s">
        <v>17</v>
      </c>
      <c r="W25" s="710">
        <f>J25</f>
        <v>100</v>
      </c>
      <c r="X25" s="711"/>
      <c r="Y25" s="3585"/>
      <c r="Z25" s="54">
        <f>Q25</f>
        <v>111</v>
      </c>
      <c r="AA25" s="1506">
        <f>D25/F25</f>
        <v>1</v>
      </c>
      <c r="AB25" s="1506">
        <f>D25/H25</f>
        <v>1</v>
      </c>
      <c r="AC25" s="1506">
        <f>D25/J25</f>
        <v>1</v>
      </c>
    </row>
    <row r="26" spans="1:29" ht="30">
      <c r="A26" s="424" t="s">
        <v>2321</v>
      </c>
      <c r="B26" s="66" t="s">
        <v>2472</v>
      </c>
      <c r="C26" s="2122"/>
      <c r="D26" s="425">
        <v>100</v>
      </c>
      <c r="E26" s="2122"/>
      <c r="F26" s="622">
        <f>SUMIF(77:77,E26,78:78)-SUMIF(77:77,C26,78:78)+100</f>
        <v>100</v>
      </c>
      <c r="G26" s="2122"/>
      <c r="H26" s="425">
        <f>SUMIF(77:77,G26,78:78)-SUMIF(77:77,C26,78:78)+100</f>
        <v>100</v>
      </c>
      <c r="I26" s="2122"/>
      <c r="J26" s="425">
        <f>SUMIF(77:77,I26,78:78)-SUMIF(77:77,C26,78:78)+100</f>
        <v>100</v>
      </c>
      <c r="K26" s="568"/>
      <c r="L26" s="2918"/>
      <c r="M26" s="2912"/>
      <c r="N26" s="2912"/>
      <c r="O26" s="2970"/>
      <c r="P26" s="3608" t="s">
        <v>2323</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589" t="s">
        <v>2323</v>
      </c>
      <c r="Z26" s="1509" t="str">
        <f t="shared" ref="Z26:Z34" si="15">Q26</f>
        <v>公共部分装修</v>
      </c>
      <c r="AA26" s="1506">
        <f t="shared" si="3"/>
        <v>1</v>
      </c>
      <c r="AB26" s="1506">
        <f t="shared" si="4"/>
        <v>1</v>
      </c>
      <c r="AC26" s="1506">
        <f t="shared" si="5"/>
        <v>1</v>
      </c>
    </row>
    <row r="27" spans="1:29" s="429" customFormat="1" ht="15">
      <c r="A27" s="426"/>
      <c r="B27" s="380" t="s">
        <v>2473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89"/>
      <c r="Q27" s="715" t="str">
        <f t="shared" si="11"/>
        <v>成新率</v>
      </c>
      <c r="R27" s="716" t="s">
        <v>17</v>
      </c>
      <c r="S27" s="717" t="e">
        <f t="shared" si="12"/>
        <v>#N/A</v>
      </c>
      <c r="T27" s="716" t="s">
        <v>17</v>
      </c>
      <c r="U27" s="717" t="e">
        <f t="shared" si="13"/>
        <v>#N/A</v>
      </c>
      <c r="V27" s="716" t="s">
        <v>17</v>
      </c>
      <c r="W27" s="717" t="e">
        <f t="shared" si="14"/>
        <v>#N/A</v>
      </c>
      <c r="X27" s="718"/>
      <c r="Y27" s="3589"/>
      <c r="Z27" s="719" t="str">
        <f t="shared" si="15"/>
        <v>成新率</v>
      </c>
      <c r="AA27" s="1506" t="e">
        <f t="shared" si="3"/>
        <v>#N/A</v>
      </c>
      <c r="AB27" s="1506" t="e">
        <f t="shared" si="4"/>
        <v>#N/A</v>
      </c>
      <c r="AC27" s="1506" t="e">
        <f t="shared" si="5"/>
        <v>#N/A</v>
      </c>
    </row>
    <row r="28" spans="1:29" ht="15">
      <c r="A28" s="430"/>
      <c r="B28" s="380" t="s">
        <v>2474</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89"/>
      <c r="Q28" s="1505" t="str">
        <f t="shared" si="11"/>
        <v>物业等级</v>
      </c>
      <c r="R28" s="713" t="s">
        <v>17</v>
      </c>
      <c r="S28" s="714">
        <f t="shared" si="12"/>
        <v>100</v>
      </c>
      <c r="T28" s="713" t="s">
        <v>17</v>
      </c>
      <c r="U28" s="714">
        <f t="shared" si="13"/>
        <v>100</v>
      </c>
      <c r="V28" s="713" t="s">
        <v>17</v>
      </c>
      <c r="W28" s="714">
        <f t="shared" si="14"/>
        <v>100</v>
      </c>
      <c r="X28" s="1508"/>
      <c r="Y28" s="3589"/>
      <c r="Z28" s="1509" t="str">
        <f t="shared" si="15"/>
        <v>物业等级</v>
      </c>
      <c r="AA28" s="1506">
        <f t="shared" si="3"/>
        <v>1</v>
      </c>
      <c r="AB28" s="1506">
        <f t="shared" si="4"/>
        <v>1</v>
      </c>
      <c r="AC28" s="1506">
        <f t="shared" si="5"/>
        <v>1</v>
      </c>
    </row>
    <row r="29" spans="1:29" ht="15">
      <c r="A29" s="430"/>
      <c r="B29" s="380" t="s">
        <v>2495</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89"/>
      <c r="Q29" s="1505" t="str">
        <f t="shared" si="11"/>
        <v>有无电梯</v>
      </c>
      <c r="R29" s="713" t="s">
        <v>17</v>
      </c>
      <c r="S29" s="714">
        <f t="shared" si="12"/>
        <v>100</v>
      </c>
      <c r="T29" s="713" t="s">
        <v>17</v>
      </c>
      <c r="U29" s="714">
        <f t="shared" si="13"/>
        <v>100</v>
      </c>
      <c r="V29" s="713" t="s">
        <v>17</v>
      </c>
      <c r="W29" s="714">
        <f t="shared" si="14"/>
        <v>100</v>
      </c>
      <c r="X29" s="1508"/>
      <c r="Y29" s="3589"/>
      <c r="Z29" s="1509" t="str">
        <f t="shared" si="15"/>
        <v>有无电梯</v>
      </c>
      <c r="AA29" s="1506">
        <f t="shared" si="3"/>
        <v>1</v>
      </c>
      <c r="AB29" s="1506">
        <f t="shared" si="4"/>
        <v>1</v>
      </c>
      <c r="AC29" s="1506">
        <f t="shared" si="5"/>
        <v>1</v>
      </c>
    </row>
    <row r="30" spans="1:29" ht="15">
      <c r="A30" s="430"/>
      <c r="B30" s="380" t="s">
        <v>2496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89"/>
      <c r="Q30" s="1505" t="str">
        <f t="shared" si="11"/>
        <v>建筑面积</v>
      </c>
      <c r="R30" s="713" t="s">
        <v>17</v>
      </c>
      <c r="S30" s="714" t="e">
        <f t="shared" si="12"/>
        <v>#N/A</v>
      </c>
      <c r="T30" s="713" t="s">
        <v>17</v>
      </c>
      <c r="U30" s="714" t="e">
        <f t="shared" si="13"/>
        <v>#N/A</v>
      </c>
      <c r="V30" s="713" t="s">
        <v>17</v>
      </c>
      <c r="W30" s="714" t="e">
        <f t="shared" si="14"/>
        <v>#N/A</v>
      </c>
      <c r="X30" s="1508"/>
      <c r="Y30" s="3589"/>
      <c r="Z30" s="1509" t="str">
        <f t="shared" si="15"/>
        <v>建筑面积</v>
      </c>
      <c r="AA30" s="1506" t="e">
        <f t="shared" si="3"/>
        <v>#N/A</v>
      </c>
      <c r="AB30" s="1506" t="e">
        <f t="shared" si="4"/>
        <v>#N/A</v>
      </c>
      <c r="AC30" s="1506" t="e">
        <f t="shared" si="5"/>
        <v>#N/A</v>
      </c>
    </row>
    <row r="31" spans="1:29" s="112" customFormat="1" ht="15">
      <c r="A31" s="431"/>
      <c r="B31" s="380" t="s">
        <v>2497</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89"/>
      <c r="Q31" s="1496" t="str">
        <f t="shared" si="11"/>
        <v>是否封闭</v>
      </c>
      <c r="R31" s="709" t="s">
        <v>17</v>
      </c>
      <c r="S31" s="710">
        <f t="shared" si="12"/>
        <v>100</v>
      </c>
      <c r="T31" s="709" t="s">
        <v>17</v>
      </c>
      <c r="U31" s="710">
        <f t="shared" si="13"/>
        <v>100</v>
      </c>
      <c r="V31" s="709" t="s">
        <v>17</v>
      </c>
      <c r="W31" s="710">
        <f t="shared" si="14"/>
        <v>100</v>
      </c>
      <c r="X31" s="711"/>
      <c r="Y31" s="3589"/>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89" t="s">
        <v>2323</v>
      </c>
      <c r="Q32" s="1505">
        <f t="shared" si="11"/>
        <v>111</v>
      </c>
      <c r="R32" s="713" t="s">
        <v>17</v>
      </c>
      <c r="S32" s="714">
        <f t="shared" si="12"/>
        <v>100</v>
      </c>
      <c r="T32" s="713" t="s">
        <v>17</v>
      </c>
      <c r="U32" s="714">
        <f t="shared" si="13"/>
        <v>100</v>
      </c>
      <c r="V32" s="713" t="s">
        <v>17</v>
      </c>
      <c r="W32" s="714">
        <f t="shared" si="14"/>
        <v>100</v>
      </c>
      <c r="X32" s="1508"/>
      <c r="Y32" s="3589" t="s">
        <v>2323</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89"/>
      <c r="Q33" s="1505">
        <f t="shared" si="11"/>
        <v>111</v>
      </c>
      <c r="R33" s="713" t="s">
        <v>17</v>
      </c>
      <c r="S33" s="714">
        <f t="shared" si="12"/>
        <v>100</v>
      </c>
      <c r="T33" s="713" t="s">
        <v>17</v>
      </c>
      <c r="U33" s="714">
        <f t="shared" si="13"/>
        <v>100</v>
      </c>
      <c r="V33" s="713" t="s">
        <v>17</v>
      </c>
      <c r="W33" s="714">
        <f t="shared" si="14"/>
        <v>100</v>
      </c>
      <c r="X33" s="1508"/>
      <c r="Y33" s="3589"/>
      <c r="Z33" s="1509">
        <f t="shared" si="15"/>
        <v>111</v>
      </c>
      <c r="AA33" s="1506">
        <f t="shared" si="3"/>
        <v>1</v>
      </c>
      <c r="AB33" s="1506">
        <f t="shared" si="4"/>
        <v>1</v>
      </c>
      <c r="AC33" s="1506">
        <f t="shared" si="5"/>
        <v>1</v>
      </c>
    </row>
    <row r="34" spans="1:30" ht="15.6"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8"/>
      <c r="M34" s="2912"/>
      <c r="N34" s="2912"/>
      <c r="O34" s="2970"/>
      <c r="P34" s="3589"/>
      <c r="Q34" s="1505">
        <f t="shared" si="11"/>
        <v>111</v>
      </c>
      <c r="R34" s="713" t="s">
        <v>17</v>
      </c>
      <c r="S34" s="714">
        <f t="shared" si="12"/>
        <v>100</v>
      </c>
      <c r="T34" s="713" t="s">
        <v>17</v>
      </c>
      <c r="U34" s="714">
        <f t="shared" si="13"/>
        <v>100</v>
      </c>
      <c r="V34" s="713" t="s">
        <v>17</v>
      </c>
      <c r="W34" s="714">
        <f t="shared" si="14"/>
        <v>100</v>
      </c>
      <c r="X34" s="1508"/>
      <c r="Y34" s="3589"/>
      <c r="Z34" s="1509">
        <f t="shared" si="15"/>
        <v>111</v>
      </c>
      <c r="AA34" s="1506">
        <f t="shared" si="3"/>
        <v>1</v>
      </c>
      <c r="AB34" s="1506">
        <f t="shared" si="4"/>
        <v>1</v>
      </c>
      <c r="AC34" s="1506">
        <f t="shared" si="5"/>
        <v>1</v>
      </c>
    </row>
    <row r="35" spans="1:30" ht="14.4">
      <c r="A35" s="437" t="s">
        <v>2335</v>
      </c>
      <c r="B35" s="438"/>
      <c r="C35" s="1287" t="s">
        <v>1</v>
      </c>
      <c r="D35" s="1288"/>
      <c r="E35" s="1289"/>
      <c r="F35" s="1290"/>
      <c r="G35" s="1291"/>
      <c r="H35" s="1292"/>
      <c r="I35" s="1289"/>
      <c r="J35" s="1292"/>
      <c r="K35" s="722"/>
      <c r="L35" s="2920"/>
      <c r="M35" s="2921"/>
      <c r="N35" s="2912"/>
      <c r="O35" s="2921"/>
      <c r="P35" s="3582" t="str">
        <f>A35</f>
        <v>成交单价（元/平方米）</v>
      </c>
      <c r="Q35" s="3582"/>
      <c r="R35" s="3583">
        <f>E35</f>
        <v>0</v>
      </c>
      <c r="S35" s="3583"/>
      <c r="T35" s="3583">
        <f>G35</f>
        <v>0</v>
      </c>
      <c r="U35" s="3583"/>
      <c r="V35" s="3583">
        <f>I35</f>
        <v>0</v>
      </c>
      <c r="W35" s="3583"/>
      <c r="X35" s="698"/>
      <c r="Y35" s="720"/>
      <c r="Z35" s="698"/>
      <c r="AA35" s="698"/>
      <c r="AB35" s="698"/>
      <c r="AC35" s="698"/>
    </row>
    <row r="36" spans="1:30" ht="15" thickBot="1">
      <c r="A36" s="444" t="s">
        <v>2427</v>
      </c>
      <c r="B36" s="445"/>
      <c r="C36" s="1293" t="e">
        <f>R37</f>
        <v>#DIV/0!</v>
      </c>
      <c r="D36" s="2507" t="s">
        <v>2816</v>
      </c>
      <c r="E36" s="1294" t="e">
        <f>R36</f>
        <v>#DIV/0!</v>
      </c>
      <c r="F36" s="2508"/>
      <c r="G36" s="1293" t="e">
        <f>T36</f>
        <v>#DIV/0!</v>
      </c>
      <c r="H36" s="2508"/>
      <c r="I36" s="1294" t="e">
        <f>V36</f>
        <v>#DIV/0!</v>
      </c>
      <c r="J36" s="2508"/>
      <c r="K36" s="2510">
        <f>F36+H36+J36</f>
        <v>0</v>
      </c>
      <c r="L36" s="2920"/>
      <c r="M36" s="2921"/>
      <c r="N36" s="2912"/>
      <c r="O36" s="2921"/>
      <c r="P36" s="3582" t="str">
        <f>A36</f>
        <v>比较价值（元/平方米）</v>
      </c>
      <c r="Q36" s="3582"/>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698"/>
      <c r="Y36" s="698"/>
      <c r="Z36" s="698"/>
      <c r="AA36" s="698"/>
      <c r="AB36" s="698"/>
      <c r="AC36" s="698"/>
    </row>
    <row r="37" spans="1:30" ht="15" thickBot="1">
      <c r="A37" s="448" t="s">
        <v>2428</v>
      </c>
      <c r="B37" s="449"/>
      <c r="C37" s="1296" t="e">
        <f>R37</f>
        <v>#DIV/0!</v>
      </c>
      <c r="D37" s="1296"/>
      <c r="E37" s="1296"/>
      <c r="F37" s="1296"/>
      <c r="G37" s="1296"/>
      <c r="H37" s="1296"/>
      <c r="I37" s="1296"/>
      <c r="J37" s="1296"/>
      <c r="K37" s="723"/>
      <c r="L37" s="2920"/>
      <c r="M37" s="2921"/>
      <c r="N37" s="2921"/>
      <c r="O37" s="2921"/>
      <c r="P37" s="3579" t="str">
        <f>A37</f>
        <v>估价对象XX用房的比较价值（楼面单价，元/平方米）</v>
      </c>
      <c r="Q37" s="3580"/>
      <c r="R37" s="3609" t="e">
        <f>IF(F1="售价",ROUND(IF(D36="简单平均",AVERAGE(R36:W36),R36*F36+T36*H36+V36*J36),0),ROUND(IF(D36="简单平均",AVERAGE(R36:V36),R36*F36+T36*H36+V36*J36),1))</f>
        <v>#DIV/0!</v>
      </c>
      <c r="S37" s="3609"/>
      <c r="T37" s="3609"/>
      <c r="U37" s="3609"/>
      <c r="V37" s="3609"/>
      <c r="W37" s="3609"/>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2429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2.2" thickBot="1">
      <c r="A45" s="702" t="s">
        <v>2432</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4.4">
      <c r="A46" s="461" t="s">
        <v>2306</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2"/>
      <c r="Q46" s="2937"/>
      <c r="R46" s="2937"/>
      <c r="S46" s="2937"/>
      <c r="T46" s="2937"/>
      <c r="U46" s="2937"/>
      <c r="V46" s="2937"/>
      <c r="W46" s="2937"/>
      <c r="X46" s="2937"/>
      <c r="Y46" s="2937"/>
      <c r="Z46" s="2937"/>
      <c r="AA46" s="2937"/>
      <c r="AB46" s="2937"/>
      <c r="AC46" s="2937"/>
      <c r="AD46" s="2937"/>
    </row>
    <row r="47" spans="1:30" s="112" customFormat="1">
      <c r="A47" s="465"/>
      <c r="B47" s="466"/>
      <c r="C47" s="1316">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2" customFormat="1" ht="15" thickBot="1">
      <c r="A48" s="471" t="s">
        <v>2343</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2" customFormat="1" ht="14.4">
      <c r="A49" s="477" t="s">
        <v>2308</v>
      </c>
      <c r="B49" s="466"/>
      <c r="C49" s="478" t="s">
        <v>2410</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2" customFormat="1" ht="14.4"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ht="14.4">
      <c r="A51" s="483" t="s">
        <v>2346</v>
      </c>
      <c r="B51" s="484" t="s">
        <v>2312</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4.4"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9.4" thickTop="1">
      <c r="A53" s="490"/>
      <c r="B53" s="494" t="s">
        <v>2315</v>
      </c>
      <c r="C53" s="495" t="s">
        <v>2347</v>
      </c>
      <c r="D53" s="495" t="s">
        <v>2348</v>
      </c>
      <c r="E53" s="495" t="s">
        <v>2349</v>
      </c>
      <c r="F53" s="495" t="s">
        <v>2350</v>
      </c>
      <c r="G53" s="495" t="s">
        <v>2351</v>
      </c>
      <c r="H53" s="495" t="s">
        <v>2352</v>
      </c>
      <c r="I53" s="495" t="s">
        <v>2353</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4.4"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4.4"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4.4"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4.4"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4.4"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4.4"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2317</v>
      </c>
      <c r="B61" s="484" t="s">
        <v>2360</v>
      </c>
      <c r="C61" s="529" t="s">
        <v>2355</v>
      </c>
      <c r="D61" s="529" t="s">
        <v>2356</v>
      </c>
      <c r="E61" s="529" t="s">
        <v>2357</v>
      </c>
      <c r="F61" s="529" t="s">
        <v>2358</v>
      </c>
      <c r="G61" s="529" t="s">
        <v>2359</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9.4" thickTop="1">
      <c r="A63" s="490"/>
      <c r="B63" s="494" t="s">
        <v>2498</v>
      </c>
      <c r="C63" s="534" t="s">
        <v>2355</v>
      </c>
      <c r="D63" s="534" t="s">
        <v>2356</v>
      </c>
      <c r="E63" s="534" t="s">
        <v>2357</v>
      </c>
      <c r="F63" s="534" t="s">
        <v>2358</v>
      </c>
      <c r="G63" s="534" t="s">
        <v>2359</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 thickTop="1">
      <c r="A65" s="490"/>
      <c r="B65" s="502" t="s">
        <v>2447</v>
      </c>
      <c r="C65" s="615" t="s">
        <v>2433</v>
      </c>
      <c r="D65" s="615" t="s">
        <v>2434</v>
      </c>
      <c r="E65" s="615" t="s">
        <v>2435</v>
      </c>
      <c r="F65" s="615" t="s">
        <v>2436</v>
      </c>
      <c r="G65" s="615" t="s">
        <v>2437</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 thickTop="1">
      <c r="A67" s="490"/>
      <c r="B67" s="494" t="s">
        <v>2367</v>
      </c>
      <c r="C67" s="534" t="s">
        <v>2355</v>
      </c>
      <c r="D67" s="534" t="s">
        <v>2356</v>
      </c>
      <c r="E67" s="534" t="s">
        <v>2357</v>
      </c>
      <c r="F67" s="534" t="s">
        <v>2358</v>
      </c>
      <c r="G67" s="534" t="s">
        <v>2359</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 thickTop="1">
      <c r="A69" s="490"/>
      <c r="B69" s="494" t="s">
        <v>2487</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4.4"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2" customFormat="1" ht="14.4"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2" customFormat="1" ht="14.4"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2" customFormat="1" ht="14.4"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2" customFormat="1" ht="14.4"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4.4"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4.4"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2321</v>
      </c>
      <c r="B77" s="484" t="s">
        <v>2374</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 thickTop="1">
      <c r="A79" s="490"/>
      <c r="B79" s="494" t="s">
        <v>2490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2491</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2499</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4.4"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2501</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4.4"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4.4"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4.4"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4.4"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4.4"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4.4"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4.4"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4.4"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2502</v>
      </c>
      <c r="B1" s="354"/>
      <c r="C1" s="355" t="s">
        <v>2503</v>
      </c>
      <c r="D1" s="694"/>
      <c r="E1" s="694"/>
      <c r="F1" s="693" t="s">
        <v>2401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2085</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2087</v>
      </c>
      <c r="B3" s="565" t="e">
        <f>ROUND(IF(D3="",B2*10000/'数据-汇总表'!E3,B2*10000/D3),0)</f>
        <v>#DIV/0!</v>
      </c>
      <c r="C3" s="208" t="s">
        <v>2504</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4.4">
      <c r="A4" s="360" t="s">
        <v>2403</v>
      </c>
      <c r="B4" s="361"/>
      <c r="C4" s="3565" t="s">
        <v>2404</v>
      </c>
      <c r="D4" s="3566"/>
      <c r="E4" s="3567" t="s">
        <v>2405</v>
      </c>
      <c r="F4" s="3568"/>
      <c r="G4" s="3565" t="s">
        <v>2406</v>
      </c>
      <c r="H4" s="3566"/>
      <c r="I4" s="3565" t="s">
        <v>2407</v>
      </c>
      <c r="J4" s="3566"/>
      <c r="K4" s="566" t="s">
        <v>2408</v>
      </c>
      <c r="L4" s="2911"/>
      <c r="M4" s="2912"/>
      <c r="N4" s="2912"/>
      <c r="O4" s="2912"/>
      <c r="P4" s="3569" t="s">
        <v>2409</v>
      </c>
      <c r="Q4" s="3570"/>
      <c r="R4" s="3552" t="s">
        <v>2405</v>
      </c>
      <c r="S4" s="3553"/>
      <c r="T4" s="3552" t="s">
        <v>2406</v>
      </c>
      <c r="U4" s="3553"/>
      <c r="V4" s="3577" t="s">
        <v>2407</v>
      </c>
      <c r="W4" s="3577"/>
      <c r="X4" s="1508"/>
      <c r="Y4" s="3552" t="s">
        <v>2409</v>
      </c>
      <c r="Z4" s="3553"/>
      <c r="AA4" s="3547" t="s">
        <v>2405</v>
      </c>
      <c r="AB4" s="3548" t="s">
        <v>2406</v>
      </c>
      <c r="AC4" s="3547" t="s">
        <v>2407</v>
      </c>
    </row>
    <row r="5" spans="1:30">
      <c r="A5" s="363"/>
      <c r="B5" s="364"/>
      <c r="C5" s="3558" t="s">
        <v>2300</v>
      </c>
      <c r="D5" s="3559"/>
      <c r="E5" s="3556" t="s">
        <v>2301</v>
      </c>
      <c r="F5" s="3557"/>
      <c r="G5" s="3558" t="s">
        <v>2302</v>
      </c>
      <c r="H5" s="3559"/>
      <c r="I5" s="3558" t="s">
        <v>2303</v>
      </c>
      <c r="J5" s="3559"/>
      <c r="K5" s="566"/>
      <c r="L5" s="2911"/>
      <c r="M5" s="2912"/>
      <c r="N5" s="2912"/>
      <c r="O5" s="2912"/>
      <c r="P5" s="3571"/>
      <c r="Q5" s="3572"/>
      <c r="R5" s="3554"/>
      <c r="S5" s="3555"/>
      <c r="T5" s="3554"/>
      <c r="U5" s="3555"/>
      <c r="V5" s="3577"/>
      <c r="W5" s="3577"/>
      <c r="X5" s="1508"/>
      <c r="Y5" s="3554"/>
      <c r="Z5" s="3555"/>
      <c r="AA5" s="3548"/>
      <c r="AB5" s="3548"/>
      <c r="AC5" s="3548"/>
    </row>
    <row r="6" spans="1:30" ht="15" thickBot="1">
      <c r="A6" s="365"/>
      <c r="B6" s="366"/>
      <c r="C6" s="3560" t="s">
        <v>2304</v>
      </c>
      <c r="D6" s="3561"/>
      <c r="E6" s="3562" t="s">
        <v>2304</v>
      </c>
      <c r="F6" s="3563"/>
      <c r="G6" s="3560" t="s">
        <v>2304</v>
      </c>
      <c r="H6" s="3561"/>
      <c r="I6" s="3560" t="s">
        <v>2304</v>
      </c>
      <c r="J6" s="3561"/>
      <c r="K6" s="566" t="s">
        <v>2305</v>
      </c>
      <c r="L6" s="2911"/>
      <c r="M6" s="2912"/>
      <c r="N6" s="2912"/>
      <c r="O6" s="2912"/>
      <c r="P6" s="3573"/>
      <c r="Q6" s="3574"/>
      <c r="R6" s="3554"/>
      <c r="S6" s="3555"/>
      <c r="T6" s="3575"/>
      <c r="U6" s="3576"/>
      <c r="V6" s="3577"/>
      <c r="W6" s="3577"/>
      <c r="X6" s="1508"/>
      <c r="Y6" s="3575"/>
      <c r="Z6" s="3576"/>
      <c r="AA6" s="3549"/>
      <c r="AB6" s="3549"/>
      <c r="AC6" s="3549"/>
    </row>
    <row r="7" spans="1:30" s="112" customFormat="1" ht="15" thickBot="1">
      <c r="A7" s="367" t="s">
        <v>2306</v>
      </c>
      <c r="B7" s="368"/>
      <c r="C7" s="369">
        <f>'数据-取费表'!B2</f>
        <v>44610</v>
      </c>
      <c r="D7" s="370">
        <v>100</v>
      </c>
      <c r="E7" s="371"/>
      <c r="F7" s="372">
        <f>SUMIF(70:70,YEAR(E7)&amp;"-"&amp;INT((MONTH(E7)+2)/3),71:71)</f>
        <v>0</v>
      </c>
      <c r="G7" s="2129"/>
      <c r="H7" s="370">
        <f>SUMIF(70:70,YEAR(G7)&amp;"-"&amp;INT((MONTH(G7)+2)/3),71:71)</f>
        <v>0</v>
      </c>
      <c r="I7" s="2129"/>
      <c r="J7" s="370">
        <f>SUMIF(70:70,YEAR(I7)&amp;"-"&amp;INT((MONTH(I7)+2)/3),71:71)</f>
        <v>0</v>
      </c>
      <c r="K7" s="567"/>
      <c r="L7" s="2913"/>
      <c r="M7" s="2914"/>
      <c r="N7" s="2914"/>
      <c r="O7" s="2914"/>
      <c r="P7" s="3550" t="s">
        <v>2307</v>
      </c>
      <c r="Q7" s="3578"/>
      <c r="R7" s="709" t="s">
        <v>17</v>
      </c>
      <c r="S7" s="710">
        <f t="shared" ref="S7:S15" si="0">F7</f>
        <v>0</v>
      </c>
      <c r="T7" s="709" t="s">
        <v>17</v>
      </c>
      <c r="U7" s="710">
        <f t="shared" ref="U7:U15" si="1">H7</f>
        <v>0</v>
      </c>
      <c r="V7" s="709" t="s">
        <v>17</v>
      </c>
      <c r="W7" s="710">
        <f t="shared" ref="W7:W15" si="2">J7</f>
        <v>0</v>
      </c>
      <c r="X7" s="711"/>
      <c r="Y7" s="3550" t="s">
        <v>2307</v>
      </c>
      <c r="Z7" s="3551"/>
      <c r="AA7" s="712" t="e">
        <f>D7/F7</f>
        <v>#DIV/0!</v>
      </c>
      <c r="AB7" s="712" t="e">
        <f>D7/H7</f>
        <v>#DIV/0!</v>
      </c>
      <c r="AC7" s="712" t="e">
        <f>D7/J7</f>
        <v>#DIV/0!</v>
      </c>
    </row>
    <row r="8" spans="1:30" s="112" customFormat="1" ht="15" thickBot="1">
      <c r="A8" s="367" t="s">
        <v>2308</v>
      </c>
      <c r="B8" s="368"/>
      <c r="C8" s="373" t="s">
        <v>2309</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550" t="s">
        <v>2310</v>
      </c>
      <c r="Q8" s="3551"/>
      <c r="R8" s="709" t="s">
        <v>17</v>
      </c>
      <c r="S8" s="710">
        <f t="shared" si="0"/>
        <v>0</v>
      </c>
      <c r="T8" s="709" t="s">
        <v>17</v>
      </c>
      <c r="U8" s="710">
        <f t="shared" si="1"/>
        <v>0</v>
      </c>
      <c r="V8" s="709" t="s">
        <v>17</v>
      </c>
      <c r="W8" s="710">
        <f t="shared" si="2"/>
        <v>0</v>
      </c>
      <c r="X8" s="711"/>
      <c r="Y8" s="3550" t="s">
        <v>2310</v>
      </c>
      <c r="Z8" s="3551"/>
      <c r="AA8" s="712" t="e">
        <f t="shared" ref="AA8:AA45" si="3">D8/F8</f>
        <v>#DIV/0!</v>
      </c>
      <c r="AB8" s="712" t="e">
        <f t="shared" ref="AB8:AB45" si="4">D8/H8</f>
        <v>#DIV/0!</v>
      </c>
      <c r="AC8" s="712" t="e">
        <f t="shared" ref="AC8:AC45" si="5">D8/J8</f>
        <v>#DIV/0!</v>
      </c>
    </row>
    <row r="9" spans="1:30" s="112" customFormat="1" ht="14.4">
      <c r="A9" s="374" t="s">
        <v>2311</v>
      </c>
      <c r="B9" s="66" t="s">
        <v>2312</v>
      </c>
      <c r="C9" s="2132"/>
      <c r="D9" s="130">
        <v>100</v>
      </c>
      <c r="E9" s="2132"/>
      <c r="F9" s="130">
        <f>SUMIF(75:75,E9,76:76)-SUMIF(75:75,C9,76:76)+100</f>
        <v>100</v>
      </c>
      <c r="G9" s="2132"/>
      <c r="H9" s="130">
        <f>SUMIF(75:75,G9,76:76)-SUMIF(75:75,C9,76:76)+100</f>
        <v>100</v>
      </c>
      <c r="I9" s="2132"/>
      <c r="J9" s="130">
        <f>SUMIF(75:75,I9,76:76)-SUMIF(75:75,C9,76:76)+100</f>
        <v>100</v>
      </c>
      <c r="K9" s="567"/>
      <c r="L9" s="2913"/>
      <c r="M9" s="2914"/>
      <c r="N9" s="2914"/>
      <c r="O9" s="2968"/>
      <c r="P9" s="3582"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712">
        <f t="shared" si="5"/>
        <v>1</v>
      </c>
    </row>
    <row r="10" spans="1:30" s="385" customFormat="1" ht="28.8">
      <c r="A10" s="379"/>
      <c r="B10" s="380" t="s">
        <v>2315</v>
      </c>
      <c r="C10" s="390"/>
      <c r="D10" s="131">
        <v>100</v>
      </c>
      <c r="E10" s="423"/>
      <c r="F10" s="131">
        <f>ROUND(100/'数据-取费表'!G16,0)</f>
        <v>106</v>
      </c>
      <c r="G10" s="421"/>
      <c r="H10" s="131">
        <f>ROUND(100/'数据-取费表'!G16,0)</f>
        <v>106</v>
      </c>
      <c r="I10" s="421"/>
      <c r="J10" s="131">
        <f>ROUND(100/'数据-取费表'!G16,0)</f>
        <v>106</v>
      </c>
      <c r="K10" s="627"/>
      <c r="L10" s="2915"/>
      <c r="M10" s="2916"/>
      <c r="N10" s="2916"/>
      <c r="O10" s="2969"/>
      <c r="P10" s="3582"/>
      <c r="Q10" s="1496" t="str">
        <f t="shared" si="6"/>
        <v>土地使用年限（年）</v>
      </c>
      <c r="R10" s="709" t="s">
        <v>17</v>
      </c>
      <c r="S10" s="710">
        <f t="shared" si="0"/>
        <v>106</v>
      </c>
      <c r="T10" s="709" t="s">
        <v>17</v>
      </c>
      <c r="U10" s="710">
        <f t="shared" si="1"/>
        <v>106</v>
      </c>
      <c r="V10" s="709" t="s">
        <v>17</v>
      </c>
      <c r="W10" s="710">
        <f t="shared" si="2"/>
        <v>106</v>
      </c>
      <c r="X10" s="711"/>
      <c r="Y10" s="3487"/>
      <c r="Z10" s="54" t="str">
        <f t="shared" si="7"/>
        <v>土地使用年限（年）</v>
      </c>
      <c r="AA10" s="712">
        <f t="shared" si="3"/>
        <v>0.94339622641509435</v>
      </c>
      <c r="AB10" s="712">
        <f t="shared" si="4"/>
        <v>0.94339622641509435</v>
      </c>
      <c r="AC10" s="712">
        <f t="shared" si="5"/>
        <v>0.94339622641509435</v>
      </c>
    </row>
    <row r="11" spans="1:30" ht="15">
      <c r="A11" s="386"/>
      <c r="B11" s="380" t="s">
        <v>2316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7"/>
      <c r="M11" s="2912"/>
      <c r="N11" s="2912"/>
      <c r="O11" s="2970"/>
      <c r="P11" s="3582"/>
      <c r="Q11" s="1496" t="str">
        <f t="shared" si="6"/>
        <v>容积率</v>
      </c>
      <c r="R11" s="709" t="s">
        <v>17</v>
      </c>
      <c r="S11" s="710" t="e">
        <f t="shared" si="0"/>
        <v>#N/A</v>
      </c>
      <c r="T11" s="709" t="s">
        <v>17</v>
      </c>
      <c r="U11" s="710" t="e">
        <f t="shared" si="1"/>
        <v>#N/A</v>
      </c>
      <c r="V11" s="709" t="s">
        <v>17</v>
      </c>
      <c r="W11" s="710" t="e">
        <f t="shared" si="2"/>
        <v>#N/A</v>
      </c>
      <c r="X11" s="711"/>
      <c r="Y11" s="3487"/>
      <c r="Z11" s="54" t="str">
        <f t="shared" si="7"/>
        <v>容积率</v>
      </c>
      <c r="AA11" s="712" t="e">
        <f t="shared" si="3"/>
        <v>#N/A</v>
      </c>
      <c r="AB11" s="712" t="e">
        <f t="shared" si="4"/>
        <v>#N/A</v>
      </c>
      <c r="AC11" s="712" t="e">
        <f t="shared" si="5"/>
        <v>#N/A</v>
      </c>
    </row>
    <row r="12" spans="1:30" s="112" customFormat="1" ht="15">
      <c r="A12" s="389"/>
      <c r="B12" s="2048" t="s">
        <v>2505</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582"/>
      <c r="Q12" s="1496" t="str">
        <f t="shared" si="6"/>
        <v>配建</v>
      </c>
      <c r="R12" s="709" t="s">
        <v>17</v>
      </c>
      <c r="S12" s="710">
        <f t="shared" si="0"/>
        <v>100</v>
      </c>
      <c r="T12" s="709" t="s">
        <v>17</v>
      </c>
      <c r="U12" s="710">
        <f t="shared" si="1"/>
        <v>100</v>
      </c>
      <c r="V12" s="709" t="s">
        <v>17</v>
      </c>
      <c r="W12" s="710">
        <f t="shared" si="2"/>
        <v>100</v>
      </c>
      <c r="X12" s="711"/>
      <c r="Y12" s="3487"/>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582"/>
      <c r="Q13" s="1496">
        <f t="shared" si="6"/>
        <v>111</v>
      </c>
      <c r="R13" s="709" t="s">
        <v>17</v>
      </c>
      <c r="S13" s="710">
        <f t="shared" si="0"/>
        <v>100</v>
      </c>
      <c r="T13" s="709" t="s">
        <v>17</v>
      </c>
      <c r="U13" s="710">
        <f t="shared" si="1"/>
        <v>100</v>
      </c>
      <c r="V13" s="709" t="s">
        <v>17</v>
      </c>
      <c r="W13" s="710">
        <f t="shared" si="2"/>
        <v>100</v>
      </c>
      <c r="X13" s="711"/>
      <c r="Y13" s="3487"/>
      <c r="Z13" s="54">
        <f t="shared" si="7"/>
        <v>111</v>
      </c>
      <c r="AA13" s="712">
        <f>D13/F13</f>
        <v>1</v>
      </c>
      <c r="AB13" s="712">
        <f>D13/H13</f>
        <v>1</v>
      </c>
      <c r="AC13" s="712">
        <f>D13/J13</f>
        <v>1</v>
      </c>
    </row>
    <row r="14" spans="1:30" ht="15.6"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582"/>
      <c r="Q14" s="1496">
        <f t="shared" si="6"/>
        <v>111</v>
      </c>
      <c r="R14" s="709" t="s">
        <v>17</v>
      </c>
      <c r="S14" s="710">
        <f t="shared" si="0"/>
        <v>100</v>
      </c>
      <c r="T14" s="709" t="s">
        <v>17</v>
      </c>
      <c r="U14" s="710">
        <f t="shared" si="1"/>
        <v>100</v>
      </c>
      <c r="V14" s="709" t="s">
        <v>17</v>
      </c>
      <c r="W14" s="710">
        <f t="shared" si="2"/>
        <v>100</v>
      </c>
      <c r="X14" s="711"/>
      <c r="Y14" s="3487"/>
      <c r="Z14" s="54">
        <f t="shared" si="7"/>
        <v>111</v>
      </c>
      <c r="AA14" s="712">
        <f>D14/F14</f>
        <v>1</v>
      </c>
      <c r="AB14" s="712">
        <f>D14/H14</f>
        <v>1</v>
      </c>
      <c r="AC14" s="712">
        <f>D14/J14</f>
        <v>1</v>
      </c>
    </row>
    <row r="15" spans="1:30" ht="96.6">
      <c r="A15" s="398" t="s">
        <v>2317</v>
      </c>
      <c r="B15" s="64" t="s">
        <v>1880</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84" t="s">
        <v>2318</v>
      </c>
      <c r="Q15" s="1505" t="str">
        <f t="shared" si="6"/>
        <v>居住社区成熟度</v>
      </c>
      <c r="R15" s="713" t="s">
        <v>17</v>
      </c>
      <c r="S15" s="714">
        <f t="shared" si="0"/>
        <v>100</v>
      </c>
      <c r="T15" s="713" t="s">
        <v>17</v>
      </c>
      <c r="U15" s="714">
        <f t="shared" si="1"/>
        <v>100</v>
      </c>
      <c r="V15" s="713" t="s">
        <v>17</v>
      </c>
      <c r="W15" s="714">
        <f t="shared" si="2"/>
        <v>100</v>
      </c>
      <c r="X15" s="1508"/>
      <c r="Y15" s="3584" t="s">
        <v>2318</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8"/>
      <c r="M16" s="2912"/>
      <c r="N16" s="2912"/>
      <c r="O16" s="2970"/>
      <c r="P16" s="3585"/>
      <c r="Q16" s="1505"/>
      <c r="R16" s="713"/>
      <c r="S16" s="714"/>
      <c r="T16" s="713"/>
      <c r="U16" s="714"/>
      <c r="V16" s="713"/>
      <c r="W16" s="714"/>
      <c r="X16" s="1508"/>
      <c r="Y16" s="3585"/>
      <c r="Z16" s="1509"/>
      <c r="AA16" s="1506">
        <v>1</v>
      </c>
      <c r="AB16" s="1506">
        <v>1</v>
      </c>
      <c r="AC16" s="1506">
        <v>1</v>
      </c>
    </row>
    <row r="17" spans="1:29" ht="15">
      <c r="A17" s="386"/>
      <c r="B17" s="409" t="s">
        <v>2411</v>
      </c>
      <c r="C17" s="2110" t="str">
        <f>估价对象房地状况!C16</f>
        <v>一般</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585"/>
      <c r="Q17" s="1505" t="str">
        <f>B17</f>
        <v>商业繁华度</v>
      </c>
      <c r="R17" s="713" t="s">
        <v>17</v>
      </c>
      <c r="S17" s="714">
        <f>F17</f>
        <v>100</v>
      </c>
      <c r="T17" s="713" t="s">
        <v>17</v>
      </c>
      <c r="U17" s="714">
        <f>H17</f>
        <v>100</v>
      </c>
      <c r="V17" s="713" t="s">
        <v>17</v>
      </c>
      <c r="W17" s="714">
        <f>J17</f>
        <v>100</v>
      </c>
      <c r="X17" s="1508"/>
      <c r="Y17" s="3585"/>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8"/>
      <c r="M18" s="2912"/>
      <c r="N18" s="2912"/>
      <c r="O18" s="2970"/>
      <c r="P18" s="3585"/>
      <c r="Q18" s="1505"/>
      <c r="R18" s="713"/>
      <c r="S18" s="714"/>
      <c r="T18" s="713"/>
      <c r="U18" s="714"/>
      <c r="V18" s="713"/>
      <c r="W18" s="714"/>
      <c r="X18" s="1508"/>
      <c r="Y18" s="3585"/>
      <c r="Z18" s="1509"/>
      <c r="AA18" s="1506">
        <v>1</v>
      </c>
      <c r="AB18" s="1506">
        <v>1</v>
      </c>
      <c r="AC18" s="1506">
        <v>1</v>
      </c>
    </row>
    <row r="19" spans="1:29" ht="15">
      <c r="A19" s="386"/>
      <c r="B19" s="409" t="s">
        <v>2445</v>
      </c>
      <c r="C19" s="2110" t="str">
        <f>估价对象房地状况!C17</f>
        <v>一般</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85"/>
      <c r="Q19" s="1505" t="str">
        <f>B19</f>
        <v>办公集聚程度</v>
      </c>
      <c r="R19" s="713" t="s">
        <v>17</v>
      </c>
      <c r="S19" s="714">
        <f>F19</f>
        <v>100</v>
      </c>
      <c r="T19" s="713" t="s">
        <v>17</v>
      </c>
      <c r="U19" s="714">
        <f>H19</f>
        <v>100</v>
      </c>
      <c r="V19" s="713" t="s">
        <v>17</v>
      </c>
      <c r="W19" s="714">
        <f>J19</f>
        <v>100</v>
      </c>
      <c r="X19" s="1508"/>
      <c r="Y19" s="3585"/>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8"/>
      <c r="M20" s="2912"/>
      <c r="N20" s="2912"/>
      <c r="O20" s="2970"/>
      <c r="P20" s="3585"/>
      <c r="Q20" s="1505"/>
      <c r="R20" s="713"/>
      <c r="S20" s="714"/>
      <c r="T20" s="713"/>
      <c r="U20" s="714"/>
      <c r="V20" s="713"/>
      <c r="W20" s="714"/>
      <c r="X20" s="1508"/>
      <c r="Y20" s="3585"/>
      <c r="Z20" s="1509"/>
      <c r="AA20" s="1506">
        <v>1</v>
      </c>
      <c r="AB20" s="1506">
        <v>1</v>
      </c>
      <c r="AC20" s="1506">
        <v>1</v>
      </c>
    </row>
    <row r="21" spans="1:29" ht="15">
      <c r="A21" s="386"/>
      <c r="B21" s="409" t="s">
        <v>2467</v>
      </c>
      <c r="C21" s="2055"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585"/>
      <c r="Q21" s="1505" t="str">
        <f>B21</f>
        <v>交通便捷度</v>
      </c>
      <c r="R21" s="713" t="s">
        <v>17</v>
      </c>
      <c r="S21" s="714">
        <f>F21</f>
        <v>100</v>
      </c>
      <c r="T21" s="713" t="s">
        <v>17</v>
      </c>
      <c r="U21" s="714">
        <f>H21</f>
        <v>100</v>
      </c>
      <c r="V21" s="713" t="s">
        <v>17</v>
      </c>
      <c r="W21" s="714">
        <f>J21</f>
        <v>100</v>
      </c>
      <c r="X21" s="1508"/>
      <c r="Y21" s="3585"/>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8"/>
      <c r="M22" s="2912"/>
      <c r="N22" s="2912"/>
      <c r="O22" s="2970"/>
      <c r="P22" s="3585"/>
      <c r="Q22" s="1505"/>
      <c r="R22" s="713"/>
      <c r="S22" s="714"/>
      <c r="T22" s="713"/>
      <c r="U22" s="714"/>
      <c r="V22" s="713"/>
      <c r="W22" s="714"/>
      <c r="X22" s="1508"/>
      <c r="Y22" s="3585"/>
      <c r="Z22" s="1509"/>
      <c r="AA22" s="1506">
        <v>1</v>
      </c>
      <c r="AB22" s="1506">
        <v>1</v>
      </c>
      <c r="AC22" s="1506">
        <v>1</v>
      </c>
    </row>
    <row r="23" spans="1:29" ht="28.8">
      <c r="A23" s="363"/>
      <c r="B23" s="409" t="s">
        <v>2506</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585"/>
      <c r="Q23" s="1505" t="str">
        <f t="shared" ref="Q23:Q37" si="8">B23</f>
        <v>区域土地利用方向</v>
      </c>
      <c r="R23" s="713" t="s">
        <v>17</v>
      </c>
      <c r="S23" s="714">
        <f>F23</f>
        <v>100</v>
      </c>
      <c r="T23" s="713" t="s">
        <v>17</v>
      </c>
      <c r="U23" s="714">
        <f>H23</f>
        <v>100</v>
      </c>
      <c r="V23" s="713" t="s">
        <v>17</v>
      </c>
      <c r="W23" s="714">
        <f>J23</f>
        <v>100</v>
      </c>
      <c r="X23" s="1508"/>
      <c r="Y23" s="3585"/>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8"/>
      <c r="M24" s="2912"/>
      <c r="N24" s="2912"/>
      <c r="O24" s="2970"/>
      <c r="P24" s="3585"/>
      <c r="Q24" s="1505"/>
      <c r="R24" s="713"/>
      <c r="S24" s="714"/>
      <c r="T24" s="713"/>
      <c r="U24" s="714"/>
      <c r="V24" s="713"/>
      <c r="W24" s="714"/>
      <c r="X24" s="1508"/>
      <c r="Y24" s="3585"/>
      <c r="Z24" s="1509"/>
      <c r="AA24" s="1506"/>
      <c r="AB24" s="1506"/>
      <c r="AC24" s="1506"/>
    </row>
    <row r="25" spans="1:29" ht="28.8">
      <c r="A25" s="363"/>
      <c r="B25" s="1264" t="s">
        <v>2507</v>
      </c>
      <c r="C25" s="2110" t="str">
        <f>估价对象房地状况!C20</f>
        <v>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585"/>
      <c r="Q25" s="1505" t="str">
        <f t="shared" si="8"/>
        <v>自然及人文环境状况</v>
      </c>
      <c r="R25" s="713" t="s">
        <v>17</v>
      </c>
      <c r="S25" s="714">
        <f>F25</f>
        <v>100</v>
      </c>
      <c r="T25" s="713" t="s">
        <v>17</v>
      </c>
      <c r="U25" s="714">
        <f>H25</f>
        <v>100</v>
      </c>
      <c r="V25" s="713" t="s">
        <v>17</v>
      </c>
      <c r="W25" s="714">
        <f>J25</f>
        <v>100</v>
      </c>
      <c r="X25" s="1508"/>
      <c r="Y25" s="3585"/>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8"/>
      <c r="M26" s="2912"/>
      <c r="N26" s="2912"/>
      <c r="O26" s="2970"/>
      <c r="P26" s="3585"/>
      <c r="Q26" s="1505"/>
      <c r="R26" s="713"/>
      <c r="S26" s="714"/>
      <c r="T26" s="713"/>
      <c r="U26" s="714"/>
      <c r="V26" s="713"/>
      <c r="W26" s="714"/>
      <c r="X26" s="1508"/>
      <c r="Y26" s="3585"/>
      <c r="Z26" s="1509"/>
      <c r="AA26" s="1506">
        <v>1</v>
      </c>
      <c r="AB26" s="1506">
        <v>1</v>
      </c>
      <c r="AC26" s="1506">
        <v>1</v>
      </c>
    </row>
    <row r="27" spans="1:29" s="112" customFormat="1" ht="15">
      <c r="A27" s="604"/>
      <c r="B27" s="1264" t="s">
        <v>2412</v>
      </c>
      <c r="C27" s="2055" t="str">
        <f>估价对象房地状况!C21</f>
        <v>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585"/>
      <c r="Q27" s="1496" t="str">
        <f t="shared" si="8"/>
        <v>公共配套设施</v>
      </c>
      <c r="R27" s="709" t="s">
        <v>17</v>
      </c>
      <c r="S27" s="710">
        <f>F27</f>
        <v>100</v>
      </c>
      <c r="T27" s="709" t="s">
        <v>17</v>
      </c>
      <c r="U27" s="710">
        <f>H27</f>
        <v>100</v>
      </c>
      <c r="V27" s="709" t="s">
        <v>17</v>
      </c>
      <c r="W27" s="710">
        <f>J27</f>
        <v>100</v>
      </c>
      <c r="X27" s="711"/>
      <c r="Y27" s="3585"/>
      <c r="Z27" s="54" t="str">
        <f>Q27</f>
        <v>公共配套设施</v>
      </c>
      <c r="AA27" s="1506">
        <f>D27/F27</f>
        <v>1</v>
      </c>
      <c r="AB27" s="1506">
        <f>D27/H27</f>
        <v>1</v>
      </c>
      <c r="AC27" s="1506">
        <f>D27/J27</f>
        <v>1</v>
      </c>
    </row>
    <row r="28" spans="1:29" s="112" customFormat="1" ht="15">
      <c r="A28" s="604"/>
      <c r="B28" s="414"/>
      <c r="C28" s="2133"/>
      <c r="D28" s="406"/>
      <c r="E28" s="2059"/>
      <c r="F28" s="406"/>
      <c r="G28" s="2059"/>
      <c r="H28" s="406"/>
      <c r="I28" s="405"/>
      <c r="J28" s="406"/>
      <c r="K28" s="627"/>
      <c r="L28" s="2913"/>
      <c r="M28" s="2914"/>
      <c r="N28" s="2914"/>
      <c r="O28" s="2968"/>
      <c r="P28" s="3585"/>
      <c r="Q28" s="1496"/>
      <c r="R28" s="709"/>
      <c r="S28" s="710"/>
      <c r="T28" s="709"/>
      <c r="U28" s="710"/>
      <c r="V28" s="709"/>
      <c r="W28" s="710"/>
      <c r="X28" s="711"/>
      <c r="Y28" s="3585"/>
      <c r="Z28" s="54"/>
      <c r="AA28" s="1506">
        <v>1</v>
      </c>
      <c r="AB28" s="1506">
        <v>1</v>
      </c>
      <c r="AC28" s="1506">
        <v>1</v>
      </c>
    </row>
    <row r="29" spans="1:29" s="112" customFormat="1" ht="15">
      <c r="A29" s="604"/>
      <c r="B29" s="1264" t="s">
        <v>2413</v>
      </c>
      <c r="C29" s="205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585"/>
      <c r="Q29" s="1496" t="str">
        <f t="shared" ref="Q29" si="9">B29</f>
        <v>基础设施水平</v>
      </c>
      <c r="R29" s="709" t="s">
        <v>17</v>
      </c>
      <c r="S29" s="710">
        <f>F29</f>
        <v>100</v>
      </c>
      <c r="T29" s="709" t="s">
        <v>17</v>
      </c>
      <c r="U29" s="710">
        <f>H29</f>
        <v>100</v>
      </c>
      <c r="V29" s="709" t="s">
        <v>17</v>
      </c>
      <c r="W29" s="710">
        <f>J29</f>
        <v>100</v>
      </c>
      <c r="X29" s="711"/>
      <c r="Y29" s="3585"/>
      <c r="Z29" s="54" t="str">
        <f>Q29</f>
        <v>基础设施水平</v>
      </c>
      <c r="AA29" s="1506">
        <f>D29/F29</f>
        <v>1</v>
      </c>
      <c r="AB29" s="1506">
        <f>D29/H29</f>
        <v>1</v>
      </c>
      <c r="AC29" s="1506">
        <f>D29/J29</f>
        <v>1</v>
      </c>
    </row>
    <row r="30" spans="1:29" s="112" customFormat="1" ht="15">
      <c r="A30" s="604"/>
      <c r="B30" s="414"/>
      <c r="C30" s="2133"/>
      <c r="D30" s="406"/>
      <c r="E30" s="2134"/>
      <c r="F30" s="406"/>
      <c r="G30" s="2134"/>
      <c r="H30" s="406"/>
      <c r="I30" s="2134"/>
      <c r="J30" s="406"/>
      <c r="K30" s="627"/>
      <c r="L30" s="2913"/>
      <c r="M30" s="2914"/>
      <c r="N30" s="2914"/>
      <c r="O30" s="2968"/>
      <c r="P30" s="3585"/>
      <c r="Q30" s="1496"/>
      <c r="R30" s="709"/>
      <c r="S30" s="710"/>
      <c r="T30" s="709"/>
      <c r="U30" s="710"/>
      <c r="V30" s="709"/>
      <c r="W30" s="710"/>
      <c r="X30" s="711"/>
      <c r="Y30" s="3585"/>
      <c r="Z30" s="54"/>
      <c r="AA30" s="1506">
        <v>1</v>
      </c>
      <c r="AB30" s="1506">
        <v>1</v>
      </c>
      <c r="AC30" s="1506">
        <v>1</v>
      </c>
    </row>
    <row r="31" spans="1:29" ht="15">
      <c r="A31" s="386"/>
      <c r="B31" s="414" t="s">
        <v>2414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585"/>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585"/>
      <c r="Z31" s="1509" t="str">
        <f t="shared" ref="Z31:Z45" si="13">Q31</f>
        <v>临街状况</v>
      </c>
      <c r="AA31" s="1506">
        <f t="shared" si="3"/>
        <v>1</v>
      </c>
      <c r="AB31" s="1506">
        <f t="shared" si="4"/>
        <v>1</v>
      </c>
      <c r="AC31" s="1506">
        <f t="shared" si="5"/>
        <v>1</v>
      </c>
    </row>
    <row r="32" spans="1:29" ht="28.8">
      <c r="A32" s="386"/>
      <c r="B32" s="1264" t="s">
        <v>2449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585"/>
      <c r="Q32" s="1505" t="str">
        <f t="shared" si="8"/>
        <v>毗邻道路的类型与等级</v>
      </c>
      <c r="R32" s="713" t="s">
        <v>17</v>
      </c>
      <c r="S32" s="714">
        <f t="shared" si="10"/>
        <v>100</v>
      </c>
      <c r="T32" s="713" t="s">
        <v>17</v>
      </c>
      <c r="U32" s="714">
        <f t="shared" si="11"/>
        <v>100</v>
      </c>
      <c r="V32" s="713" t="s">
        <v>17</v>
      </c>
      <c r="W32" s="714">
        <f t="shared" si="12"/>
        <v>100</v>
      </c>
      <c r="X32" s="1508"/>
      <c r="Y32" s="3585"/>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8"/>
      <c r="M33" s="2912"/>
      <c r="N33" s="2912"/>
      <c r="O33" s="2970"/>
      <c r="P33" s="3585"/>
      <c r="Q33" s="1505"/>
      <c r="R33" s="713"/>
      <c r="S33" s="714"/>
      <c r="T33" s="713"/>
      <c r="U33" s="714"/>
      <c r="V33" s="713"/>
      <c r="W33" s="714"/>
      <c r="X33" s="1508"/>
      <c r="Y33" s="3585"/>
      <c r="Z33" s="1509"/>
      <c r="AA33" s="1506">
        <v>1</v>
      </c>
      <c r="AB33" s="1506">
        <v>1</v>
      </c>
      <c r="AC33" s="1506">
        <v>1</v>
      </c>
    </row>
    <row r="34" spans="1:29" ht="15">
      <c r="A34" s="386"/>
      <c r="B34" s="380" t="s">
        <v>2508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85"/>
      <c r="Q34" s="1505" t="str">
        <f t="shared" si="8"/>
        <v>土地级别</v>
      </c>
      <c r="R34" s="713" t="s">
        <v>17</v>
      </c>
      <c r="S34" s="714">
        <f t="shared" si="10"/>
        <v>100</v>
      </c>
      <c r="T34" s="713" t="s">
        <v>17</v>
      </c>
      <c r="U34" s="714">
        <f t="shared" si="11"/>
        <v>100</v>
      </c>
      <c r="V34" s="713" t="s">
        <v>17</v>
      </c>
      <c r="W34" s="714">
        <f t="shared" si="12"/>
        <v>100</v>
      </c>
      <c r="X34" s="1508"/>
      <c r="Y34" s="3585"/>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85"/>
      <c r="Q35" s="1505">
        <f t="shared" si="8"/>
        <v>111</v>
      </c>
      <c r="R35" s="713" t="s">
        <v>17</v>
      </c>
      <c r="S35" s="714">
        <f t="shared" si="10"/>
        <v>100</v>
      </c>
      <c r="T35" s="713" t="s">
        <v>17</v>
      </c>
      <c r="U35" s="714">
        <f t="shared" si="11"/>
        <v>100</v>
      </c>
      <c r="V35" s="713" t="s">
        <v>17</v>
      </c>
      <c r="W35" s="714">
        <f t="shared" si="12"/>
        <v>100</v>
      </c>
      <c r="X35" s="1508"/>
      <c r="Y35" s="3585"/>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608" t="s">
        <v>2323</v>
      </c>
      <c r="Q36" s="1505">
        <f t="shared" si="8"/>
        <v>111</v>
      </c>
      <c r="R36" s="713" t="s">
        <v>17</v>
      </c>
      <c r="S36" s="714">
        <f t="shared" si="10"/>
        <v>100</v>
      </c>
      <c r="T36" s="713" t="s">
        <v>17</v>
      </c>
      <c r="U36" s="714">
        <f t="shared" si="11"/>
        <v>100</v>
      </c>
      <c r="V36" s="713" t="s">
        <v>17</v>
      </c>
      <c r="W36" s="714">
        <f t="shared" si="12"/>
        <v>100</v>
      </c>
      <c r="X36" s="1508"/>
      <c r="Y36" s="3589" t="s">
        <v>2323</v>
      </c>
      <c r="Z36" s="1509">
        <f t="shared" si="13"/>
        <v>111</v>
      </c>
      <c r="AA36" s="1506">
        <f t="shared" si="3"/>
        <v>1</v>
      </c>
      <c r="AB36" s="1506">
        <f t="shared" si="4"/>
        <v>1</v>
      </c>
      <c r="AC36" s="1506">
        <f t="shared" si="5"/>
        <v>1</v>
      </c>
    </row>
    <row r="37" spans="1:29" s="429" customFormat="1" ht="15.6"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89"/>
      <c r="Q37" s="1505">
        <f t="shared" si="8"/>
        <v>111</v>
      </c>
      <c r="R37" s="716" t="s">
        <v>17</v>
      </c>
      <c r="S37" s="717">
        <f t="shared" si="10"/>
        <v>100</v>
      </c>
      <c r="T37" s="716" t="s">
        <v>17</v>
      </c>
      <c r="U37" s="717">
        <f t="shared" si="11"/>
        <v>100</v>
      </c>
      <c r="V37" s="716" t="s">
        <v>17</v>
      </c>
      <c r="W37" s="717">
        <f t="shared" si="12"/>
        <v>100</v>
      </c>
      <c r="X37" s="718"/>
      <c r="Y37" s="3589"/>
      <c r="Z37" s="719">
        <f t="shared" si="13"/>
        <v>111</v>
      </c>
      <c r="AA37" s="1506">
        <f t="shared" si="3"/>
        <v>1</v>
      </c>
      <c r="AB37" s="1506">
        <f t="shared" si="4"/>
        <v>1</v>
      </c>
      <c r="AC37" s="1506">
        <f t="shared" si="5"/>
        <v>1</v>
      </c>
    </row>
    <row r="38" spans="1:29" ht="15.6">
      <c r="A38" s="430" t="s">
        <v>2321</v>
      </c>
      <c r="B38" s="414" t="s">
        <v>2509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589"/>
      <c r="Q38" s="1505" t="str">
        <f>B38</f>
        <v>宗地面积</v>
      </c>
      <c r="R38" s="713" t="s">
        <v>17</v>
      </c>
      <c r="S38" s="714" t="e">
        <f t="shared" si="10"/>
        <v>#N/A</v>
      </c>
      <c r="T38" s="713" t="s">
        <v>17</v>
      </c>
      <c r="U38" s="714" t="e">
        <f t="shared" si="11"/>
        <v>#N/A</v>
      </c>
      <c r="V38" s="713" t="s">
        <v>17</v>
      </c>
      <c r="W38" s="714" t="e">
        <f t="shared" si="12"/>
        <v>#N/A</v>
      </c>
      <c r="X38" s="1508"/>
      <c r="Y38" s="3589"/>
      <c r="Z38" s="1509" t="str">
        <f t="shared" si="13"/>
        <v>宗地面积</v>
      </c>
      <c r="AA38" s="1506" t="e">
        <f t="shared" si="3"/>
        <v>#N/A</v>
      </c>
      <c r="AB38" s="1506" t="e">
        <f t="shared" si="4"/>
        <v>#N/A</v>
      </c>
      <c r="AC38" s="1506" t="e">
        <f t="shared" si="5"/>
        <v>#N/A</v>
      </c>
    </row>
    <row r="39" spans="1:29" ht="15">
      <c r="A39" s="430"/>
      <c r="B39" s="380" t="s">
        <v>2510</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8"/>
      <c r="M39" s="2912"/>
      <c r="N39" s="2912"/>
      <c r="O39" s="2970"/>
      <c r="P39" s="3589"/>
      <c r="Q39" s="1505" t="str">
        <f t="shared" ref="Q39:Q45" si="14">B39</f>
        <v>宗地形状</v>
      </c>
      <c r="R39" s="713" t="s">
        <v>17</v>
      </c>
      <c r="S39" s="714">
        <f t="shared" si="10"/>
        <v>100</v>
      </c>
      <c r="T39" s="713" t="s">
        <v>17</v>
      </c>
      <c r="U39" s="714">
        <f t="shared" si="11"/>
        <v>100</v>
      </c>
      <c r="V39" s="713" t="s">
        <v>17</v>
      </c>
      <c r="W39" s="714">
        <f t="shared" si="12"/>
        <v>100</v>
      </c>
      <c r="X39" s="1508"/>
      <c r="Y39" s="3589"/>
      <c r="Z39" s="1509" t="str">
        <f t="shared" si="13"/>
        <v>宗地形状</v>
      </c>
      <c r="AA39" s="1506">
        <f t="shared" si="3"/>
        <v>1</v>
      </c>
      <c r="AB39" s="1506">
        <f t="shared" si="4"/>
        <v>1</v>
      </c>
      <c r="AC39" s="1506">
        <f t="shared" si="5"/>
        <v>1</v>
      </c>
    </row>
    <row r="40" spans="1:29" ht="15">
      <c r="A40" s="430"/>
      <c r="B40" s="380" t="s">
        <v>2511</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8"/>
      <c r="M40" s="2912"/>
      <c r="N40" s="2912"/>
      <c r="O40" s="2970"/>
      <c r="P40" s="3589"/>
      <c r="Q40" s="1505" t="str">
        <f t="shared" si="14"/>
        <v>临街宽度及深度</v>
      </c>
      <c r="R40" s="713" t="s">
        <v>17</v>
      </c>
      <c r="S40" s="714">
        <f t="shared" si="10"/>
        <v>100</v>
      </c>
      <c r="T40" s="713" t="s">
        <v>17</v>
      </c>
      <c r="U40" s="714">
        <f t="shared" si="11"/>
        <v>100</v>
      </c>
      <c r="V40" s="713" t="s">
        <v>17</v>
      </c>
      <c r="W40" s="714">
        <f t="shared" si="12"/>
        <v>100</v>
      </c>
      <c r="X40" s="1508"/>
      <c r="Y40" s="3589"/>
      <c r="Z40" s="1509" t="str">
        <f t="shared" si="13"/>
        <v>临街宽度及深度</v>
      </c>
      <c r="AA40" s="1506">
        <f t="shared" si="3"/>
        <v>1</v>
      </c>
      <c r="AB40" s="1506">
        <f t="shared" si="4"/>
        <v>1</v>
      </c>
      <c r="AC40" s="1506">
        <f t="shared" si="5"/>
        <v>1</v>
      </c>
    </row>
    <row r="41" spans="1:29" s="112" customFormat="1" ht="15">
      <c r="A41" s="431"/>
      <c r="B41" s="380" t="s">
        <v>2512</v>
      </c>
      <c r="C41" s="2135"/>
      <c r="D41" s="131">
        <v>100</v>
      </c>
      <c r="E41" s="2135"/>
      <c r="F41" s="393">
        <f>SUMIF(123:123,E41,124:124)-SUMIF(123:123,C41,124:124)+100</f>
        <v>100</v>
      </c>
      <c r="G41" s="2135"/>
      <c r="H41" s="393">
        <f>SUMIF(123:123,G41,124:124)-SUMIF(123:123,C41,124:124)+100</f>
        <v>100</v>
      </c>
      <c r="I41" s="2135"/>
      <c r="J41" s="393">
        <f>SUMIF(123:123,I41,124:124)-SUMIF(123:123,C41,124:124)+100</f>
        <v>100</v>
      </c>
      <c r="K41" s="568"/>
      <c r="L41" s="2913"/>
      <c r="M41" s="2914"/>
      <c r="N41" s="2914"/>
      <c r="O41" s="2968"/>
      <c r="P41" s="3589"/>
      <c r="Q41" s="1505" t="str">
        <f t="shared" si="14"/>
        <v>宗地开发程度</v>
      </c>
      <c r="R41" s="709" t="s">
        <v>17</v>
      </c>
      <c r="S41" s="710">
        <f t="shared" si="10"/>
        <v>100</v>
      </c>
      <c r="T41" s="709" t="s">
        <v>17</v>
      </c>
      <c r="U41" s="710">
        <f t="shared" si="11"/>
        <v>100</v>
      </c>
      <c r="V41" s="709" t="s">
        <v>17</v>
      </c>
      <c r="W41" s="710">
        <f t="shared" si="12"/>
        <v>100</v>
      </c>
      <c r="X41" s="711"/>
      <c r="Y41" s="3589"/>
      <c r="Z41" s="54" t="str">
        <f t="shared" si="13"/>
        <v>宗地开发程度</v>
      </c>
      <c r="AA41" s="712">
        <f t="shared" si="3"/>
        <v>1</v>
      </c>
      <c r="AB41" s="712">
        <f t="shared" si="4"/>
        <v>1</v>
      </c>
      <c r="AC41" s="712">
        <f t="shared" si="5"/>
        <v>1</v>
      </c>
    </row>
    <row r="42" spans="1:29" ht="15">
      <c r="A42" s="430"/>
      <c r="B42" s="380" t="s">
        <v>2513</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8"/>
      <c r="M42" s="2912"/>
      <c r="N42" s="2912"/>
      <c r="O42" s="2970"/>
      <c r="P42" s="3589" t="s">
        <v>2323</v>
      </c>
      <c r="Q42" s="1505" t="str">
        <f t="shared" si="14"/>
        <v>工程地质条件</v>
      </c>
      <c r="R42" s="713" t="s">
        <v>17</v>
      </c>
      <c r="S42" s="714">
        <f t="shared" si="10"/>
        <v>100</v>
      </c>
      <c r="T42" s="713" t="s">
        <v>17</v>
      </c>
      <c r="U42" s="714">
        <f t="shared" si="11"/>
        <v>100</v>
      </c>
      <c r="V42" s="713" t="s">
        <v>17</v>
      </c>
      <c r="W42" s="714">
        <f t="shared" si="12"/>
        <v>100</v>
      </c>
      <c r="X42" s="1508"/>
      <c r="Y42" s="3589" t="s">
        <v>2323</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89"/>
      <c r="Q43" s="1505">
        <f t="shared" si="14"/>
        <v>111</v>
      </c>
      <c r="R43" s="713" t="s">
        <v>17</v>
      </c>
      <c r="S43" s="714">
        <f t="shared" si="10"/>
        <v>100</v>
      </c>
      <c r="T43" s="713" t="s">
        <v>17</v>
      </c>
      <c r="U43" s="714">
        <f t="shared" si="11"/>
        <v>100</v>
      </c>
      <c r="V43" s="713" t="s">
        <v>17</v>
      </c>
      <c r="W43" s="714">
        <f t="shared" si="12"/>
        <v>100</v>
      </c>
      <c r="X43" s="1508"/>
      <c r="Y43" s="3589"/>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89"/>
      <c r="Q44" s="1505">
        <f t="shared" si="14"/>
        <v>111</v>
      </c>
      <c r="R44" s="713" t="s">
        <v>17</v>
      </c>
      <c r="S44" s="714">
        <f t="shared" si="10"/>
        <v>100</v>
      </c>
      <c r="T44" s="713" t="s">
        <v>17</v>
      </c>
      <c r="U44" s="714">
        <f t="shared" si="11"/>
        <v>100</v>
      </c>
      <c r="V44" s="713" t="s">
        <v>17</v>
      </c>
      <c r="W44" s="714">
        <f t="shared" si="12"/>
        <v>100</v>
      </c>
      <c r="X44" s="1508"/>
      <c r="Y44" s="3589"/>
      <c r="Z44" s="1509">
        <f t="shared" si="13"/>
        <v>111</v>
      </c>
      <c r="AA44" s="1506">
        <f t="shared" si="3"/>
        <v>1</v>
      </c>
      <c r="AB44" s="1506">
        <f t="shared" si="4"/>
        <v>1</v>
      </c>
      <c r="AC44" s="1506">
        <f t="shared" si="5"/>
        <v>1</v>
      </c>
    </row>
    <row r="45" spans="1:29" s="429" customFormat="1" ht="15.6"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89"/>
      <c r="Q45" s="1505">
        <f t="shared" si="14"/>
        <v>111</v>
      </c>
      <c r="R45" s="716" t="s">
        <v>17</v>
      </c>
      <c r="S45" s="717">
        <f t="shared" si="10"/>
        <v>100</v>
      </c>
      <c r="T45" s="716" t="s">
        <v>17</v>
      </c>
      <c r="U45" s="717">
        <f t="shared" si="11"/>
        <v>100</v>
      </c>
      <c r="V45" s="716" t="s">
        <v>17</v>
      </c>
      <c r="W45" s="717">
        <f t="shared" si="12"/>
        <v>100</v>
      </c>
      <c r="X45" s="718"/>
      <c r="Y45" s="3589"/>
      <c r="Z45" s="719">
        <f t="shared" si="13"/>
        <v>111</v>
      </c>
      <c r="AA45" s="1506">
        <f t="shared" si="3"/>
        <v>1</v>
      </c>
      <c r="AB45" s="1506">
        <f t="shared" si="4"/>
        <v>1</v>
      </c>
      <c r="AC45" s="1506">
        <f t="shared" si="5"/>
        <v>1</v>
      </c>
    </row>
    <row r="46" spans="1:29" ht="14.4">
      <c r="A46" s="437" t="s">
        <v>2478</v>
      </c>
      <c r="B46" s="2137" t="s">
        <v>2514</v>
      </c>
      <c r="C46" s="637" t="s">
        <v>1</v>
      </c>
      <c r="D46" s="439"/>
      <c r="E46" s="440"/>
      <c r="F46" s="441"/>
      <c r="G46" s="442"/>
      <c r="H46" s="443"/>
      <c r="I46" s="440"/>
      <c r="J46" s="443"/>
      <c r="K46" s="722"/>
      <c r="L46" s="2920"/>
      <c r="M46" s="2921"/>
      <c r="N46" s="2912"/>
      <c r="O46" s="2921"/>
      <c r="P46" s="3582" t="str">
        <f>A46</f>
        <v>成交单价</v>
      </c>
      <c r="Q46" s="3582"/>
      <c r="R46" s="3577">
        <f>E46</f>
        <v>0</v>
      </c>
      <c r="S46" s="3577"/>
      <c r="T46" s="3577">
        <f>G46</f>
        <v>0</v>
      </c>
      <c r="U46" s="3577"/>
      <c r="V46" s="3577">
        <f>I46</f>
        <v>0</v>
      </c>
      <c r="W46" s="3577"/>
      <c r="X46" s="698"/>
      <c r="Y46" s="720"/>
      <c r="Z46" s="698"/>
      <c r="AA46" s="698"/>
      <c r="AB46" s="698"/>
      <c r="AC46" s="698"/>
    </row>
    <row r="47" spans="1:29" ht="15" thickBot="1">
      <c r="A47" s="444" t="s">
        <v>2427</v>
      </c>
      <c r="B47" s="638"/>
      <c r="C47" s="447" t="e">
        <f>R48</f>
        <v>#DIV/0!</v>
      </c>
      <c r="D47" s="2507" t="s">
        <v>2816</v>
      </c>
      <c r="E47" s="447" t="e">
        <f>R47</f>
        <v>#DIV/0!</v>
      </c>
      <c r="F47" s="2508"/>
      <c r="G47" s="446" t="e">
        <f>T47</f>
        <v>#DIV/0!</v>
      </c>
      <c r="H47" s="2508"/>
      <c r="I47" s="447" t="e">
        <f>V47</f>
        <v>#DIV/0!</v>
      </c>
      <c r="J47" s="2508"/>
      <c r="K47" s="2510">
        <f>F47+H47+J47</f>
        <v>0</v>
      </c>
      <c r="L47" s="2920"/>
      <c r="M47" s="2921"/>
      <c r="N47" s="2921"/>
      <c r="O47" s="2921"/>
      <c r="P47" s="3582" t="str">
        <f>A47</f>
        <v>比较价值（元/平方米）</v>
      </c>
      <c r="Q47" s="3582"/>
      <c r="R47" s="3610" t="e">
        <f>ROUND(PRODUCT(R46,AA7:AA45),0)</f>
        <v>#DIV/0!</v>
      </c>
      <c r="S47" s="3610"/>
      <c r="T47" s="3610" t="e">
        <f>ROUND(PRODUCT(T46,AB7:AB45),0)</f>
        <v>#DIV/0!</v>
      </c>
      <c r="U47" s="3610"/>
      <c r="V47" s="3610" t="e">
        <f>ROUND(PRODUCT(V46,AC7:AC45),0)</f>
        <v>#DIV/0!</v>
      </c>
      <c r="W47" s="3610"/>
      <c r="X47" s="698"/>
      <c r="Y47" s="698"/>
      <c r="Z47" s="698"/>
      <c r="AA47" s="698"/>
      <c r="AB47" s="698"/>
      <c r="AC47" s="698"/>
    </row>
    <row r="48" spans="1:29" ht="15" thickBot="1">
      <c r="A48" s="448" t="s">
        <v>2515</v>
      </c>
      <c r="B48" s="449"/>
      <c r="C48" s="450" t="e">
        <f>R48</f>
        <v>#DIV/0!</v>
      </c>
      <c r="D48" s="450"/>
      <c r="E48" s="450"/>
      <c r="F48" s="450"/>
      <c r="G48" s="450"/>
      <c r="H48" s="450"/>
      <c r="I48" s="450"/>
      <c r="J48" s="450"/>
      <c r="K48" s="723"/>
      <c r="L48" s="2920"/>
      <c r="M48" s="2921"/>
      <c r="N48" s="2921"/>
      <c r="O48" s="2921"/>
      <c r="P48" s="3579" t="str">
        <f>A48</f>
        <v>估价对象XX用房的比较价值（楼面单价，元/平方米）</v>
      </c>
      <c r="Q48" s="3580"/>
      <c r="R48" s="3611" t="e">
        <f>ROUND(IF(D47="简单平均",AVERAGE(R47:W47),R47*F47+T47*H47+V47*J47),0)</f>
        <v>#DIV/0!</v>
      </c>
      <c r="S48" s="3611"/>
      <c r="T48" s="3611"/>
      <c r="U48" s="3611"/>
      <c r="V48" s="3611"/>
      <c r="W48" s="3611"/>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2429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4.4"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2516</v>
      </c>
      <c r="B55" s="640" t="s">
        <v>2517</v>
      </c>
      <c r="C55" s="2138" t="s">
        <v>2518</v>
      </c>
      <c r="D55" s="2139" t="s">
        <v>2519</v>
      </c>
      <c r="E55" s="641" t="s">
        <v>2520</v>
      </c>
      <c r="F55" s="1020" t="s">
        <v>2521</v>
      </c>
      <c r="G55" s="3565" t="s">
        <v>2522</v>
      </c>
      <c r="H55" s="3612"/>
      <c r="I55" s="139" t="s">
        <v>2523</v>
      </c>
      <c r="J55" s="2140">
        <f>项目基本情况!F35</f>
        <v>0</v>
      </c>
      <c r="K55" s="2141" t="s">
        <v>2524</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2525</v>
      </c>
      <c r="B56" s="644" t="e">
        <f>C48</f>
        <v>#DIV/0!</v>
      </c>
      <c r="C56" s="645">
        <v>1</v>
      </c>
      <c r="D56" s="1074">
        <v>1</v>
      </c>
      <c r="E56" s="645">
        <f>'数据-汇总表'!E8+'数据-汇总表'!E9</f>
        <v>17650.910000000003</v>
      </c>
      <c r="F56" s="1016" t="e">
        <f t="shared" ref="F56:F65" si="15">ROUND(B56*E56/10000,0)</f>
        <v>#DIV/0!</v>
      </c>
      <c r="G56" s="3564"/>
      <c r="H56" s="3582"/>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2526</v>
      </c>
      <c r="B57" s="223" t="e">
        <f>ROUND($C$48*C57*D57,0)</f>
        <v>#DIV/0!</v>
      </c>
      <c r="C57" s="175">
        <f t="shared" ref="C57:C65" si="16">IF($C$55="北京市系数",I57,J57)</f>
        <v>0.7</v>
      </c>
      <c r="D57" s="1075">
        <v>0.25</v>
      </c>
      <c r="E57" s="649"/>
      <c r="F57" s="1016" t="e">
        <f t="shared" si="15"/>
        <v>#DIV/0!</v>
      </c>
      <c r="G57" s="3613" t="s">
        <v>2527</v>
      </c>
      <c r="H57" s="1017" t="str">
        <f>项目基本情况!B37</f>
        <v>六级</v>
      </c>
      <c r="I57" s="1021">
        <f>SUMIF(修正!A45:A56,H57,修正!B45:B56)</f>
        <v>0.7</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2528</v>
      </c>
      <c r="B58" s="223" t="e">
        <f t="shared" ref="B58:B65" si="17">ROUND($C$48*C58*D58,0)</f>
        <v>#DIV/0!</v>
      </c>
      <c r="C58" s="175">
        <f t="shared" si="16"/>
        <v>0.4</v>
      </c>
      <c r="D58" s="1075">
        <v>0.25</v>
      </c>
      <c r="E58" s="649"/>
      <c r="F58" s="1016" t="e">
        <f t="shared" si="15"/>
        <v>#DIV/0!</v>
      </c>
      <c r="G58" s="3613"/>
      <c r="H58" s="1017" t="str">
        <f>项目基本情况!B37</f>
        <v>六级</v>
      </c>
      <c r="I58" s="1021">
        <f>SUMIF(修正!A45:A56,H58,修正!C45:C56)</f>
        <v>0.4</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2529</v>
      </c>
      <c r="B59" s="223" t="e">
        <f t="shared" si="17"/>
        <v>#DIV/0!</v>
      </c>
      <c r="C59" s="175">
        <f t="shared" si="16"/>
        <v>0.28000000000000003</v>
      </c>
      <c r="D59" s="1075">
        <v>0.25</v>
      </c>
      <c r="E59" s="649"/>
      <c r="F59" s="1016" t="e">
        <f t="shared" si="15"/>
        <v>#DIV/0!</v>
      </c>
      <c r="G59" s="3613"/>
      <c r="H59" s="1017" t="str">
        <f>项目基本情况!B37</f>
        <v>六级</v>
      </c>
      <c r="I59" s="1021">
        <f>SUMIF(修正!A45:A56,H59,修正!D45:D56)</f>
        <v>0.28000000000000003</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2530</v>
      </c>
      <c r="B60" s="223" t="e">
        <f t="shared" si="17"/>
        <v>#DIV/0!</v>
      </c>
      <c r="C60" s="175">
        <f t="shared" si="16"/>
        <v>0.25</v>
      </c>
      <c r="D60" s="1075">
        <v>0.25</v>
      </c>
      <c r="E60" s="649"/>
      <c r="F60" s="1016" t="e">
        <f t="shared" si="15"/>
        <v>#DIV/0!</v>
      </c>
      <c r="G60" s="3613"/>
      <c r="H60" s="1017" t="str">
        <f>项目基本情况!B37</f>
        <v>六级</v>
      </c>
      <c r="I60" s="1021">
        <f>SUMIF(修正!A45:A56,H60,修正!E45:E56)</f>
        <v>0.25</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2531</v>
      </c>
      <c r="B61" s="223" t="e">
        <f t="shared" si="17"/>
        <v>#DIV/0!</v>
      </c>
      <c r="C61" s="175">
        <f t="shared" si="16"/>
        <v>0</v>
      </c>
      <c r="D61" s="1075">
        <v>0.25</v>
      </c>
      <c r="E61" s="222">
        <f>'数据-汇总表'!E11</f>
        <v>0</v>
      </c>
      <c r="F61" s="1016" t="e">
        <f t="shared" si="15"/>
        <v>#DIV/0!</v>
      </c>
      <c r="G61" s="2142" t="s">
        <v>2532</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2533</v>
      </c>
      <c r="B62" s="223" t="e">
        <f t="shared" si="17"/>
        <v>#DIV/0!</v>
      </c>
      <c r="C62" s="175">
        <f t="shared" si="16"/>
        <v>0</v>
      </c>
      <c r="D62" s="1075">
        <v>0.25</v>
      </c>
      <c r="E62" s="222">
        <f>'数据-汇总表'!E12</f>
        <v>0</v>
      </c>
      <c r="F62" s="1016" t="e">
        <f t="shared" si="15"/>
        <v>#DIV/0!</v>
      </c>
      <c r="G62" s="1022" t="s">
        <v>2534</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2535</v>
      </c>
      <c r="B63" s="223" t="e">
        <f t="shared" si="17"/>
        <v>#DIV/0!</v>
      </c>
      <c r="C63" s="175">
        <f t="shared" si="16"/>
        <v>0</v>
      </c>
      <c r="D63" s="1075">
        <v>0.25</v>
      </c>
      <c r="E63" s="222">
        <f>'数据-汇总表'!E13</f>
        <v>0</v>
      </c>
      <c r="F63" s="1016" t="e">
        <f t="shared" si="15"/>
        <v>#DIV/0!</v>
      </c>
      <c r="G63" s="1022" t="s">
        <v>2536</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2537</v>
      </c>
      <c r="B64" s="223" t="e">
        <f t="shared" si="17"/>
        <v>#DIV/0!</v>
      </c>
      <c r="C64" s="175">
        <f t="shared" si="16"/>
        <v>0.2</v>
      </c>
      <c r="D64" s="1075">
        <v>0.25</v>
      </c>
      <c r="E64" s="222">
        <f>'数据-汇总表'!E14</f>
        <v>0</v>
      </c>
      <c r="F64" s="1016" t="e">
        <f t="shared" si="15"/>
        <v>#DIV/0!</v>
      </c>
      <c r="G64" s="2142" t="s">
        <v>2527</v>
      </c>
      <c r="H64" s="1017" t="str">
        <f>项目基本情况!B37</f>
        <v>六级</v>
      </c>
      <c r="I64" s="1021">
        <f>SUMIF(修正!A45:A56,H64,修正!H45:H56)</f>
        <v>0.2</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4.4" thickBot="1">
      <c r="A65" s="648" t="s">
        <v>2538</v>
      </c>
      <c r="B65" s="223" t="e">
        <f t="shared" si="17"/>
        <v>#DIV/0!</v>
      </c>
      <c r="C65" s="175">
        <f t="shared" si="16"/>
        <v>0</v>
      </c>
      <c r="D65" s="1075">
        <v>0.25</v>
      </c>
      <c r="E65" s="222">
        <f>'数据-汇总表'!E15</f>
        <v>0</v>
      </c>
      <c r="F65" s="1016" t="e">
        <f t="shared" si="15"/>
        <v>#DIV/0!</v>
      </c>
      <c r="G65" s="2143" t="s">
        <v>2532</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thickBot="1">
      <c r="A66" s="650" t="s">
        <v>2539</v>
      </c>
      <c r="B66" s="651" t="s">
        <v>28</v>
      </c>
      <c r="C66" s="651" t="s">
        <v>29</v>
      </c>
      <c r="D66" s="651" t="s">
        <v>997</v>
      </c>
      <c r="E66" s="651">
        <f>IF(B46="楼面地价",SUM(E56:E65),'数据-汇总表'!D3)</f>
        <v>17650.910000000003</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1"/>
      <c r="Q68" s="2921"/>
      <c r="R68" s="2921"/>
      <c r="S68" s="2921"/>
      <c r="T68" s="2921"/>
      <c r="U68" s="2921"/>
      <c r="V68" s="2921"/>
      <c r="W68" s="2921"/>
      <c r="X68" s="2921"/>
      <c r="Y68" s="2921"/>
      <c r="Z68" s="2921"/>
      <c r="AA68" s="2921"/>
      <c r="AB68" s="2921"/>
      <c r="AC68" s="2921"/>
    </row>
    <row r="69" spans="1:29" ht="22.2" thickBot="1">
      <c r="A69" s="702" t="s">
        <v>2432</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4.4">
      <c r="A70" s="2144" t="s">
        <v>2540</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2"/>
      <c r="Q70" s="2937"/>
      <c r="R70" s="2937"/>
      <c r="S70" s="2937"/>
      <c r="T70" s="2937"/>
      <c r="U70" s="2937"/>
      <c r="V70" s="2937"/>
      <c r="W70" s="2937"/>
      <c r="X70" s="2937"/>
      <c r="Y70" s="2937"/>
      <c r="Z70" s="2937"/>
      <c r="AA70" s="2937"/>
      <c r="AB70" s="2937"/>
      <c r="AC70" s="2937"/>
    </row>
    <row r="71" spans="1:29" s="112" customFormat="1" ht="30" customHeight="1">
      <c r="A71" s="2145" t="s">
        <v>2541</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5"/>
      <c r="Q71" s="2855"/>
      <c r="R71" s="2855"/>
      <c r="S71" s="2855"/>
      <c r="T71" s="2855"/>
      <c r="U71" s="2855"/>
      <c r="V71" s="2855"/>
      <c r="W71" s="2855"/>
      <c r="X71" s="2855"/>
      <c r="Y71" s="2855"/>
      <c r="Z71" s="2855"/>
      <c r="AA71" s="2855"/>
      <c r="AB71" s="2855"/>
      <c r="AC71" s="2855"/>
    </row>
    <row r="72" spans="1:29" s="112" customFormat="1" ht="15" thickBot="1">
      <c r="A72" s="471" t="s">
        <v>2343</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2" customFormat="1" ht="14.4">
      <c r="A73" s="477" t="s">
        <v>2308</v>
      </c>
      <c r="B73" s="466"/>
      <c r="C73" s="478" t="s">
        <v>2410</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2" customFormat="1" ht="14.4"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ht="14.4">
      <c r="A75" s="483" t="s">
        <v>2346</v>
      </c>
      <c r="B75" s="484" t="s">
        <v>2312</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4.4"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9.4" thickTop="1">
      <c r="A77" s="490"/>
      <c r="B77" s="494" t="s">
        <v>2315</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4.4"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 thickTop="1">
      <c r="A79" s="490"/>
      <c r="B79" s="502" t="s">
        <v>2316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4.4"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4.4"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4.4"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4.4"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4.4"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4.4"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ht="14.4">
      <c r="A88" s="483" t="s">
        <v>2317</v>
      </c>
      <c r="B88" s="484" t="s">
        <v>2354</v>
      </c>
      <c r="C88" s="529" t="s">
        <v>2355</v>
      </c>
      <c r="D88" s="529" t="s">
        <v>2356</v>
      </c>
      <c r="E88" s="529" t="s">
        <v>2357</v>
      </c>
      <c r="F88" s="529" t="s">
        <v>2358</v>
      </c>
      <c r="G88" s="529" t="s">
        <v>2359</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 thickTop="1">
      <c r="A90" s="490"/>
      <c r="B90" s="494" t="s">
        <v>2542</v>
      </c>
      <c r="C90" s="534" t="s">
        <v>2355</v>
      </c>
      <c r="D90" s="534" t="s">
        <v>2356</v>
      </c>
      <c r="E90" s="534" t="s">
        <v>2357</v>
      </c>
      <c r="F90" s="534" t="s">
        <v>2358</v>
      </c>
      <c r="G90" s="534" t="s">
        <v>2359</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 thickTop="1">
      <c r="A92" s="490"/>
      <c r="B92" s="494" t="s">
        <v>2455</v>
      </c>
      <c r="C92" s="534" t="s">
        <v>2355</v>
      </c>
      <c r="D92" s="534" t="s">
        <v>2356</v>
      </c>
      <c r="E92" s="534" t="s">
        <v>2357</v>
      </c>
      <c r="F92" s="534" t="s">
        <v>2358</v>
      </c>
      <c r="G92" s="534" t="s">
        <v>2359</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 thickTop="1">
      <c r="A94" s="490"/>
      <c r="B94" s="494" t="s">
        <v>2360</v>
      </c>
      <c r="C94" s="534" t="s">
        <v>2355</v>
      </c>
      <c r="D94" s="534" t="s">
        <v>2356</v>
      </c>
      <c r="E94" s="534" t="s">
        <v>2357</v>
      </c>
      <c r="F94" s="534" t="s">
        <v>2358</v>
      </c>
      <c r="G94" s="534" t="s">
        <v>2359</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2" customFormat="1" ht="29.4" thickTop="1">
      <c r="A96" s="535"/>
      <c r="B96" s="494" t="s">
        <v>2543</v>
      </c>
      <c r="C96" s="534" t="s">
        <v>2355</v>
      </c>
      <c r="D96" s="534" t="s">
        <v>2356</v>
      </c>
      <c r="E96" s="534" t="s">
        <v>2357</v>
      </c>
      <c r="F96" s="534" t="s">
        <v>2358</v>
      </c>
      <c r="G96" s="534" t="s">
        <v>2359</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2" customFormat="1" ht="29.4" thickTop="1">
      <c r="A98" s="535"/>
      <c r="B98" s="494" t="s">
        <v>2544</v>
      </c>
      <c r="C98" s="529" t="s">
        <v>2355</v>
      </c>
      <c r="D98" s="529" t="s">
        <v>2356</v>
      </c>
      <c r="E98" s="529" t="s">
        <v>2357</v>
      </c>
      <c r="F98" s="529" t="s">
        <v>2358</v>
      </c>
      <c r="G98" s="529" t="s">
        <v>2359</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 thickTop="1">
      <c r="A100" s="509"/>
      <c r="B100" s="494" t="s">
        <v>2412</v>
      </c>
      <c r="C100" s="529" t="s">
        <v>2355</v>
      </c>
      <c r="D100" s="529" t="s">
        <v>2356</v>
      </c>
      <c r="E100" s="529" t="s">
        <v>2357</v>
      </c>
      <c r="F100" s="529" t="s">
        <v>2358</v>
      </c>
      <c r="G100" s="529" t="s">
        <v>2359</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 thickTop="1">
      <c r="A102" s="509"/>
      <c r="B102" s="502" t="s">
        <v>2413</v>
      </c>
      <c r="C102" s="615" t="s">
        <v>2433</v>
      </c>
      <c r="D102" s="615" t="s">
        <v>2434</v>
      </c>
      <c r="E102" s="615" t="s">
        <v>2435</v>
      </c>
      <c r="F102" s="615" t="s">
        <v>2436</v>
      </c>
      <c r="G102" s="615" t="s">
        <v>2437</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 thickTop="1">
      <c r="A104" s="490"/>
      <c r="B104" s="494" t="str">
        <f>B31</f>
        <v>临街状况</v>
      </c>
      <c r="C104" s="495" t="s">
        <v>2545</v>
      </c>
      <c r="D104" s="495" t="s">
        <v>2546</v>
      </c>
      <c r="E104" s="495" t="s">
        <v>2547</v>
      </c>
      <c r="F104" s="495" t="s">
        <v>2548</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9.4" thickTop="1">
      <c r="A106" s="490"/>
      <c r="B106" s="494" t="s">
        <v>2449</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 thickTop="1">
      <c r="A108" s="490"/>
      <c r="B108" s="494" t="s">
        <v>2508</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4.4"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4.4"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4.4"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4.4"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4.4"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4.4"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14.4">
      <c r="A116" s="483" t="s">
        <v>2321</v>
      </c>
      <c r="B116" s="484" t="s">
        <v>2549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4.4" thickBot="1">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2550</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2551</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2552</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2553</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4.4"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4.4"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4.4"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4.4"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4.4"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4.4"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3" sqref="F33"/>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2502</v>
      </c>
      <c r="B1" s="354"/>
      <c r="C1" s="355" t="s">
        <v>2554</v>
      </c>
      <c r="D1" s="694"/>
      <c r="E1" s="694"/>
      <c r="F1" s="693" t="s">
        <v>2401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2085</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ROUND(IF(D3="",B2*10000/'数据-汇总表'!E3,B2*10000/D3),0)</f>
        <v>#DIV/0!</v>
      </c>
      <c r="C3" s="208" t="s">
        <v>2504</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2403</v>
      </c>
      <c r="B4" s="361"/>
      <c r="C4" s="3565" t="s">
        <v>2404</v>
      </c>
      <c r="D4" s="3566"/>
      <c r="E4" s="3567" t="s">
        <v>2405</v>
      </c>
      <c r="F4" s="3568"/>
      <c r="G4" s="3565" t="s">
        <v>2406</v>
      </c>
      <c r="H4" s="3566"/>
      <c r="I4" s="3565" t="s">
        <v>2407</v>
      </c>
      <c r="J4" s="3566"/>
      <c r="K4" s="566" t="s">
        <v>2408</v>
      </c>
      <c r="L4" s="2911"/>
      <c r="M4" s="2912"/>
      <c r="N4" s="2912"/>
      <c r="O4" s="2912"/>
      <c r="P4" s="3569" t="s">
        <v>2409</v>
      </c>
      <c r="Q4" s="3570"/>
      <c r="R4" s="3552" t="s">
        <v>2405</v>
      </c>
      <c r="S4" s="3553"/>
      <c r="T4" s="3552" t="s">
        <v>2406</v>
      </c>
      <c r="U4" s="3553"/>
      <c r="V4" s="3577" t="s">
        <v>2407</v>
      </c>
      <c r="W4" s="3577"/>
      <c r="X4" s="1508"/>
      <c r="Y4" s="3552" t="s">
        <v>2409</v>
      </c>
      <c r="Z4" s="3553"/>
      <c r="AA4" s="3547" t="s">
        <v>2405</v>
      </c>
      <c r="AB4" s="3548" t="s">
        <v>2406</v>
      </c>
      <c r="AC4" s="3547" t="s">
        <v>2407</v>
      </c>
    </row>
    <row r="5" spans="1:29">
      <c r="A5" s="363"/>
      <c r="B5" s="364"/>
      <c r="C5" s="3558" t="s">
        <v>2300</v>
      </c>
      <c r="D5" s="3559"/>
      <c r="E5" s="3556" t="s">
        <v>2301</v>
      </c>
      <c r="F5" s="3557"/>
      <c r="G5" s="3558" t="s">
        <v>2302</v>
      </c>
      <c r="H5" s="3559"/>
      <c r="I5" s="3558" t="s">
        <v>2303</v>
      </c>
      <c r="J5" s="3559"/>
      <c r="K5" s="566"/>
      <c r="L5" s="2911"/>
      <c r="M5" s="2912"/>
      <c r="N5" s="2912"/>
      <c r="O5" s="2912"/>
      <c r="P5" s="3571"/>
      <c r="Q5" s="3572"/>
      <c r="R5" s="3554"/>
      <c r="S5" s="3555"/>
      <c r="T5" s="3554"/>
      <c r="U5" s="3555"/>
      <c r="V5" s="3577"/>
      <c r="W5" s="3577"/>
      <c r="X5" s="1508"/>
      <c r="Y5" s="3554"/>
      <c r="Z5" s="3555"/>
      <c r="AA5" s="3548"/>
      <c r="AB5" s="3548"/>
      <c r="AC5" s="3548"/>
    </row>
    <row r="6" spans="1:29" ht="15" thickBot="1">
      <c r="A6" s="365"/>
      <c r="B6" s="366"/>
      <c r="C6" s="3614" t="s">
        <v>2555</v>
      </c>
      <c r="D6" s="3615"/>
      <c r="E6" s="3616" t="s">
        <v>2555</v>
      </c>
      <c r="F6" s="3617"/>
      <c r="G6" s="3614" t="s">
        <v>2555</v>
      </c>
      <c r="H6" s="3615"/>
      <c r="I6" s="3614" t="s">
        <v>2555</v>
      </c>
      <c r="J6" s="3615"/>
      <c r="K6" s="566" t="s">
        <v>2305</v>
      </c>
      <c r="L6" s="2911"/>
      <c r="M6" s="2912"/>
      <c r="N6" s="2912"/>
      <c r="O6" s="2912"/>
      <c r="P6" s="3573"/>
      <c r="Q6" s="3574"/>
      <c r="R6" s="3554"/>
      <c r="S6" s="3555"/>
      <c r="T6" s="3575"/>
      <c r="U6" s="3576"/>
      <c r="V6" s="3577"/>
      <c r="W6" s="3577"/>
      <c r="X6" s="1508"/>
      <c r="Y6" s="3575"/>
      <c r="Z6" s="3576"/>
      <c r="AA6" s="3549"/>
      <c r="AB6" s="3549"/>
      <c r="AC6" s="3549"/>
    </row>
    <row r="7" spans="1:29" s="112" customFormat="1" ht="15" thickBot="1">
      <c r="A7" s="367" t="s">
        <v>2306</v>
      </c>
      <c r="B7" s="368"/>
      <c r="C7" s="369">
        <f>'数据-取费表'!B2</f>
        <v>44610</v>
      </c>
      <c r="D7" s="370">
        <v>100</v>
      </c>
      <c r="E7" s="371"/>
      <c r="F7" s="372">
        <f>SUMIF(65:65,YEAR(E7)&amp;"-"&amp;INT((MONTH(E7)+2)/3),66:66)</f>
        <v>0</v>
      </c>
      <c r="G7" s="2129"/>
      <c r="H7" s="370">
        <f>SUMIF(65:65,YEAR(G7)&amp;"-"&amp;INT((MONTH(G7)+2)/3),66:66)</f>
        <v>0</v>
      </c>
      <c r="I7" s="2129"/>
      <c r="J7" s="370">
        <f>SUMIF(65:65,YEAR(I7)&amp;"-"&amp;INT((MONTH(I7)+2)/3),66:66)</f>
        <v>0</v>
      </c>
      <c r="K7" s="567"/>
      <c r="L7" s="2913"/>
      <c r="M7" s="2914"/>
      <c r="N7" s="2914"/>
      <c r="O7" s="2914"/>
      <c r="P7" s="3550" t="s">
        <v>2307</v>
      </c>
      <c r="Q7" s="3578"/>
      <c r="R7" s="709" t="s">
        <v>17</v>
      </c>
      <c r="S7" s="710">
        <f t="shared" ref="S7:S15" si="0">F7</f>
        <v>0</v>
      </c>
      <c r="T7" s="709" t="s">
        <v>17</v>
      </c>
      <c r="U7" s="710">
        <f t="shared" ref="U7:U15" si="1">H7</f>
        <v>0</v>
      </c>
      <c r="V7" s="709" t="s">
        <v>17</v>
      </c>
      <c r="W7" s="710">
        <f t="shared" ref="W7:W15" si="2">J7</f>
        <v>0</v>
      </c>
      <c r="X7" s="711"/>
      <c r="Y7" s="3550" t="s">
        <v>2307</v>
      </c>
      <c r="Z7" s="3551"/>
      <c r="AA7" s="712" t="e">
        <f>D7/F7</f>
        <v>#DIV/0!</v>
      </c>
      <c r="AB7" s="712" t="e">
        <f>D7/H7</f>
        <v>#DIV/0!</v>
      </c>
      <c r="AC7" s="712" t="e">
        <f>D7/J7</f>
        <v>#DIV/0!</v>
      </c>
    </row>
    <row r="8" spans="1:29" s="112" customFormat="1" ht="15" thickBot="1">
      <c r="A8" s="367" t="s">
        <v>2308</v>
      </c>
      <c r="B8" s="368"/>
      <c r="C8" s="373" t="s">
        <v>2309</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550" t="s">
        <v>2310</v>
      </c>
      <c r="Q8" s="3551"/>
      <c r="R8" s="709" t="s">
        <v>17</v>
      </c>
      <c r="S8" s="710">
        <f t="shared" si="0"/>
        <v>0</v>
      </c>
      <c r="T8" s="709" t="s">
        <v>17</v>
      </c>
      <c r="U8" s="710">
        <f t="shared" si="1"/>
        <v>0</v>
      </c>
      <c r="V8" s="709" t="s">
        <v>17</v>
      </c>
      <c r="W8" s="710">
        <f t="shared" si="2"/>
        <v>0</v>
      </c>
      <c r="X8" s="711"/>
      <c r="Y8" s="3550" t="s">
        <v>2310</v>
      </c>
      <c r="Z8" s="3551"/>
      <c r="AA8" s="712" t="e">
        <f t="shared" ref="AA8:AA40" si="3">D8/F8</f>
        <v>#DIV/0!</v>
      </c>
      <c r="AB8" s="712" t="e">
        <f t="shared" ref="AB8:AB40" si="4">D8/H8</f>
        <v>#DIV/0!</v>
      </c>
      <c r="AC8" s="712" t="e">
        <f t="shared" ref="AC8:AC40" si="5">D8/J8</f>
        <v>#DIV/0!</v>
      </c>
    </row>
    <row r="9" spans="1:29" s="112" customFormat="1" ht="14.4">
      <c r="A9" s="374" t="s">
        <v>2311</v>
      </c>
      <c r="B9" s="66" t="s">
        <v>2312</v>
      </c>
      <c r="C9" s="2132"/>
      <c r="D9" s="130">
        <v>100</v>
      </c>
      <c r="E9" s="2132"/>
      <c r="F9" s="130">
        <f>SUMIF(70:70,E9,71:71)-SUMIF(70:70,C9,71:71)+100</f>
        <v>100</v>
      </c>
      <c r="G9" s="2132"/>
      <c r="H9" s="130">
        <f>SUMIF(70:70,G9,71:71)-SUMIF(70:70,C9,71:71)+100</f>
        <v>100</v>
      </c>
      <c r="I9" s="2132"/>
      <c r="J9" s="130">
        <f>SUMIF(70:70,I9,71:71)-SUMIF(70:70,C9,71:71)+100</f>
        <v>100</v>
      </c>
      <c r="K9" s="567"/>
      <c r="L9" s="2913"/>
      <c r="M9" s="2914"/>
      <c r="N9" s="2914"/>
      <c r="O9" s="2968"/>
      <c r="P9" s="3582" t="s">
        <v>2313</v>
      </c>
      <c r="Q9" s="1496" t="str">
        <f t="shared" ref="Q9:Q15" si="6">B9</f>
        <v>用途</v>
      </c>
      <c r="R9" s="709" t="s">
        <v>17</v>
      </c>
      <c r="S9" s="710">
        <f t="shared" si="0"/>
        <v>100</v>
      </c>
      <c r="T9" s="709" t="s">
        <v>17</v>
      </c>
      <c r="U9" s="710">
        <f t="shared" si="1"/>
        <v>100</v>
      </c>
      <c r="V9" s="709" t="s">
        <v>17</v>
      </c>
      <c r="W9" s="710">
        <f t="shared" si="2"/>
        <v>100</v>
      </c>
      <c r="X9" s="711"/>
      <c r="Y9" s="3487" t="s">
        <v>2314</v>
      </c>
      <c r="Z9" s="54" t="str">
        <f t="shared" ref="Z9:Z15" si="7">Q9</f>
        <v>用途</v>
      </c>
      <c r="AA9" s="712">
        <f t="shared" si="3"/>
        <v>1</v>
      </c>
      <c r="AB9" s="712">
        <f t="shared" si="4"/>
        <v>1</v>
      </c>
      <c r="AC9" s="712">
        <f t="shared" si="5"/>
        <v>1</v>
      </c>
    </row>
    <row r="10" spans="1:29" s="385" customFormat="1" ht="28.8">
      <c r="A10" s="379"/>
      <c r="B10" s="380" t="s">
        <v>2315</v>
      </c>
      <c r="C10" s="390"/>
      <c r="D10" s="131">
        <v>100</v>
      </c>
      <c r="E10" s="390"/>
      <c r="F10" s="131">
        <f>ROUND(100/'数据-取费表'!G16,0)</f>
        <v>106</v>
      </c>
      <c r="G10" s="390"/>
      <c r="H10" s="131">
        <f>ROUND(100/'数据-取费表'!G16,0)</f>
        <v>106</v>
      </c>
      <c r="I10" s="390"/>
      <c r="J10" s="131">
        <f>ROUND(100/'数据-取费表'!G16,0)</f>
        <v>106</v>
      </c>
      <c r="K10" s="627"/>
      <c r="L10" s="2915"/>
      <c r="M10" s="2916"/>
      <c r="N10" s="2916"/>
      <c r="O10" s="2969"/>
      <c r="P10" s="3582"/>
      <c r="Q10" s="1496" t="str">
        <f t="shared" si="6"/>
        <v>土地使用年限（年）</v>
      </c>
      <c r="R10" s="709" t="s">
        <v>17</v>
      </c>
      <c r="S10" s="710">
        <f t="shared" si="0"/>
        <v>106</v>
      </c>
      <c r="T10" s="709" t="s">
        <v>17</v>
      </c>
      <c r="U10" s="710">
        <f t="shared" si="1"/>
        <v>106</v>
      </c>
      <c r="V10" s="709" t="s">
        <v>17</v>
      </c>
      <c r="W10" s="710">
        <f t="shared" si="2"/>
        <v>106</v>
      </c>
      <c r="X10" s="711"/>
      <c r="Y10" s="3487"/>
      <c r="Z10" s="54" t="str">
        <f t="shared" si="7"/>
        <v>土地使用年限（年）</v>
      </c>
      <c r="AA10" s="712">
        <f t="shared" si="3"/>
        <v>0.94339622641509435</v>
      </c>
      <c r="AB10" s="712">
        <f t="shared" si="4"/>
        <v>0.94339622641509435</v>
      </c>
      <c r="AC10" s="712">
        <f t="shared" si="5"/>
        <v>0.94339622641509435</v>
      </c>
    </row>
    <row r="11" spans="1:29" ht="15">
      <c r="A11" s="386"/>
      <c r="B11" s="380" t="s">
        <v>2316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582"/>
      <c r="Q11" s="1496" t="str">
        <f t="shared" si="6"/>
        <v>容积率</v>
      </c>
      <c r="R11" s="709" t="s">
        <v>17</v>
      </c>
      <c r="S11" s="710" t="e">
        <f t="shared" si="0"/>
        <v>#N/A</v>
      </c>
      <c r="T11" s="709" t="s">
        <v>17</v>
      </c>
      <c r="U11" s="710" t="e">
        <f t="shared" si="1"/>
        <v>#N/A</v>
      </c>
      <c r="V11" s="709" t="s">
        <v>17</v>
      </c>
      <c r="W11" s="710" t="e">
        <f t="shared" si="2"/>
        <v>#N/A</v>
      </c>
      <c r="X11" s="711"/>
      <c r="Y11" s="3487"/>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582"/>
      <c r="Q12" s="1496">
        <f t="shared" si="6"/>
        <v>111</v>
      </c>
      <c r="R12" s="709" t="s">
        <v>17</v>
      </c>
      <c r="S12" s="710">
        <f t="shared" si="0"/>
        <v>100</v>
      </c>
      <c r="T12" s="709" t="s">
        <v>17</v>
      </c>
      <c r="U12" s="710">
        <f t="shared" si="1"/>
        <v>100</v>
      </c>
      <c r="V12" s="709" t="s">
        <v>17</v>
      </c>
      <c r="W12" s="710">
        <f t="shared" si="2"/>
        <v>100</v>
      </c>
      <c r="X12" s="711"/>
      <c r="Y12" s="3487"/>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582"/>
      <c r="Q13" s="1496">
        <f t="shared" si="6"/>
        <v>111</v>
      </c>
      <c r="R13" s="709" t="s">
        <v>17</v>
      </c>
      <c r="S13" s="710">
        <f t="shared" si="0"/>
        <v>100</v>
      </c>
      <c r="T13" s="709" t="s">
        <v>17</v>
      </c>
      <c r="U13" s="710">
        <f t="shared" si="1"/>
        <v>100</v>
      </c>
      <c r="V13" s="709" t="s">
        <v>17</v>
      </c>
      <c r="W13" s="710">
        <f t="shared" si="2"/>
        <v>100</v>
      </c>
      <c r="X13" s="711"/>
      <c r="Y13" s="3487"/>
      <c r="Z13" s="54">
        <f t="shared" si="7"/>
        <v>111</v>
      </c>
      <c r="AA13" s="712">
        <f t="shared" si="3"/>
        <v>1</v>
      </c>
      <c r="AB13" s="712">
        <f t="shared" si="4"/>
        <v>1</v>
      </c>
      <c r="AC13" s="712">
        <f t="shared" si="5"/>
        <v>1</v>
      </c>
    </row>
    <row r="14" spans="1:29" ht="15.6"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582"/>
      <c r="Q14" s="1496">
        <f t="shared" si="6"/>
        <v>111</v>
      </c>
      <c r="R14" s="709" t="s">
        <v>17</v>
      </c>
      <c r="S14" s="710">
        <f t="shared" si="0"/>
        <v>100</v>
      </c>
      <c r="T14" s="709" t="s">
        <v>17</v>
      </c>
      <c r="U14" s="710">
        <f t="shared" si="1"/>
        <v>100</v>
      </c>
      <c r="V14" s="709" t="s">
        <v>17</v>
      </c>
      <c r="W14" s="710">
        <f t="shared" si="2"/>
        <v>100</v>
      </c>
      <c r="X14" s="711"/>
      <c r="Y14" s="3487"/>
      <c r="Z14" s="54">
        <f t="shared" si="7"/>
        <v>111</v>
      </c>
      <c r="AA14" s="712">
        <f t="shared" si="3"/>
        <v>1</v>
      </c>
      <c r="AB14" s="712">
        <f t="shared" si="4"/>
        <v>1</v>
      </c>
      <c r="AC14" s="712">
        <f t="shared" si="5"/>
        <v>1</v>
      </c>
    </row>
    <row r="15" spans="1:29" ht="69">
      <c r="A15" s="398" t="s">
        <v>2317</v>
      </c>
      <c r="B15" s="584" t="s">
        <v>2556</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84" t="s">
        <v>2318</v>
      </c>
      <c r="Q15" s="1505" t="str">
        <f t="shared" si="6"/>
        <v>产业集聚程度</v>
      </c>
      <c r="R15" s="713" t="s">
        <v>17</v>
      </c>
      <c r="S15" s="714">
        <f t="shared" si="0"/>
        <v>100</v>
      </c>
      <c r="T15" s="713" t="s">
        <v>17</v>
      </c>
      <c r="U15" s="714">
        <f t="shared" si="1"/>
        <v>100</v>
      </c>
      <c r="V15" s="713" t="s">
        <v>17</v>
      </c>
      <c r="W15" s="714">
        <f t="shared" si="2"/>
        <v>100</v>
      </c>
      <c r="X15" s="1508"/>
      <c r="Y15" s="3584" t="s">
        <v>2318</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18"/>
      <c r="M16" s="2912"/>
      <c r="N16" s="2912"/>
      <c r="O16" s="2970"/>
      <c r="P16" s="3585"/>
      <c r="Q16" s="1505"/>
      <c r="R16" s="713"/>
      <c r="S16" s="714"/>
      <c r="T16" s="713"/>
      <c r="U16" s="714"/>
      <c r="V16" s="713"/>
      <c r="W16" s="714"/>
      <c r="X16" s="1508"/>
      <c r="Y16" s="3585"/>
      <c r="Z16" s="1509"/>
      <c r="AA16" s="1506">
        <v>1</v>
      </c>
      <c r="AB16" s="1506">
        <v>1</v>
      </c>
      <c r="AC16" s="1506">
        <v>1</v>
      </c>
    </row>
    <row r="17" spans="1:29" ht="96.6">
      <c r="A17" s="386"/>
      <c r="B17" s="586" t="s">
        <v>2467</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85"/>
      <c r="Q17" s="1505" t="str">
        <f>B17</f>
        <v>交通便捷度</v>
      </c>
      <c r="R17" s="713" t="s">
        <v>17</v>
      </c>
      <c r="S17" s="714">
        <f>F17</f>
        <v>100</v>
      </c>
      <c r="T17" s="713" t="s">
        <v>17</v>
      </c>
      <c r="U17" s="714">
        <f>H17</f>
        <v>100</v>
      </c>
      <c r="V17" s="713" t="s">
        <v>17</v>
      </c>
      <c r="W17" s="714">
        <f>J17</f>
        <v>100</v>
      </c>
      <c r="X17" s="1508"/>
      <c r="Y17" s="3585"/>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18"/>
      <c r="M18" s="2912"/>
      <c r="N18" s="2912"/>
      <c r="O18" s="2970"/>
      <c r="P18" s="3585"/>
      <c r="Q18" s="1505"/>
      <c r="R18" s="713"/>
      <c r="S18" s="714"/>
      <c r="T18" s="713"/>
      <c r="U18" s="714"/>
      <c r="V18" s="713"/>
      <c r="W18" s="714"/>
      <c r="X18" s="1508"/>
      <c r="Y18" s="3585"/>
      <c r="Z18" s="1509"/>
      <c r="AA18" s="1506">
        <v>1</v>
      </c>
      <c r="AB18" s="1506">
        <v>1</v>
      </c>
      <c r="AC18" s="1506">
        <v>1</v>
      </c>
    </row>
    <row r="19" spans="1:29" ht="28.8">
      <c r="A19" s="386"/>
      <c r="B19" s="586" t="s">
        <v>2506</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85"/>
      <c r="Q19" s="1505" t="str">
        <f t="shared" ref="Q19:Q33" si="8">B19</f>
        <v>区域土地利用方向</v>
      </c>
      <c r="R19" s="713" t="s">
        <v>17</v>
      </c>
      <c r="S19" s="714">
        <f>F19</f>
        <v>100</v>
      </c>
      <c r="T19" s="713" t="s">
        <v>17</v>
      </c>
      <c r="U19" s="714">
        <f>H19</f>
        <v>100</v>
      </c>
      <c r="V19" s="713" t="s">
        <v>17</v>
      </c>
      <c r="W19" s="714">
        <f>J19</f>
        <v>100</v>
      </c>
      <c r="X19" s="1508"/>
      <c r="Y19" s="3585"/>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18"/>
      <c r="M20" s="2912"/>
      <c r="N20" s="2912"/>
      <c r="O20" s="2970"/>
      <c r="P20" s="3585"/>
      <c r="Q20" s="1505"/>
      <c r="R20" s="713"/>
      <c r="S20" s="714"/>
      <c r="T20" s="713"/>
      <c r="U20" s="714"/>
      <c r="V20" s="713"/>
      <c r="W20" s="714"/>
      <c r="X20" s="1508"/>
      <c r="Y20" s="3585"/>
      <c r="Z20" s="1509"/>
      <c r="AA20" s="1506"/>
      <c r="AB20" s="1506"/>
      <c r="AC20" s="1506"/>
    </row>
    <row r="21" spans="1:29" ht="82.8">
      <c r="A21" s="363"/>
      <c r="B21" s="586" t="s">
        <v>2557</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85"/>
      <c r="Q21" s="1505" t="str">
        <f t="shared" si="8"/>
        <v>环境状况</v>
      </c>
      <c r="R21" s="713" t="s">
        <v>17</v>
      </c>
      <c r="S21" s="714">
        <f>F21</f>
        <v>100</v>
      </c>
      <c r="T21" s="713" t="s">
        <v>17</v>
      </c>
      <c r="U21" s="714">
        <f>H21</f>
        <v>100</v>
      </c>
      <c r="V21" s="713" t="s">
        <v>17</v>
      </c>
      <c r="W21" s="714">
        <f>J21</f>
        <v>100</v>
      </c>
      <c r="X21" s="1508"/>
      <c r="Y21" s="3585"/>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18"/>
      <c r="M22" s="2912"/>
      <c r="N22" s="2912"/>
      <c r="O22" s="2970"/>
      <c r="P22" s="3585"/>
      <c r="Q22" s="1505"/>
      <c r="R22" s="713"/>
      <c r="S22" s="714"/>
      <c r="T22" s="713"/>
      <c r="U22" s="714"/>
      <c r="V22" s="713"/>
      <c r="W22" s="714"/>
      <c r="X22" s="1508"/>
      <c r="Y22" s="3585"/>
      <c r="Z22" s="1509"/>
      <c r="AA22" s="1506">
        <v>1</v>
      </c>
      <c r="AB22" s="1506">
        <v>1</v>
      </c>
      <c r="AC22" s="1506">
        <v>1</v>
      </c>
    </row>
    <row r="23" spans="1:29" s="112" customFormat="1" ht="41.4">
      <c r="A23" s="604"/>
      <c r="B23" s="588" t="s">
        <v>2412</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85"/>
      <c r="Q23" s="1496" t="str">
        <f t="shared" si="8"/>
        <v>公共配套设施</v>
      </c>
      <c r="R23" s="709" t="s">
        <v>17</v>
      </c>
      <c r="S23" s="710">
        <f>F23</f>
        <v>100</v>
      </c>
      <c r="T23" s="709" t="s">
        <v>17</v>
      </c>
      <c r="U23" s="710">
        <f>H23</f>
        <v>100</v>
      </c>
      <c r="V23" s="709" t="s">
        <v>17</v>
      </c>
      <c r="W23" s="710">
        <f>J23</f>
        <v>100</v>
      </c>
      <c r="X23" s="711"/>
      <c r="Y23" s="3585"/>
      <c r="Z23" s="54" t="str">
        <f>Q23</f>
        <v>公共配套设施</v>
      </c>
      <c r="AA23" s="1506">
        <f>D23/F23</f>
        <v>1</v>
      </c>
      <c r="AB23" s="1506">
        <f>D23/H23</f>
        <v>1</v>
      </c>
      <c r="AC23" s="1506">
        <f>D23/J23</f>
        <v>1</v>
      </c>
    </row>
    <row r="24" spans="1:29" s="112" customFormat="1" ht="15">
      <c r="A24" s="604"/>
      <c r="B24" s="587"/>
      <c r="C24" s="2133"/>
      <c r="D24" s="406"/>
      <c r="E24" s="2059"/>
      <c r="F24" s="406"/>
      <c r="G24" s="2059"/>
      <c r="H24" s="406"/>
      <c r="I24" s="405"/>
      <c r="J24" s="406"/>
      <c r="K24" s="627"/>
      <c r="L24" s="2913"/>
      <c r="M24" s="2914"/>
      <c r="N24" s="2914"/>
      <c r="O24" s="2968"/>
      <c r="P24" s="3585"/>
      <c r="Q24" s="1496"/>
      <c r="R24" s="709"/>
      <c r="S24" s="710"/>
      <c r="T24" s="709"/>
      <c r="U24" s="710"/>
      <c r="V24" s="709"/>
      <c r="W24" s="710"/>
      <c r="X24" s="711"/>
      <c r="Y24" s="3585"/>
      <c r="Z24" s="54"/>
      <c r="AA24" s="712">
        <v>1</v>
      </c>
      <c r="AB24" s="712">
        <v>1</v>
      </c>
      <c r="AC24" s="712">
        <v>1</v>
      </c>
    </row>
    <row r="25" spans="1:29" s="112" customFormat="1" ht="41.4">
      <c r="A25" s="604"/>
      <c r="B25" s="588" t="s">
        <v>2413</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85"/>
      <c r="Q25" s="1496" t="str">
        <f t="shared" ref="Q25" si="9">B25</f>
        <v>基础设施水平</v>
      </c>
      <c r="R25" s="709" t="s">
        <v>17</v>
      </c>
      <c r="S25" s="710">
        <f>F25</f>
        <v>100</v>
      </c>
      <c r="T25" s="709" t="s">
        <v>17</v>
      </c>
      <c r="U25" s="710">
        <f>H25</f>
        <v>100</v>
      </c>
      <c r="V25" s="709" t="s">
        <v>17</v>
      </c>
      <c r="W25" s="710">
        <f>J25</f>
        <v>100</v>
      </c>
      <c r="X25" s="711"/>
      <c r="Y25" s="3585"/>
      <c r="Z25" s="54" t="str">
        <f>Q25</f>
        <v>基础设施水平</v>
      </c>
      <c r="AA25" s="1506">
        <f>D25/F25</f>
        <v>1</v>
      </c>
      <c r="AB25" s="1506">
        <f>D25/H25</f>
        <v>1</v>
      </c>
      <c r="AC25" s="1506">
        <f>D25/J25</f>
        <v>1</v>
      </c>
    </row>
    <row r="26" spans="1:29" s="112" customFormat="1" ht="15">
      <c r="A26" s="604"/>
      <c r="B26" s="587"/>
      <c r="C26" s="2133"/>
      <c r="D26" s="406"/>
      <c r="E26" s="2134"/>
      <c r="F26" s="406"/>
      <c r="G26" s="2134"/>
      <c r="H26" s="406"/>
      <c r="I26" s="2134"/>
      <c r="J26" s="406"/>
      <c r="K26" s="627"/>
      <c r="L26" s="2913"/>
      <c r="M26" s="2914"/>
      <c r="N26" s="2914"/>
      <c r="O26" s="2968"/>
      <c r="P26" s="3585"/>
      <c r="Q26" s="1496"/>
      <c r="R26" s="709"/>
      <c r="S26" s="710"/>
      <c r="T26" s="709"/>
      <c r="U26" s="710"/>
      <c r="V26" s="709"/>
      <c r="W26" s="710"/>
      <c r="X26" s="711"/>
      <c r="Y26" s="3585"/>
      <c r="Z26" s="54"/>
      <c r="AA26" s="712">
        <v>1</v>
      </c>
      <c r="AB26" s="712">
        <v>1</v>
      </c>
      <c r="AC26" s="712">
        <v>1</v>
      </c>
    </row>
    <row r="27" spans="1:29" ht="15">
      <c r="A27" s="386"/>
      <c r="B27" s="587" t="s">
        <v>2414</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85"/>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585"/>
      <c r="Z27" s="1509" t="str">
        <f t="shared" ref="Z27:Z40" si="13">Q27</f>
        <v>临街状况</v>
      </c>
      <c r="AA27" s="1506">
        <f t="shared" si="3"/>
        <v>1</v>
      </c>
      <c r="AB27" s="1506">
        <f t="shared" si="4"/>
        <v>1</v>
      </c>
      <c r="AC27" s="1506">
        <f t="shared" si="5"/>
        <v>1</v>
      </c>
    </row>
    <row r="28" spans="1:29" ht="28.8">
      <c r="A28" s="386"/>
      <c r="B28" s="588" t="s">
        <v>2449</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85"/>
      <c r="Q28" s="1505" t="str">
        <f t="shared" si="8"/>
        <v>毗邻道路的类型与等级</v>
      </c>
      <c r="R28" s="713" t="s">
        <v>17</v>
      </c>
      <c r="S28" s="714">
        <f t="shared" si="10"/>
        <v>100</v>
      </c>
      <c r="T28" s="713" t="s">
        <v>17</v>
      </c>
      <c r="U28" s="714">
        <f t="shared" si="11"/>
        <v>100</v>
      </c>
      <c r="V28" s="713" t="s">
        <v>17</v>
      </c>
      <c r="W28" s="714">
        <f t="shared" si="12"/>
        <v>100</v>
      </c>
      <c r="X28" s="1508"/>
      <c r="Y28" s="3585"/>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18"/>
      <c r="M29" s="2912"/>
      <c r="N29" s="2912"/>
      <c r="O29" s="2970"/>
      <c r="P29" s="3585"/>
      <c r="Q29" s="1505"/>
      <c r="R29" s="713"/>
      <c r="S29" s="714"/>
      <c r="T29" s="713"/>
      <c r="U29" s="714"/>
      <c r="V29" s="713"/>
      <c r="W29" s="714"/>
      <c r="X29" s="1508"/>
      <c r="Y29" s="3585"/>
      <c r="Z29" s="1509"/>
      <c r="AA29" s="1506">
        <v>1</v>
      </c>
      <c r="AB29" s="1506">
        <v>1</v>
      </c>
      <c r="AC29" s="1506">
        <v>1</v>
      </c>
    </row>
    <row r="30" spans="1:29" ht="15">
      <c r="A30" s="386"/>
      <c r="B30" s="609" t="s">
        <v>2508</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85"/>
      <c r="Q30" s="1505" t="str">
        <f t="shared" si="8"/>
        <v>土地级别</v>
      </c>
      <c r="R30" s="713" t="s">
        <v>17</v>
      </c>
      <c r="S30" s="714">
        <f t="shared" si="10"/>
        <v>100</v>
      </c>
      <c r="T30" s="713" t="s">
        <v>17</v>
      </c>
      <c r="U30" s="714">
        <f t="shared" si="11"/>
        <v>100</v>
      </c>
      <c r="V30" s="713" t="s">
        <v>17</v>
      </c>
      <c r="W30" s="714">
        <f t="shared" si="12"/>
        <v>100</v>
      </c>
      <c r="X30" s="1508"/>
      <c r="Y30" s="3585"/>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85"/>
      <c r="Q31" s="1505">
        <f t="shared" si="8"/>
        <v>111</v>
      </c>
      <c r="R31" s="713" t="s">
        <v>17</v>
      </c>
      <c r="S31" s="714">
        <f t="shared" si="10"/>
        <v>100</v>
      </c>
      <c r="T31" s="713" t="s">
        <v>17</v>
      </c>
      <c r="U31" s="714">
        <f t="shared" si="11"/>
        <v>100</v>
      </c>
      <c r="V31" s="713" t="s">
        <v>17</v>
      </c>
      <c r="W31" s="714">
        <f t="shared" si="12"/>
        <v>100</v>
      </c>
      <c r="X31" s="1508"/>
      <c r="Y31" s="3585"/>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608" t="s">
        <v>2323</v>
      </c>
      <c r="Q32" s="1505">
        <f t="shared" si="8"/>
        <v>111</v>
      </c>
      <c r="R32" s="713" t="s">
        <v>17</v>
      </c>
      <c r="S32" s="714">
        <f t="shared" si="10"/>
        <v>100</v>
      </c>
      <c r="T32" s="713" t="s">
        <v>17</v>
      </c>
      <c r="U32" s="714">
        <f t="shared" si="11"/>
        <v>100</v>
      </c>
      <c r="V32" s="713" t="s">
        <v>17</v>
      </c>
      <c r="W32" s="714">
        <f t="shared" si="12"/>
        <v>100</v>
      </c>
      <c r="X32" s="1508"/>
      <c r="Y32" s="3589" t="s">
        <v>2323</v>
      </c>
      <c r="Z32" s="1509">
        <f t="shared" si="13"/>
        <v>111</v>
      </c>
      <c r="AA32" s="1506">
        <f t="shared" si="3"/>
        <v>1</v>
      </c>
      <c r="AB32" s="1506">
        <f t="shared" si="4"/>
        <v>1</v>
      </c>
      <c r="AC32" s="1506">
        <f t="shared" si="5"/>
        <v>1</v>
      </c>
    </row>
    <row r="33" spans="1:31" s="429" customFormat="1" ht="15.6"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89"/>
      <c r="Q33" s="1505">
        <f t="shared" si="8"/>
        <v>111</v>
      </c>
      <c r="R33" s="716" t="s">
        <v>17</v>
      </c>
      <c r="S33" s="717">
        <f t="shared" si="10"/>
        <v>100</v>
      </c>
      <c r="T33" s="716" t="s">
        <v>17</v>
      </c>
      <c r="U33" s="717">
        <f t="shared" si="11"/>
        <v>100</v>
      </c>
      <c r="V33" s="716" t="s">
        <v>17</v>
      </c>
      <c r="W33" s="717">
        <f t="shared" si="12"/>
        <v>100</v>
      </c>
      <c r="X33" s="718"/>
      <c r="Y33" s="3589"/>
      <c r="Z33" s="719">
        <f t="shared" si="13"/>
        <v>111</v>
      </c>
      <c r="AA33" s="1506">
        <f t="shared" si="3"/>
        <v>1</v>
      </c>
      <c r="AB33" s="1506">
        <f t="shared" si="4"/>
        <v>1</v>
      </c>
      <c r="AC33" s="1506">
        <f t="shared" si="5"/>
        <v>1</v>
      </c>
    </row>
    <row r="34" spans="1:31" ht="15">
      <c r="A34" s="398" t="s">
        <v>2321</v>
      </c>
      <c r="B34" s="414" t="s">
        <v>2509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89"/>
      <c r="Q34" s="1505" t="str">
        <f>B34</f>
        <v>宗地面积</v>
      </c>
      <c r="R34" s="713" t="s">
        <v>17</v>
      </c>
      <c r="S34" s="714" t="e">
        <f t="shared" si="10"/>
        <v>#N/A</v>
      </c>
      <c r="T34" s="713" t="s">
        <v>17</v>
      </c>
      <c r="U34" s="714" t="e">
        <f t="shared" si="11"/>
        <v>#N/A</v>
      </c>
      <c r="V34" s="713" t="s">
        <v>17</v>
      </c>
      <c r="W34" s="714" t="e">
        <f t="shared" si="12"/>
        <v>#N/A</v>
      </c>
      <c r="X34" s="1508"/>
      <c r="Y34" s="3589"/>
      <c r="Z34" s="1509" t="str">
        <f t="shared" si="13"/>
        <v>宗地面积</v>
      </c>
      <c r="AA34" s="1506" t="e">
        <f t="shared" si="3"/>
        <v>#N/A</v>
      </c>
      <c r="AB34" s="1506" t="e">
        <f t="shared" si="4"/>
        <v>#N/A</v>
      </c>
      <c r="AC34" s="1506" t="e">
        <f t="shared" si="5"/>
        <v>#N/A</v>
      </c>
    </row>
    <row r="35" spans="1:31" ht="15">
      <c r="A35" s="430"/>
      <c r="B35" s="380" t="s">
        <v>2510</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18"/>
      <c r="M35" s="2912"/>
      <c r="N35" s="2912"/>
      <c r="O35" s="2970"/>
      <c r="P35" s="3589"/>
      <c r="Q35" s="1505" t="str">
        <f t="shared" ref="Q35:Q40" si="14">B35</f>
        <v>宗地形状</v>
      </c>
      <c r="R35" s="713" t="s">
        <v>17</v>
      </c>
      <c r="S35" s="714">
        <f t="shared" si="10"/>
        <v>100</v>
      </c>
      <c r="T35" s="713" t="s">
        <v>17</v>
      </c>
      <c r="U35" s="714">
        <f t="shared" si="11"/>
        <v>100</v>
      </c>
      <c r="V35" s="713" t="s">
        <v>17</v>
      </c>
      <c r="W35" s="714">
        <f t="shared" si="12"/>
        <v>100</v>
      </c>
      <c r="X35" s="1508"/>
      <c r="Y35" s="3589"/>
      <c r="Z35" s="1509" t="str">
        <f t="shared" si="13"/>
        <v>宗地形状</v>
      </c>
      <c r="AA35" s="1506">
        <f t="shared" si="3"/>
        <v>1</v>
      </c>
      <c r="AB35" s="1506">
        <f t="shared" si="4"/>
        <v>1</v>
      </c>
      <c r="AC35" s="1506">
        <f t="shared" si="5"/>
        <v>1</v>
      </c>
    </row>
    <row r="36" spans="1:31" s="112" customFormat="1" ht="15">
      <c r="A36" s="431"/>
      <c r="B36" s="380" t="s">
        <v>2512</v>
      </c>
      <c r="C36" s="2135"/>
      <c r="D36" s="131">
        <v>100</v>
      </c>
      <c r="E36" s="2135"/>
      <c r="F36" s="393">
        <f>SUMIF(112:112,E36,113:113)-SUMIF(112:112,C36,113:113)+100</f>
        <v>100</v>
      </c>
      <c r="G36" s="2135"/>
      <c r="H36" s="393">
        <f>SUMIF(112:112,G36,113:113)-SUMIF(112:112,C36,113:113)+100</f>
        <v>100</v>
      </c>
      <c r="I36" s="2135"/>
      <c r="J36" s="393">
        <f>SUMIF(112:112,I36,113:113)-SUMIF(112:112,C36,113:113)+100</f>
        <v>100</v>
      </c>
      <c r="K36" s="568"/>
      <c r="L36" s="2913"/>
      <c r="M36" s="2914"/>
      <c r="N36" s="2914"/>
      <c r="O36" s="2968"/>
      <c r="P36" s="3589"/>
      <c r="Q36" s="1505" t="str">
        <f t="shared" si="14"/>
        <v>宗地开发程度</v>
      </c>
      <c r="R36" s="709" t="s">
        <v>17</v>
      </c>
      <c r="S36" s="710">
        <f t="shared" si="10"/>
        <v>100</v>
      </c>
      <c r="T36" s="709" t="s">
        <v>17</v>
      </c>
      <c r="U36" s="710">
        <f t="shared" si="11"/>
        <v>100</v>
      </c>
      <c r="V36" s="709" t="s">
        <v>17</v>
      </c>
      <c r="W36" s="710">
        <f t="shared" si="12"/>
        <v>100</v>
      </c>
      <c r="X36" s="711"/>
      <c r="Y36" s="3589"/>
      <c r="Z36" s="54" t="str">
        <f t="shared" si="13"/>
        <v>宗地开发程度</v>
      </c>
      <c r="AA36" s="712">
        <f t="shared" si="3"/>
        <v>1</v>
      </c>
      <c r="AB36" s="712">
        <f t="shared" si="4"/>
        <v>1</v>
      </c>
      <c r="AC36" s="712">
        <f t="shared" si="5"/>
        <v>1</v>
      </c>
    </row>
    <row r="37" spans="1:31" ht="15">
      <c r="A37" s="430"/>
      <c r="B37" s="380" t="s">
        <v>2513</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18"/>
      <c r="M37" s="2912"/>
      <c r="N37" s="2912"/>
      <c r="O37" s="2970"/>
      <c r="P37" s="3589" t="s">
        <v>2323</v>
      </c>
      <c r="Q37" s="1505" t="str">
        <f t="shared" si="14"/>
        <v>工程地质条件</v>
      </c>
      <c r="R37" s="713" t="s">
        <v>17</v>
      </c>
      <c r="S37" s="714">
        <f t="shared" si="10"/>
        <v>100</v>
      </c>
      <c r="T37" s="713" t="s">
        <v>17</v>
      </c>
      <c r="U37" s="714">
        <f t="shared" si="11"/>
        <v>100</v>
      </c>
      <c r="V37" s="713" t="s">
        <v>17</v>
      </c>
      <c r="W37" s="714">
        <f t="shared" si="12"/>
        <v>100</v>
      </c>
      <c r="X37" s="1508"/>
      <c r="Y37" s="3589" t="s">
        <v>2323</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89"/>
      <c r="Q38" s="1505">
        <f t="shared" si="14"/>
        <v>111</v>
      </c>
      <c r="R38" s="713" t="s">
        <v>17</v>
      </c>
      <c r="S38" s="714">
        <f t="shared" si="10"/>
        <v>100</v>
      </c>
      <c r="T38" s="713" t="s">
        <v>17</v>
      </c>
      <c r="U38" s="714">
        <f t="shared" si="11"/>
        <v>100</v>
      </c>
      <c r="V38" s="713" t="s">
        <v>17</v>
      </c>
      <c r="W38" s="714">
        <f t="shared" si="12"/>
        <v>100</v>
      </c>
      <c r="X38" s="1508"/>
      <c r="Y38" s="3589"/>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89"/>
      <c r="Q39" s="1505">
        <f t="shared" si="14"/>
        <v>111</v>
      </c>
      <c r="R39" s="713" t="s">
        <v>17</v>
      </c>
      <c r="S39" s="714">
        <f t="shared" si="10"/>
        <v>100</v>
      </c>
      <c r="T39" s="713" t="s">
        <v>17</v>
      </c>
      <c r="U39" s="714">
        <f t="shared" si="11"/>
        <v>100</v>
      </c>
      <c r="V39" s="713" t="s">
        <v>17</v>
      </c>
      <c r="W39" s="714">
        <f t="shared" si="12"/>
        <v>100</v>
      </c>
      <c r="X39" s="1508"/>
      <c r="Y39" s="3589"/>
      <c r="Z39" s="1509">
        <f t="shared" si="13"/>
        <v>111</v>
      </c>
      <c r="AA39" s="1506">
        <f t="shared" si="3"/>
        <v>1</v>
      </c>
      <c r="AB39" s="1506">
        <f t="shared" si="4"/>
        <v>1</v>
      </c>
      <c r="AC39" s="1506">
        <f t="shared" si="5"/>
        <v>1</v>
      </c>
    </row>
    <row r="40" spans="1:31" s="429" customFormat="1" ht="15.6"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89"/>
      <c r="Q40" s="1505">
        <f t="shared" si="14"/>
        <v>111</v>
      </c>
      <c r="R40" s="716" t="s">
        <v>17</v>
      </c>
      <c r="S40" s="717">
        <f t="shared" si="10"/>
        <v>100</v>
      </c>
      <c r="T40" s="716" t="s">
        <v>17</v>
      </c>
      <c r="U40" s="717">
        <f t="shared" si="11"/>
        <v>100</v>
      </c>
      <c r="V40" s="716" t="s">
        <v>17</v>
      </c>
      <c r="W40" s="717">
        <f t="shared" si="12"/>
        <v>100</v>
      </c>
      <c r="X40" s="718"/>
      <c r="Y40" s="3589"/>
      <c r="Z40" s="719">
        <f t="shared" si="13"/>
        <v>111</v>
      </c>
      <c r="AA40" s="1506">
        <f t="shared" si="3"/>
        <v>1</v>
      </c>
      <c r="AB40" s="1506">
        <f t="shared" si="4"/>
        <v>1</v>
      </c>
      <c r="AC40" s="1506">
        <f t="shared" si="5"/>
        <v>1</v>
      </c>
    </row>
    <row r="41" spans="1:31" ht="14.4">
      <c r="A41" s="437" t="s">
        <v>2478</v>
      </c>
      <c r="B41" s="2137" t="s">
        <v>2558</v>
      </c>
      <c r="C41" s="637" t="s">
        <v>1</v>
      </c>
      <c r="D41" s="439"/>
      <c r="E41" s="440"/>
      <c r="F41" s="441"/>
      <c r="G41" s="442"/>
      <c r="H41" s="443"/>
      <c r="I41" s="440"/>
      <c r="J41" s="443"/>
      <c r="K41" s="722"/>
      <c r="L41" s="2920"/>
      <c r="M41" s="2912"/>
      <c r="N41" s="2912"/>
      <c r="O41" s="2921"/>
      <c r="P41" s="3582" t="str">
        <f>A41</f>
        <v>成交单价</v>
      </c>
      <c r="Q41" s="3582"/>
      <c r="R41" s="3577">
        <f>E41</f>
        <v>0</v>
      </c>
      <c r="S41" s="3577"/>
      <c r="T41" s="3577">
        <f>G41</f>
        <v>0</v>
      </c>
      <c r="U41" s="3577"/>
      <c r="V41" s="3577">
        <f>I41</f>
        <v>0</v>
      </c>
      <c r="W41" s="3577"/>
      <c r="X41" s="698"/>
      <c r="Y41" s="720"/>
      <c r="Z41" s="698"/>
      <c r="AA41" s="698"/>
      <c r="AB41" s="698"/>
      <c r="AC41" s="698"/>
    </row>
    <row r="42" spans="1:31" ht="15" thickBot="1">
      <c r="A42" s="444" t="s">
        <v>2427</v>
      </c>
      <c r="B42" s="638"/>
      <c r="C42" s="447" t="e">
        <f>R43</f>
        <v>#DIV/0!</v>
      </c>
      <c r="D42" s="2507" t="s">
        <v>2816</v>
      </c>
      <c r="E42" s="447" t="e">
        <f>R42</f>
        <v>#DIV/0!</v>
      </c>
      <c r="F42" s="2508"/>
      <c r="G42" s="446" t="e">
        <f>T42</f>
        <v>#DIV/0!</v>
      </c>
      <c r="H42" s="2508"/>
      <c r="I42" s="447" t="e">
        <f>V42</f>
        <v>#DIV/0!</v>
      </c>
      <c r="J42" s="2508"/>
      <c r="K42" s="2510">
        <f>F42+H42+J42</f>
        <v>0</v>
      </c>
      <c r="L42" s="2920"/>
      <c r="M42" s="2912"/>
      <c r="N42" s="2912"/>
      <c r="O42" s="2921"/>
      <c r="P42" s="3582" t="str">
        <f>A42</f>
        <v>比较价值（元/平方米）</v>
      </c>
      <c r="Q42" s="3582"/>
      <c r="R42" s="3610" t="e">
        <f>ROUND(PRODUCT(R41,AA7:AA40),0)</f>
        <v>#DIV/0!</v>
      </c>
      <c r="S42" s="3610"/>
      <c r="T42" s="3610" t="e">
        <f>ROUND(PRODUCT(T41,AB7:AB40),0)</f>
        <v>#DIV/0!</v>
      </c>
      <c r="U42" s="3610"/>
      <c r="V42" s="3610" t="e">
        <f>ROUND(PRODUCT(V41,AC7:AC40),0)</f>
        <v>#DIV/0!</v>
      </c>
      <c r="W42" s="3610"/>
      <c r="X42" s="698"/>
      <c r="Y42" s="698"/>
      <c r="Z42" s="698"/>
      <c r="AA42" s="698"/>
      <c r="AB42" s="698"/>
      <c r="AC42" s="698"/>
    </row>
    <row r="43" spans="1:31" ht="15" thickBot="1">
      <c r="A43" s="448" t="s">
        <v>2428</v>
      </c>
      <c r="B43" s="449"/>
      <c r="C43" s="450" t="e">
        <f>R43</f>
        <v>#DIV/0!</v>
      </c>
      <c r="D43" s="450"/>
      <c r="E43" s="450"/>
      <c r="F43" s="450"/>
      <c r="G43" s="450"/>
      <c r="H43" s="450"/>
      <c r="I43" s="450"/>
      <c r="J43" s="450"/>
      <c r="K43" s="723"/>
      <c r="L43" s="2920"/>
      <c r="M43" s="2912"/>
      <c r="N43" s="2912"/>
      <c r="O43" s="2921"/>
      <c r="P43" s="3579" t="str">
        <f>A43</f>
        <v>估价对象XX用房的比较价值（楼面单价，元/平方米）</v>
      </c>
      <c r="Q43" s="3580"/>
      <c r="R43" s="3611" t="e">
        <f>ROUND(IF(D42="简单平均",AVERAGE(R42:W42),R42*F42+T42*H42+V42*J42),0)</f>
        <v>#DIV/0!</v>
      </c>
      <c r="S43" s="3611"/>
      <c r="T43" s="3611"/>
      <c r="U43" s="3611"/>
      <c r="V43" s="3611"/>
      <c r="W43" s="3611"/>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2429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4.4"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8">
      <c r="A50" s="639" t="s">
        <v>2516</v>
      </c>
      <c r="B50" s="640" t="s">
        <v>2517</v>
      </c>
      <c r="C50" s="2138" t="s">
        <v>2518</v>
      </c>
      <c r="D50" s="2139" t="s">
        <v>2519</v>
      </c>
      <c r="E50" s="641" t="s">
        <v>2520</v>
      </c>
      <c r="F50" s="642" t="s">
        <v>2521</v>
      </c>
      <c r="G50" s="3565" t="s">
        <v>2522</v>
      </c>
      <c r="H50" s="3612"/>
      <c r="I50" s="1509" t="s">
        <v>2559</v>
      </c>
      <c r="J50" s="1509">
        <f>项目基本情况!F35</f>
        <v>0</v>
      </c>
      <c r="K50" s="2141"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2525</v>
      </c>
      <c r="B51" s="644" t="e">
        <f>C43</f>
        <v>#DIV/0!</v>
      </c>
      <c r="C51" s="645">
        <v>1</v>
      </c>
      <c r="D51" s="1074">
        <v>1</v>
      </c>
      <c r="E51" s="645">
        <f>'数据-汇总表'!E8+'数据-汇总表'!E9</f>
        <v>17650.910000000003</v>
      </c>
      <c r="F51" s="646" t="e">
        <f t="shared" ref="F51:F60" si="15">ROUND(B51*E51/10000,0)</f>
        <v>#DIV/0!</v>
      </c>
      <c r="G51" s="3564"/>
      <c r="H51" s="3582"/>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2526</v>
      </c>
      <c r="B52" s="223" t="e">
        <f>ROUND($C$43*C52*D52,0)</f>
        <v>#DIV/0!</v>
      </c>
      <c r="C52" s="175">
        <f t="shared" ref="C52:C60" si="16">IF($C$50="北京市系数",I52,J52)</f>
        <v>0.7</v>
      </c>
      <c r="D52" s="1075">
        <v>0.25</v>
      </c>
      <c r="E52" s="649"/>
      <c r="F52" s="646" t="e">
        <f t="shared" si="15"/>
        <v>#DIV/0!</v>
      </c>
      <c r="G52" s="3613" t="s">
        <v>2527</v>
      </c>
      <c r="H52" s="1017" t="str">
        <f>项目基本情况!B37</f>
        <v>六级</v>
      </c>
      <c r="I52" s="878">
        <f>SUMIF(修正!A45:A56,H52,修正!B45:B56)</f>
        <v>0.7</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2528</v>
      </c>
      <c r="B53" s="223" t="e">
        <f t="shared" ref="B53:B60" si="17">ROUND($C$43*C53*D53,0)</f>
        <v>#DIV/0!</v>
      </c>
      <c r="C53" s="175">
        <f t="shared" si="16"/>
        <v>0.4</v>
      </c>
      <c r="D53" s="1075">
        <v>0.25</v>
      </c>
      <c r="E53" s="649"/>
      <c r="F53" s="646" t="e">
        <f t="shared" si="15"/>
        <v>#DIV/0!</v>
      </c>
      <c r="G53" s="3613"/>
      <c r="H53" s="1017" t="str">
        <f>项目基本情况!B37</f>
        <v>六级</v>
      </c>
      <c r="I53" s="878">
        <f>SUMIF(修正!A45:A56,H53,修正!C45:C56)</f>
        <v>0.4</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2529</v>
      </c>
      <c r="B54" s="223" t="e">
        <f t="shared" si="17"/>
        <v>#DIV/0!</v>
      </c>
      <c r="C54" s="175">
        <f t="shared" si="16"/>
        <v>0.28000000000000003</v>
      </c>
      <c r="D54" s="1075">
        <v>0.25</v>
      </c>
      <c r="E54" s="649"/>
      <c r="F54" s="646" t="e">
        <f t="shared" si="15"/>
        <v>#DIV/0!</v>
      </c>
      <c r="G54" s="3613"/>
      <c r="H54" s="1017" t="str">
        <f>项目基本情况!B37</f>
        <v>六级</v>
      </c>
      <c r="I54" s="878">
        <f>SUMIF(修正!A45:A56,H54,修正!D45:D56)</f>
        <v>0.28000000000000003</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2530</v>
      </c>
      <c r="B55" s="223" t="e">
        <f t="shared" si="17"/>
        <v>#DIV/0!</v>
      </c>
      <c r="C55" s="175">
        <f t="shared" si="16"/>
        <v>0.25</v>
      </c>
      <c r="D55" s="1075">
        <v>0.25</v>
      </c>
      <c r="E55" s="649"/>
      <c r="F55" s="646" t="e">
        <f t="shared" si="15"/>
        <v>#DIV/0!</v>
      </c>
      <c r="G55" s="3613"/>
      <c r="H55" s="1017" t="str">
        <f>项目基本情况!B37</f>
        <v>六级</v>
      </c>
      <c r="I55" s="878">
        <f>SUMIF(修正!A45:A56,H55,修正!E45:E56)</f>
        <v>0.25</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2531</v>
      </c>
      <c r="B56" s="223" t="e">
        <f t="shared" si="17"/>
        <v>#DIV/0!</v>
      </c>
      <c r="C56" s="175">
        <f t="shared" si="16"/>
        <v>0</v>
      </c>
      <c r="D56" s="1075">
        <v>0.25</v>
      </c>
      <c r="E56" s="222">
        <f>'数据-汇总表'!E11</f>
        <v>0</v>
      </c>
      <c r="F56" s="646" t="e">
        <f t="shared" si="15"/>
        <v>#DIV/0!</v>
      </c>
      <c r="G56" s="2142" t="s">
        <v>2532</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2533</v>
      </c>
      <c r="B57" s="223" t="e">
        <f t="shared" si="17"/>
        <v>#DIV/0!</v>
      </c>
      <c r="C57" s="175">
        <f t="shared" si="16"/>
        <v>0</v>
      </c>
      <c r="D57" s="1075">
        <v>0.25</v>
      </c>
      <c r="E57" s="222">
        <f>'数据-汇总表'!E12</f>
        <v>0</v>
      </c>
      <c r="F57" s="646" t="e">
        <f t="shared" si="15"/>
        <v>#DIV/0!</v>
      </c>
      <c r="G57" s="1022" t="s">
        <v>2534</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2535</v>
      </c>
      <c r="B58" s="223" t="e">
        <f t="shared" si="17"/>
        <v>#DIV/0!</v>
      </c>
      <c r="C58" s="175">
        <f t="shared" si="16"/>
        <v>0</v>
      </c>
      <c r="D58" s="1075">
        <v>0.25</v>
      </c>
      <c r="E58" s="222">
        <f>'数据-汇总表'!E13</f>
        <v>0</v>
      </c>
      <c r="F58" s="646" t="e">
        <f t="shared" si="15"/>
        <v>#DIV/0!</v>
      </c>
      <c r="G58" s="1022" t="s">
        <v>2536</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2537</v>
      </c>
      <c r="B59" s="223" t="e">
        <f t="shared" si="17"/>
        <v>#DIV/0!</v>
      </c>
      <c r="C59" s="175">
        <f t="shared" si="16"/>
        <v>0.2</v>
      </c>
      <c r="D59" s="1075">
        <v>0.25</v>
      </c>
      <c r="E59" s="222">
        <f>'数据-汇总表'!E14</f>
        <v>0</v>
      </c>
      <c r="F59" s="646" t="e">
        <f t="shared" si="15"/>
        <v>#DIV/0!</v>
      </c>
      <c r="G59" s="2142" t="s">
        <v>2527</v>
      </c>
      <c r="H59" s="1017" t="str">
        <f>项目基本情况!B37</f>
        <v>六级</v>
      </c>
      <c r="I59" s="878">
        <f>SUMIF(修正!A45:A56,H59,修正!H45:H56)</f>
        <v>0.2</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4.4" thickBot="1">
      <c r="A60" s="648" t="s">
        <v>2538</v>
      </c>
      <c r="B60" s="223" t="e">
        <f t="shared" si="17"/>
        <v>#DIV/0!</v>
      </c>
      <c r="C60" s="175">
        <f t="shared" si="16"/>
        <v>0</v>
      </c>
      <c r="D60" s="1075">
        <v>0.25</v>
      </c>
      <c r="E60" s="222">
        <f>'数据-汇总表'!E15</f>
        <v>0</v>
      </c>
      <c r="F60" s="646" t="e">
        <f t="shared" si="15"/>
        <v>#DIV/0!</v>
      </c>
      <c r="G60" s="2143" t="s">
        <v>2532</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4.4" thickBot="1">
      <c r="A61" s="650" t="s">
        <v>2539</v>
      </c>
      <c r="B61" s="651" t="s">
        <v>28</v>
      </c>
      <c r="C61" s="651" t="s">
        <v>29</v>
      </c>
      <c r="D61" s="651" t="s">
        <v>997</v>
      </c>
      <c r="E61" s="651">
        <f>IF(B41="楼面地价",SUM(E51:E60),'数据-汇总表'!D3)</f>
        <v>6303.9</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1"/>
      <c r="Q63" s="2921"/>
      <c r="R63" s="2921"/>
      <c r="S63" s="2921"/>
      <c r="T63" s="2921"/>
      <c r="U63" s="2921"/>
      <c r="V63" s="2921"/>
      <c r="W63" s="2921"/>
      <c r="X63" s="2921"/>
      <c r="Y63" s="2921"/>
      <c r="Z63" s="2921"/>
      <c r="AA63" s="2921"/>
      <c r="AB63" s="2921"/>
      <c r="AC63" s="2921"/>
      <c r="AD63" s="2921"/>
      <c r="AE63" s="2921"/>
    </row>
    <row r="64" spans="1:31" ht="22.2" thickBot="1">
      <c r="A64" s="702" t="s">
        <v>2432</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4.4">
      <c r="A65" s="2144" t="s">
        <v>2540</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2"/>
      <c r="Q65" s="2937"/>
      <c r="R65" s="2937"/>
      <c r="S65" s="2937"/>
      <c r="T65" s="2937"/>
      <c r="U65" s="2937"/>
      <c r="V65" s="2937"/>
      <c r="W65" s="2937"/>
      <c r="X65" s="2937"/>
      <c r="Y65" s="2937"/>
      <c r="Z65" s="2937"/>
      <c r="AA65" s="2937"/>
      <c r="AB65" s="2937"/>
      <c r="AC65" s="2937"/>
      <c r="AD65" s="2937"/>
      <c r="AE65" s="2937"/>
    </row>
    <row r="66" spans="1:31" s="112" customFormat="1" ht="30.75" customHeight="1">
      <c r="A66" s="2149" t="s">
        <v>2560</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35"/>
      <c r="Q66" s="2855"/>
      <c r="R66" s="2855"/>
      <c r="S66" s="2855"/>
      <c r="T66" s="2855"/>
      <c r="U66" s="2855"/>
      <c r="V66" s="2855"/>
      <c r="W66" s="2855"/>
      <c r="X66" s="2855"/>
      <c r="Y66" s="2855"/>
      <c r="Z66" s="2855"/>
      <c r="AA66" s="2855"/>
      <c r="AB66" s="2855"/>
      <c r="AC66" s="2855"/>
      <c r="AD66" s="2855"/>
      <c r="AE66" s="2855"/>
    </row>
    <row r="67" spans="1:31" s="112" customFormat="1" ht="15" thickBot="1">
      <c r="A67" s="471" t="s">
        <v>2343</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2" customFormat="1" ht="14.4">
      <c r="A68" s="477" t="s">
        <v>2308</v>
      </c>
      <c r="B68" s="466"/>
      <c r="C68" s="478" t="s">
        <v>2410</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2" customFormat="1" ht="14.4"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ht="14.4">
      <c r="A70" s="483" t="s">
        <v>2346</v>
      </c>
      <c r="B70" s="484" t="s">
        <v>2312</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4.4"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9.4" thickTop="1">
      <c r="A72" s="490"/>
      <c r="B72" s="494" t="s">
        <v>2315</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4.4"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 thickTop="1">
      <c r="A74" s="490"/>
      <c r="B74" s="502" t="s">
        <v>2316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4.4"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4.4"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4.4"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4.4"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4.4"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4.4"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ht="14.4">
      <c r="A83" s="483" t="s">
        <v>2317</v>
      </c>
      <c r="B83" s="484" t="s">
        <v>2463</v>
      </c>
      <c r="C83" s="529" t="s">
        <v>2355</v>
      </c>
      <c r="D83" s="529" t="s">
        <v>2356</v>
      </c>
      <c r="E83" s="529" t="s">
        <v>2357</v>
      </c>
      <c r="F83" s="529" t="s">
        <v>2358</v>
      </c>
      <c r="G83" s="529" t="s">
        <v>2359</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 thickTop="1">
      <c r="A85" s="490"/>
      <c r="B85" s="494" t="s">
        <v>2360</v>
      </c>
      <c r="C85" s="534" t="s">
        <v>2355</v>
      </c>
      <c r="D85" s="534" t="s">
        <v>2356</v>
      </c>
      <c r="E85" s="534" t="s">
        <v>2357</v>
      </c>
      <c r="F85" s="534" t="s">
        <v>2358</v>
      </c>
      <c r="G85" s="534" t="s">
        <v>2359</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2" customFormat="1" ht="29.4" thickTop="1">
      <c r="A87" s="535"/>
      <c r="B87" s="494" t="s">
        <v>2543</v>
      </c>
      <c r="C87" s="529" t="s">
        <v>2355</v>
      </c>
      <c r="D87" s="529" t="s">
        <v>2356</v>
      </c>
      <c r="E87" s="529" t="s">
        <v>2357</v>
      </c>
      <c r="F87" s="529" t="s">
        <v>2358</v>
      </c>
      <c r="G87" s="529" t="s">
        <v>2359</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2" customFormat="1" ht="29.4" thickTop="1">
      <c r="A89" s="535"/>
      <c r="B89" s="494" t="s">
        <v>2544</v>
      </c>
      <c r="C89" s="529" t="s">
        <v>2355</v>
      </c>
      <c r="D89" s="529" t="s">
        <v>2356</v>
      </c>
      <c r="E89" s="529" t="s">
        <v>2357</v>
      </c>
      <c r="F89" s="529" t="s">
        <v>2358</v>
      </c>
      <c r="G89" s="529" t="s">
        <v>2359</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 thickTop="1">
      <c r="A91" s="509"/>
      <c r="B91" s="494" t="s">
        <v>2412</v>
      </c>
      <c r="C91" s="529" t="s">
        <v>2355</v>
      </c>
      <c r="D91" s="529" t="s">
        <v>2356</v>
      </c>
      <c r="E91" s="529" t="s">
        <v>2357</v>
      </c>
      <c r="F91" s="529" t="s">
        <v>2358</v>
      </c>
      <c r="G91" s="529" t="s">
        <v>2359</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 thickTop="1">
      <c r="A93" s="509"/>
      <c r="B93" s="502" t="s">
        <v>2561</v>
      </c>
      <c r="C93" s="615" t="s">
        <v>2433</v>
      </c>
      <c r="D93" s="615" t="s">
        <v>2434</v>
      </c>
      <c r="E93" s="615" t="s">
        <v>2435</v>
      </c>
      <c r="F93" s="615" t="s">
        <v>2436</v>
      </c>
      <c r="G93" s="615" t="s">
        <v>2437</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 thickTop="1">
      <c r="A95" s="490"/>
      <c r="B95" s="494" t="str">
        <f>B27</f>
        <v>临街状况</v>
      </c>
      <c r="C95" s="495" t="s">
        <v>2545</v>
      </c>
      <c r="D95" s="495" t="s">
        <v>2546</v>
      </c>
      <c r="E95" s="495" t="s">
        <v>2547</v>
      </c>
      <c r="F95" s="495" t="s">
        <v>2548</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9.4" thickTop="1">
      <c r="A97" s="490"/>
      <c r="B97" s="494" t="s">
        <v>2449</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 thickTop="1">
      <c r="A99" s="490"/>
      <c r="B99" s="494" t="s">
        <v>2508</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4.4"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4.4"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4.4"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4.4"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4.4"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4.4"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14.4">
      <c r="A107" s="483" t="s">
        <v>2321</v>
      </c>
      <c r="B107" s="484" t="s">
        <v>2549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4.4"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2550</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2552</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2553</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4.4"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4.4"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4.4"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4.4"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4.4"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4.4"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18" t="s">
        <v>183</v>
      </c>
      <c r="B18" s="820" t="s">
        <v>560</v>
      </c>
      <c r="C18" s="821" t="s">
        <v>561</v>
      </c>
      <c r="D18" s="822"/>
      <c r="E18" s="820">
        <v>1</v>
      </c>
      <c r="F18" s="823" t="s">
        <v>562</v>
      </c>
      <c r="G18" s="824"/>
      <c r="H18" s="816"/>
      <c r="I18" s="816"/>
    </row>
    <row r="19" spans="1:9" s="825" customFormat="1" ht="19.5" customHeight="1">
      <c r="A19" s="3618"/>
      <c r="B19" s="3618" t="s">
        <v>563</v>
      </c>
      <c r="C19" s="821" t="s">
        <v>564</v>
      </c>
      <c r="D19" s="822"/>
      <c r="E19" s="820">
        <v>0.9</v>
      </c>
      <c r="F19" s="823" t="s">
        <v>565</v>
      </c>
      <c r="G19" s="824"/>
      <c r="H19" s="816"/>
      <c r="I19" s="816"/>
    </row>
    <row r="20" spans="1:9" s="825" customFormat="1" ht="19.5" customHeight="1">
      <c r="A20" s="3618"/>
      <c r="B20" s="3618"/>
      <c r="C20" s="821" t="s">
        <v>566</v>
      </c>
      <c r="D20" s="822"/>
      <c r="E20" s="820">
        <v>1.1000000000000001</v>
      </c>
      <c r="F20" s="823" t="s">
        <v>567</v>
      </c>
      <c r="G20" s="824"/>
      <c r="H20" s="816"/>
      <c r="I20" s="816"/>
    </row>
    <row r="21" spans="1:9" s="825" customFormat="1" ht="19.5" customHeight="1">
      <c r="A21" s="3618"/>
      <c r="B21" s="3618"/>
      <c r="C21" s="821" t="s">
        <v>568</v>
      </c>
      <c r="D21" s="822"/>
      <c r="E21" s="820">
        <v>0.8</v>
      </c>
      <c r="F21" s="823" t="s">
        <v>569</v>
      </c>
      <c r="G21" s="824"/>
      <c r="H21" s="816"/>
      <c r="I21" s="816"/>
    </row>
    <row r="22" spans="1:9" s="825" customFormat="1" ht="19.5" customHeight="1">
      <c r="A22" s="3618"/>
      <c r="B22" s="3618"/>
      <c r="C22" s="821" t="s">
        <v>570</v>
      </c>
      <c r="D22" s="822"/>
      <c r="E22" s="820">
        <v>0.5</v>
      </c>
      <c r="F22" s="823"/>
      <c r="G22" s="824"/>
      <c r="H22" s="816"/>
      <c r="I22" s="816"/>
    </row>
    <row r="23" spans="1:9" s="825" customFormat="1" ht="19.5" customHeight="1">
      <c r="A23" s="3618" t="s">
        <v>184</v>
      </c>
      <c r="B23" s="820" t="s">
        <v>560</v>
      </c>
      <c r="C23" s="821" t="s">
        <v>571</v>
      </c>
      <c r="D23" s="822"/>
      <c r="E23" s="820">
        <v>1</v>
      </c>
      <c r="F23" s="823" t="s">
        <v>572</v>
      </c>
      <c r="G23" s="824"/>
      <c r="H23" s="816"/>
      <c r="I23" s="816"/>
    </row>
    <row r="24" spans="1:9" s="825" customFormat="1" ht="19.5" customHeight="1">
      <c r="A24" s="3618"/>
      <c r="B24" s="3618" t="s">
        <v>563</v>
      </c>
      <c r="C24" s="821" t="s">
        <v>573</v>
      </c>
      <c r="D24" s="822"/>
      <c r="E24" s="820">
        <v>0.5</v>
      </c>
      <c r="F24" s="823"/>
      <c r="G24" s="824"/>
      <c r="H24" s="816"/>
      <c r="I24" s="816"/>
    </row>
    <row r="25" spans="1:9" s="825" customFormat="1" ht="19.5" customHeight="1">
      <c r="A25" s="3618"/>
      <c r="B25" s="3618"/>
      <c r="C25" s="821" t="s">
        <v>574</v>
      </c>
      <c r="D25" s="822"/>
      <c r="E25" s="820">
        <v>1.1000000000000001</v>
      </c>
      <c r="F25" s="823"/>
      <c r="G25" s="824"/>
      <c r="H25" s="816"/>
      <c r="I25" s="816"/>
    </row>
    <row r="26" spans="1:9" s="825" customFormat="1" ht="19.5" customHeight="1">
      <c r="A26" s="3618"/>
      <c r="B26" s="3618"/>
      <c r="C26" s="821" t="s">
        <v>575</v>
      </c>
      <c r="D26" s="822"/>
      <c r="E26" s="820">
        <v>1.1000000000000001</v>
      </c>
      <c r="F26" s="823"/>
      <c r="G26" s="824"/>
      <c r="H26" s="816"/>
      <c r="I26" s="816"/>
    </row>
    <row r="27" spans="1:9" s="825" customFormat="1" ht="19.5" customHeight="1">
      <c r="A27" s="3618"/>
      <c r="B27" s="3618"/>
      <c r="C27" s="821" t="s">
        <v>576</v>
      </c>
      <c r="D27" s="822"/>
      <c r="E27" s="820">
        <v>0.9</v>
      </c>
      <c r="F27" s="823" t="s">
        <v>577</v>
      </c>
      <c r="G27" s="824"/>
      <c r="H27" s="816"/>
      <c r="I27" s="816"/>
    </row>
    <row r="28" spans="1:9" s="825" customFormat="1" ht="19.5" customHeight="1">
      <c r="A28" s="3618"/>
      <c r="B28" s="3618"/>
      <c r="C28" s="821" t="s">
        <v>578</v>
      </c>
      <c r="D28" s="822"/>
      <c r="E28" s="820">
        <v>0.9</v>
      </c>
      <c r="F28" s="823" t="s">
        <v>579</v>
      </c>
      <c r="G28" s="824"/>
      <c r="H28" s="816"/>
      <c r="I28" s="816"/>
    </row>
    <row r="29" spans="1:9" s="825" customFormat="1" ht="19.5" customHeight="1">
      <c r="A29" s="3618"/>
      <c r="B29" s="3618"/>
      <c r="C29" s="821" t="s">
        <v>580</v>
      </c>
      <c r="D29" s="822"/>
      <c r="E29" s="820">
        <v>0.9</v>
      </c>
      <c r="F29" s="823" t="s">
        <v>581</v>
      </c>
      <c r="G29" s="824"/>
      <c r="H29" s="816"/>
      <c r="I29" s="816"/>
    </row>
    <row r="30" spans="1:9" s="825" customFormat="1" ht="19.5" customHeight="1">
      <c r="A30" s="3618"/>
      <c r="B30" s="3618"/>
      <c r="C30" s="821" t="s">
        <v>582</v>
      </c>
      <c r="D30" s="822"/>
      <c r="E30" s="820">
        <v>0.9</v>
      </c>
      <c r="F30" s="823" t="s">
        <v>583</v>
      </c>
      <c r="G30" s="824"/>
      <c r="H30" s="816"/>
      <c r="I30" s="816"/>
    </row>
    <row r="31" spans="1:9" s="825" customFormat="1" ht="19.5" customHeight="1">
      <c r="A31" s="3618"/>
      <c r="B31" s="3618"/>
      <c r="C31" s="821" t="s">
        <v>584</v>
      </c>
      <c r="D31" s="822"/>
      <c r="E31" s="820">
        <v>0.8</v>
      </c>
      <c r="F31" s="823" t="s">
        <v>585</v>
      </c>
      <c r="G31" s="824"/>
      <c r="H31" s="816"/>
      <c r="I31" s="816"/>
    </row>
    <row r="32" spans="1:9" s="825" customFormat="1" ht="19.5" customHeight="1">
      <c r="A32" s="3618"/>
      <c r="B32" s="3618"/>
      <c r="C32" s="821" t="s">
        <v>586</v>
      </c>
      <c r="D32" s="822"/>
      <c r="E32" s="820">
        <v>0.8</v>
      </c>
      <c r="F32" s="823" t="s">
        <v>587</v>
      </c>
      <c r="G32" s="824"/>
      <c r="H32" s="816"/>
      <c r="I32" s="816"/>
    </row>
    <row r="33" spans="1:9" s="825" customFormat="1" ht="19.5" customHeight="1">
      <c r="A33" s="3618" t="s">
        <v>185</v>
      </c>
      <c r="B33" s="820" t="s">
        <v>560</v>
      </c>
      <c r="C33" s="821" t="s">
        <v>588</v>
      </c>
      <c r="D33" s="822"/>
      <c r="E33" s="820">
        <v>1</v>
      </c>
      <c r="F33" s="823" t="s">
        <v>589</v>
      </c>
      <c r="G33" s="824"/>
      <c r="H33" s="816"/>
      <c r="I33" s="816"/>
    </row>
    <row r="34" spans="1:9" s="825" customFormat="1" ht="19.5" customHeight="1">
      <c r="A34" s="3618"/>
      <c r="B34" s="820" t="s">
        <v>563</v>
      </c>
      <c r="C34" s="821" t="s">
        <v>590</v>
      </c>
      <c r="D34" s="822"/>
      <c r="E34" s="820">
        <v>1.5</v>
      </c>
      <c r="F34" s="823" t="s">
        <v>591</v>
      </c>
      <c r="G34" s="824"/>
      <c r="H34" s="816"/>
      <c r="I34" s="816"/>
    </row>
    <row r="35" spans="1:9" s="825" customFormat="1" ht="19.5" customHeight="1">
      <c r="A35" s="3618" t="s">
        <v>186</v>
      </c>
      <c r="B35" s="820" t="s">
        <v>560</v>
      </c>
      <c r="C35" s="821" t="s">
        <v>592</v>
      </c>
      <c r="D35" s="822"/>
      <c r="E35" s="820">
        <v>1</v>
      </c>
      <c r="F35" s="823" t="s">
        <v>593</v>
      </c>
      <c r="G35" s="824"/>
      <c r="H35" s="816"/>
      <c r="I35" s="816"/>
    </row>
    <row r="36" spans="1:9" s="825" customFormat="1" ht="19.5" customHeight="1">
      <c r="A36" s="3618"/>
      <c r="B36" s="3618" t="s">
        <v>563</v>
      </c>
      <c r="C36" s="821" t="s">
        <v>594</v>
      </c>
      <c r="D36" s="822"/>
      <c r="E36" s="820">
        <v>1</v>
      </c>
      <c r="F36" s="823" t="s">
        <v>595</v>
      </c>
      <c r="G36" s="824"/>
      <c r="H36" s="816"/>
      <c r="I36" s="816"/>
    </row>
    <row r="37" spans="1:9" s="825" customFormat="1" ht="19.5" customHeight="1">
      <c r="A37" s="3618"/>
      <c r="B37" s="3618"/>
      <c r="C37" s="821" t="s">
        <v>596</v>
      </c>
      <c r="D37" s="822"/>
      <c r="E37" s="820">
        <v>1.5</v>
      </c>
      <c r="F37" s="823" t="s">
        <v>597</v>
      </c>
      <c r="G37" s="824"/>
      <c r="H37" s="816"/>
      <c r="I37" s="816"/>
    </row>
    <row r="38" spans="1:9" s="825" customFormat="1" ht="19.5" customHeight="1">
      <c r="A38" s="3618"/>
      <c r="B38" s="3618"/>
      <c r="C38" s="821" t="s">
        <v>598</v>
      </c>
      <c r="D38" s="822"/>
      <c r="E38" s="820">
        <v>1</v>
      </c>
      <c r="F38" s="823" t="s">
        <v>599</v>
      </c>
      <c r="G38" s="824"/>
      <c r="H38" s="816"/>
      <c r="I38" s="816"/>
    </row>
    <row r="39" spans="1:9" s="825" customFormat="1" ht="19.5" customHeight="1">
      <c r="A39" s="3618"/>
      <c r="B39" s="361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618" t="s">
        <v>614</v>
      </c>
      <c r="C61" s="756" t="s">
        <v>615</v>
      </c>
      <c r="D61" s="756" t="s">
        <v>616</v>
      </c>
      <c r="E61" s="833">
        <v>0.5</v>
      </c>
      <c r="F61" s="820">
        <v>80</v>
      </c>
    </row>
    <row r="62" spans="1:8" s="816" customFormat="1" ht="36">
      <c r="A62" s="820">
        <v>2</v>
      </c>
      <c r="B62" s="3618"/>
      <c r="C62" s="756" t="s">
        <v>617</v>
      </c>
      <c r="D62" s="756" t="s">
        <v>618</v>
      </c>
      <c r="E62" s="833">
        <v>0.5</v>
      </c>
      <c r="F62" s="820">
        <v>80</v>
      </c>
    </row>
    <row r="63" spans="1:8" s="816" customFormat="1" ht="48">
      <c r="A63" s="820">
        <v>3</v>
      </c>
      <c r="B63" s="3618"/>
      <c r="C63" s="756" t="s">
        <v>619</v>
      </c>
      <c r="D63" s="756" t="s">
        <v>620</v>
      </c>
      <c r="E63" s="833">
        <v>0.5</v>
      </c>
      <c r="F63" s="820">
        <v>80</v>
      </c>
    </row>
    <row r="64" spans="1:8" s="816" customFormat="1" ht="48">
      <c r="A64" s="820">
        <v>4</v>
      </c>
      <c r="B64" s="3618"/>
      <c r="C64" s="756" t="s">
        <v>621</v>
      </c>
      <c r="D64" s="756" t="s">
        <v>622</v>
      </c>
      <c r="E64" s="833">
        <v>0.4</v>
      </c>
      <c r="F64" s="820">
        <v>60</v>
      </c>
    </row>
    <row r="65" spans="1:6" s="816" customFormat="1" ht="48">
      <c r="A65" s="820">
        <v>5</v>
      </c>
      <c r="B65" s="3618"/>
      <c r="C65" s="756" t="s">
        <v>623</v>
      </c>
      <c r="D65" s="756" t="s">
        <v>624</v>
      </c>
      <c r="E65" s="833">
        <v>0.2</v>
      </c>
      <c r="F65" s="820">
        <v>30</v>
      </c>
    </row>
    <row r="66" spans="1:6" s="816" customFormat="1" ht="48">
      <c r="A66" s="820">
        <v>6</v>
      </c>
      <c r="B66" s="3618"/>
      <c r="C66" s="756" t="s">
        <v>625</v>
      </c>
      <c r="D66" s="756" t="s">
        <v>626</v>
      </c>
      <c r="E66" s="833">
        <v>0.3</v>
      </c>
      <c r="F66" s="820">
        <v>50</v>
      </c>
    </row>
    <row r="67" spans="1:6" s="816" customFormat="1" ht="48">
      <c r="A67" s="820">
        <v>7</v>
      </c>
      <c r="B67" s="3618"/>
      <c r="C67" s="756" t="s">
        <v>627</v>
      </c>
      <c r="D67" s="756" t="s">
        <v>628</v>
      </c>
      <c r="E67" s="833">
        <v>0.2</v>
      </c>
      <c r="F67" s="820">
        <v>30</v>
      </c>
    </row>
    <row r="68" spans="1:6" s="816" customFormat="1" ht="48">
      <c r="A68" s="820">
        <v>8</v>
      </c>
      <c r="B68" s="3618"/>
      <c r="C68" s="756" t="s">
        <v>629</v>
      </c>
      <c r="D68" s="756" t="s">
        <v>630</v>
      </c>
      <c r="E68" s="833">
        <v>0.2</v>
      </c>
      <c r="F68" s="820">
        <v>30</v>
      </c>
    </row>
    <row r="69" spans="1:6" s="816" customFormat="1" ht="48">
      <c r="A69" s="820">
        <v>9</v>
      </c>
      <c r="B69" s="3618"/>
      <c r="C69" s="756" t="s">
        <v>631</v>
      </c>
      <c r="D69" s="756" t="s">
        <v>632</v>
      </c>
      <c r="E69" s="833">
        <v>0.2</v>
      </c>
      <c r="F69" s="820">
        <v>30</v>
      </c>
    </row>
    <row r="70" spans="1:6" s="816" customFormat="1" ht="60">
      <c r="A70" s="820">
        <v>10</v>
      </c>
      <c r="B70" s="3618"/>
      <c r="C70" s="756" t="s">
        <v>633</v>
      </c>
      <c r="D70" s="756" t="s">
        <v>634</v>
      </c>
      <c r="E70" s="833">
        <v>0.2</v>
      </c>
      <c r="F70" s="820">
        <v>30</v>
      </c>
    </row>
    <row r="71" spans="1:6" s="816" customFormat="1" ht="60">
      <c r="A71" s="820">
        <v>11</v>
      </c>
      <c r="B71" s="3618"/>
      <c r="C71" s="756" t="s">
        <v>635</v>
      </c>
      <c r="D71" s="756" t="s">
        <v>636</v>
      </c>
      <c r="E71" s="833">
        <v>0.2</v>
      </c>
      <c r="F71" s="820">
        <v>30</v>
      </c>
    </row>
    <row r="72" spans="1:6" s="816" customFormat="1" ht="36">
      <c r="A72" s="820">
        <v>12</v>
      </c>
      <c r="B72" s="3618"/>
      <c r="C72" s="756" t="s">
        <v>637</v>
      </c>
      <c r="D72" s="756" t="s">
        <v>638</v>
      </c>
      <c r="E72" s="833">
        <v>0.5</v>
      </c>
      <c r="F72" s="820">
        <v>80</v>
      </c>
    </row>
    <row r="73" spans="1:6" s="816" customFormat="1" ht="36">
      <c r="A73" s="820">
        <v>13</v>
      </c>
      <c r="B73" s="3618"/>
      <c r="C73" s="756" t="s">
        <v>639</v>
      </c>
      <c r="D73" s="756" t="s">
        <v>640</v>
      </c>
      <c r="E73" s="833">
        <v>0.4</v>
      </c>
      <c r="F73" s="820">
        <v>60</v>
      </c>
    </row>
    <row r="74" spans="1:6" s="816" customFormat="1" ht="36">
      <c r="A74" s="820">
        <v>14</v>
      </c>
      <c r="B74" s="3618"/>
      <c r="C74" s="756" t="s">
        <v>641</v>
      </c>
      <c r="D74" s="756" t="s">
        <v>642</v>
      </c>
      <c r="E74" s="833">
        <v>0.2</v>
      </c>
      <c r="F74" s="820">
        <v>30</v>
      </c>
    </row>
    <row r="75" spans="1:6" s="816" customFormat="1" ht="36">
      <c r="A75" s="820">
        <v>15</v>
      </c>
      <c r="B75" s="3618"/>
      <c r="C75" s="756" t="s">
        <v>643</v>
      </c>
      <c r="D75" s="756" t="s">
        <v>644</v>
      </c>
      <c r="E75" s="833">
        <v>0.2</v>
      </c>
      <c r="F75" s="820">
        <v>30</v>
      </c>
    </row>
    <row r="76" spans="1:6" s="816" customFormat="1" ht="36">
      <c r="A76" s="820">
        <v>16</v>
      </c>
      <c r="B76" s="3618" t="s">
        <v>645</v>
      </c>
      <c r="C76" s="756" t="s">
        <v>646</v>
      </c>
      <c r="D76" s="756" t="s">
        <v>647</v>
      </c>
      <c r="E76" s="833">
        <v>0.5</v>
      </c>
      <c r="F76" s="820">
        <v>80</v>
      </c>
    </row>
    <row r="77" spans="1:6" s="816" customFormat="1" ht="36">
      <c r="A77" s="820">
        <v>17</v>
      </c>
      <c r="B77" s="3618"/>
      <c r="C77" s="756" t="s">
        <v>648</v>
      </c>
      <c r="D77" s="756" t="s">
        <v>649</v>
      </c>
      <c r="E77" s="833">
        <v>0.5</v>
      </c>
      <c r="F77" s="820">
        <v>80</v>
      </c>
    </row>
    <row r="78" spans="1:6" s="816" customFormat="1" ht="36">
      <c r="A78" s="820">
        <v>18</v>
      </c>
      <c r="B78" s="3618"/>
      <c r="C78" s="756" t="s">
        <v>650</v>
      </c>
      <c r="D78" s="756" t="s">
        <v>651</v>
      </c>
      <c r="E78" s="833">
        <v>0.2</v>
      </c>
      <c r="F78" s="820">
        <v>30</v>
      </c>
    </row>
    <row r="79" spans="1:6" s="816" customFormat="1" ht="36">
      <c r="A79" s="820">
        <v>19</v>
      </c>
      <c r="B79" s="3618"/>
      <c r="C79" s="756" t="s">
        <v>652</v>
      </c>
      <c r="D79" s="756" t="s">
        <v>653</v>
      </c>
      <c r="E79" s="833">
        <v>0.5</v>
      </c>
      <c r="F79" s="820">
        <v>80</v>
      </c>
    </row>
    <row r="80" spans="1:6" s="816" customFormat="1" ht="36">
      <c r="A80" s="820">
        <v>20</v>
      </c>
      <c r="B80" s="3618"/>
      <c r="C80" s="756" t="s">
        <v>654</v>
      </c>
      <c r="D80" s="756" t="s">
        <v>655</v>
      </c>
      <c r="E80" s="833">
        <v>0.2</v>
      </c>
      <c r="F80" s="820">
        <v>30</v>
      </c>
    </row>
    <row r="81" spans="1:6" s="816" customFormat="1" ht="36">
      <c r="A81" s="820">
        <v>21</v>
      </c>
      <c r="B81" s="3618"/>
      <c r="C81" s="756" t="s">
        <v>656</v>
      </c>
      <c r="D81" s="756" t="s">
        <v>657</v>
      </c>
      <c r="E81" s="833">
        <v>0.2</v>
      </c>
      <c r="F81" s="820">
        <v>30</v>
      </c>
    </row>
    <row r="82" spans="1:6" s="816" customFormat="1" ht="60">
      <c r="A82" s="820">
        <v>22</v>
      </c>
      <c r="B82" s="3618"/>
      <c r="C82" s="756" t="s">
        <v>658</v>
      </c>
      <c r="D82" s="756" t="s">
        <v>659</v>
      </c>
      <c r="E82" s="833">
        <v>0.2</v>
      </c>
      <c r="F82" s="820">
        <v>30</v>
      </c>
    </row>
    <row r="83" spans="1:6" s="816" customFormat="1" ht="60">
      <c r="A83" s="820">
        <v>23</v>
      </c>
      <c r="B83" s="3618"/>
      <c r="C83" s="756" t="s">
        <v>660</v>
      </c>
      <c r="D83" s="756" t="s">
        <v>661</v>
      </c>
      <c r="E83" s="833">
        <v>0.2</v>
      </c>
      <c r="F83" s="820">
        <v>30</v>
      </c>
    </row>
    <row r="84" spans="1:6" s="816" customFormat="1" ht="48">
      <c r="A84" s="820">
        <v>24</v>
      </c>
      <c r="B84" s="3618"/>
      <c r="C84" s="756" t="s">
        <v>662</v>
      </c>
      <c r="D84" s="756" t="s">
        <v>663</v>
      </c>
      <c r="E84" s="833">
        <v>0.2</v>
      </c>
      <c r="F84" s="820">
        <v>30</v>
      </c>
    </row>
    <row r="85" spans="1:6" s="816" customFormat="1" ht="36">
      <c r="A85" s="820">
        <v>25</v>
      </c>
      <c r="B85" s="3618"/>
      <c r="C85" s="756" t="s">
        <v>664</v>
      </c>
      <c r="D85" s="756" t="s">
        <v>665</v>
      </c>
      <c r="E85" s="833">
        <v>0.5</v>
      </c>
      <c r="F85" s="820">
        <v>80</v>
      </c>
    </row>
    <row r="86" spans="1:6" s="816" customFormat="1" ht="36">
      <c r="A86" s="820">
        <v>26</v>
      </c>
      <c r="B86" s="3618"/>
      <c r="C86" s="756" t="s">
        <v>666</v>
      </c>
      <c r="D86" s="756" t="s">
        <v>667</v>
      </c>
      <c r="E86" s="833">
        <v>0.2</v>
      </c>
      <c r="F86" s="820">
        <v>30</v>
      </c>
    </row>
    <row r="87" spans="1:6" s="816" customFormat="1" ht="36">
      <c r="A87" s="820">
        <v>27</v>
      </c>
      <c r="B87" s="3618"/>
      <c r="C87" s="756" t="s">
        <v>668</v>
      </c>
      <c r="D87" s="756" t="s">
        <v>669</v>
      </c>
      <c r="E87" s="833">
        <v>0.2</v>
      </c>
      <c r="F87" s="820">
        <v>30</v>
      </c>
    </row>
    <row r="88" spans="1:6" s="816" customFormat="1" ht="36">
      <c r="A88" s="820">
        <v>28</v>
      </c>
      <c r="B88" s="3618"/>
      <c r="C88" s="756" t="s">
        <v>670</v>
      </c>
      <c r="D88" s="756" t="s">
        <v>671</v>
      </c>
      <c r="E88" s="833">
        <v>0.2</v>
      </c>
      <c r="F88" s="820">
        <v>30</v>
      </c>
    </row>
    <row r="89" spans="1:6" s="816" customFormat="1" ht="36">
      <c r="A89" s="820">
        <v>29</v>
      </c>
      <c r="B89" s="3618"/>
      <c r="C89" s="756" t="s">
        <v>672</v>
      </c>
      <c r="D89" s="756" t="s">
        <v>673</v>
      </c>
      <c r="E89" s="833">
        <v>0.2</v>
      </c>
      <c r="F89" s="820">
        <v>30</v>
      </c>
    </row>
    <row r="90" spans="1:6" s="816" customFormat="1" ht="36">
      <c r="A90" s="820">
        <v>30</v>
      </c>
      <c r="B90" s="3618"/>
      <c r="C90" s="756" t="s">
        <v>674</v>
      </c>
      <c r="D90" s="756" t="s">
        <v>675</v>
      </c>
      <c r="E90" s="833">
        <v>0.2</v>
      </c>
      <c r="F90" s="820">
        <v>30</v>
      </c>
    </row>
    <row r="91" spans="1:6" s="816" customFormat="1" ht="48">
      <c r="A91" s="820">
        <v>31</v>
      </c>
      <c r="B91" s="3618"/>
      <c r="C91" s="756" t="s">
        <v>676</v>
      </c>
      <c r="D91" s="756" t="s">
        <v>677</v>
      </c>
      <c r="E91" s="833">
        <v>0.2</v>
      </c>
      <c r="F91" s="820">
        <v>30</v>
      </c>
    </row>
    <row r="92" spans="1:6" s="816" customFormat="1" ht="36">
      <c r="A92" s="820">
        <v>32</v>
      </c>
      <c r="B92" s="3618" t="s">
        <v>678</v>
      </c>
      <c r="C92" s="820" t="s">
        <v>679</v>
      </c>
      <c r="D92" s="756" t="s">
        <v>680</v>
      </c>
      <c r="E92" s="833">
        <v>0.2</v>
      </c>
      <c r="F92" s="820">
        <v>30</v>
      </c>
    </row>
    <row r="93" spans="1:6" s="816" customFormat="1" ht="36">
      <c r="A93" s="820">
        <v>33</v>
      </c>
      <c r="B93" s="3618"/>
      <c r="C93" s="820" t="s">
        <v>681</v>
      </c>
      <c r="D93" s="756" t="s">
        <v>682</v>
      </c>
      <c r="E93" s="833">
        <v>0.2</v>
      </c>
      <c r="F93" s="820">
        <v>30</v>
      </c>
    </row>
    <row r="94" spans="1:6" s="816" customFormat="1" ht="60">
      <c r="A94" s="820">
        <v>34</v>
      </c>
      <c r="B94" s="3618"/>
      <c r="C94" s="820" t="s">
        <v>683</v>
      </c>
      <c r="D94" s="756" t="s">
        <v>684</v>
      </c>
      <c r="E94" s="833">
        <v>0.2</v>
      </c>
      <c r="F94" s="820">
        <v>30</v>
      </c>
    </row>
    <row r="95" spans="1:6" s="816" customFormat="1" ht="48">
      <c r="A95" s="820">
        <v>35</v>
      </c>
      <c r="B95" s="3618"/>
      <c r="C95" s="820" t="s">
        <v>685</v>
      </c>
      <c r="D95" s="756" t="s">
        <v>686</v>
      </c>
      <c r="E95" s="833">
        <v>0.2</v>
      </c>
      <c r="F95" s="820">
        <v>30</v>
      </c>
    </row>
    <row r="96" spans="1:6" s="816" customFormat="1" ht="72">
      <c r="A96" s="820">
        <v>36</v>
      </c>
      <c r="B96" s="3618"/>
      <c r="C96" s="756" t="s">
        <v>687</v>
      </c>
      <c r="D96" s="756" t="s">
        <v>688</v>
      </c>
      <c r="E96" s="833">
        <v>0.2</v>
      </c>
      <c r="F96" s="820">
        <v>30</v>
      </c>
    </row>
    <row r="97" spans="1:6" s="816" customFormat="1" ht="36">
      <c r="A97" s="820">
        <v>37</v>
      </c>
      <c r="B97" s="3618"/>
      <c r="C97" s="820" t="s">
        <v>689</v>
      </c>
      <c r="D97" s="756" t="s">
        <v>690</v>
      </c>
      <c r="E97" s="833">
        <v>0.2</v>
      </c>
      <c r="F97" s="820">
        <v>30</v>
      </c>
    </row>
    <row r="98" spans="1:6" s="816" customFormat="1" ht="36">
      <c r="A98" s="820">
        <v>38</v>
      </c>
      <c r="B98" s="3618"/>
      <c r="C98" s="820" t="s">
        <v>691</v>
      </c>
      <c r="D98" s="756" t="s">
        <v>692</v>
      </c>
      <c r="E98" s="833">
        <v>0.2</v>
      </c>
      <c r="F98" s="820">
        <v>30</v>
      </c>
    </row>
    <row r="99" spans="1:6" s="816" customFormat="1" ht="36">
      <c r="A99" s="820">
        <v>39</v>
      </c>
      <c r="B99" s="3618" t="s">
        <v>693</v>
      </c>
      <c r="C99" s="820" t="s">
        <v>694</v>
      </c>
      <c r="D99" s="756" t="s">
        <v>695</v>
      </c>
      <c r="E99" s="833">
        <v>0.3</v>
      </c>
      <c r="F99" s="820">
        <v>50</v>
      </c>
    </row>
    <row r="100" spans="1:6" s="816" customFormat="1" ht="36">
      <c r="A100" s="820">
        <v>40</v>
      </c>
      <c r="B100" s="3618"/>
      <c r="C100" s="820" t="s">
        <v>696</v>
      </c>
      <c r="D100" s="756" t="s">
        <v>697</v>
      </c>
      <c r="E100" s="833">
        <v>0.2</v>
      </c>
      <c r="F100" s="820">
        <v>30</v>
      </c>
    </row>
    <row r="101" spans="1:6" s="816" customFormat="1" ht="36">
      <c r="A101" s="820">
        <v>41</v>
      </c>
      <c r="B101" s="3618"/>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618" t="s">
        <v>708</v>
      </c>
      <c r="C105" s="820" t="s">
        <v>709</v>
      </c>
      <c r="D105" s="756" t="s">
        <v>710</v>
      </c>
      <c r="E105" s="833">
        <v>0.2</v>
      </c>
      <c r="F105" s="820">
        <v>30</v>
      </c>
    </row>
    <row r="106" spans="1:6" s="816" customFormat="1" ht="48">
      <c r="A106" s="820">
        <v>46</v>
      </c>
      <c r="B106" s="3618"/>
      <c r="C106" s="820" t="s">
        <v>711</v>
      </c>
      <c r="D106" s="756" t="s">
        <v>712</v>
      </c>
      <c r="E106" s="833">
        <v>0.2</v>
      </c>
      <c r="F106" s="820">
        <v>30</v>
      </c>
    </row>
    <row r="107" spans="1:6" s="816" customFormat="1" ht="36">
      <c r="A107" s="820">
        <v>47</v>
      </c>
      <c r="B107" s="3618" t="s">
        <v>713</v>
      </c>
      <c r="C107" s="820" t="s">
        <v>714</v>
      </c>
      <c r="D107" s="756" t="s">
        <v>715</v>
      </c>
      <c r="E107" s="833">
        <v>0.3</v>
      </c>
      <c r="F107" s="820">
        <v>50</v>
      </c>
    </row>
    <row r="108" spans="1:6" s="816" customFormat="1" ht="48">
      <c r="A108" s="820">
        <v>48</v>
      </c>
      <c r="B108" s="361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618" t="s">
        <v>724</v>
      </c>
      <c r="C111" s="820" t="s">
        <v>725</v>
      </c>
      <c r="D111" s="756" t="s">
        <v>726</v>
      </c>
      <c r="E111" s="833">
        <v>0.2</v>
      </c>
      <c r="F111" s="820">
        <v>30</v>
      </c>
    </row>
    <row r="112" spans="1:6" s="816" customFormat="1" ht="36">
      <c r="A112" s="820">
        <v>52</v>
      </c>
      <c r="B112" s="3618"/>
      <c r="C112" s="820" t="s">
        <v>727</v>
      </c>
      <c r="D112" s="756" t="s">
        <v>728</v>
      </c>
      <c r="E112" s="833">
        <v>0.2</v>
      </c>
      <c r="F112" s="820">
        <v>30</v>
      </c>
    </row>
    <row r="113" spans="1:6" s="816" customFormat="1" ht="36">
      <c r="A113" s="820">
        <v>53</v>
      </c>
      <c r="B113" s="3618"/>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618" t="s">
        <v>737</v>
      </c>
      <c r="C116" s="820" t="s">
        <v>738</v>
      </c>
      <c r="D116" s="756" t="s">
        <v>739</v>
      </c>
      <c r="E116" s="833">
        <v>0.2</v>
      </c>
      <c r="F116" s="820">
        <v>30</v>
      </c>
    </row>
    <row r="117" spans="1:6" ht="36">
      <c r="A117" s="820">
        <v>57</v>
      </c>
      <c r="B117" s="3618"/>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1.0571999999999999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3" sqref="F33"/>
    </sheetView>
  </sheetViews>
  <sheetFormatPr defaultColWidth="9" defaultRowHeight="13.8"/>
  <cols>
    <col min="1" max="1" width="23.33203125" style="1631" customWidth="1"/>
    <col min="2" max="2" width="12.44140625" style="1631" customWidth="1"/>
    <col min="3" max="3" width="12.109375" style="1631" customWidth="1"/>
    <col min="4" max="4" width="14.109375" style="1631" customWidth="1"/>
    <col min="5" max="5" width="12.44140625" style="1631" customWidth="1"/>
    <col min="6" max="16384" width="9" style="1631"/>
  </cols>
  <sheetData>
    <row r="1" spans="1:16" ht="21.6">
      <c r="A1" s="2022" t="s">
        <v>2758</v>
      </c>
      <c r="B1" s="2332"/>
      <c r="C1" s="2332"/>
      <c r="D1" s="2332"/>
      <c r="E1" s="2332"/>
      <c r="F1" s="2991"/>
      <c r="G1" s="2991"/>
      <c r="H1" s="2991"/>
      <c r="I1" s="2991"/>
      <c r="J1" s="2991"/>
      <c r="K1" s="2991"/>
      <c r="L1" s="2991"/>
      <c r="M1" s="2991"/>
      <c r="N1" s="2991"/>
      <c r="O1" s="2991"/>
      <c r="P1" s="2991"/>
    </row>
    <row r="2" spans="1:16" ht="15.6">
      <c r="A2" s="2330" t="s">
        <v>2750</v>
      </c>
      <c r="B2" s="2795">
        <f ca="1">SUMIF(B6:B13,"&lt;&gt;#ref!",B6:B13)</f>
        <v>21707</v>
      </c>
      <c r="C2" s="2330" t="s">
        <v>2751</v>
      </c>
      <c r="D2" s="2330" t="s">
        <v>2752</v>
      </c>
      <c r="E2" s="2805">
        <f ca="1">SUMIF(E6:E13,"&lt;&gt;#ref!",E6:E13)</f>
        <v>14586.08</v>
      </c>
      <c r="F2" s="2991"/>
      <c r="G2" s="2991"/>
      <c r="H2" s="2991"/>
      <c r="I2" s="2991"/>
      <c r="J2" s="2991"/>
      <c r="K2" s="2991"/>
      <c r="L2" s="2991"/>
      <c r="M2" s="2991"/>
      <c r="N2" s="2991"/>
      <c r="O2" s="2991"/>
      <c r="P2" s="2991"/>
    </row>
    <row r="3" spans="1:16" ht="15.6">
      <c r="A3" s="2330" t="s">
        <v>2753</v>
      </c>
      <c r="B3" s="2795">
        <f ca="1">ROUND(B2*10000/E2,0)</f>
        <v>14882</v>
      </c>
      <c r="C3" s="2330" t="s">
        <v>2759</v>
      </c>
      <c r="D3" s="2991"/>
      <c r="E3" s="2991"/>
      <c r="F3" s="2991"/>
      <c r="G3" s="2991"/>
      <c r="H3" s="2991"/>
      <c r="I3" s="2991"/>
      <c r="J3" s="2991"/>
      <c r="K3" s="2991"/>
      <c r="L3" s="2991"/>
      <c r="M3" s="2991"/>
      <c r="N3" s="2991"/>
      <c r="O3" s="2991"/>
      <c r="P3" s="2991"/>
    </row>
    <row r="4" spans="1:16" ht="15.6">
      <c r="A4" s="2992"/>
      <c r="B4" s="2991"/>
      <c r="C4" s="2991"/>
      <c r="D4" s="2991"/>
      <c r="E4" s="2991"/>
      <c r="F4" s="2991"/>
      <c r="G4" s="2991"/>
      <c r="H4" s="2991"/>
      <c r="I4" s="2991"/>
      <c r="J4" s="2991"/>
      <c r="K4" s="2991"/>
      <c r="L4" s="2991"/>
      <c r="M4" s="2991"/>
      <c r="N4" s="2991"/>
      <c r="O4" s="2991"/>
      <c r="P4" s="2991"/>
    </row>
    <row r="5" spans="1:16" ht="31.2">
      <c r="A5" s="2801" t="s">
        <v>2754</v>
      </c>
      <c r="B5" s="2803" t="s">
        <v>2755</v>
      </c>
      <c r="C5" s="2331"/>
      <c r="D5" s="2991"/>
      <c r="E5" s="2804" t="s">
        <v>2756</v>
      </c>
      <c r="F5" s="2991"/>
      <c r="G5" s="2991"/>
      <c r="H5" s="2991"/>
      <c r="I5" s="2991"/>
      <c r="J5" s="2991"/>
      <c r="K5" s="2991"/>
      <c r="L5" s="2991"/>
      <c r="M5" s="2991"/>
      <c r="N5" s="2991"/>
      <c r="O5" s="2991"/>
      <c r="P5" s="2991"/>
    </row>
    <row r="6" spans="1:16" ht="15.6">
      <c r="A6" s="2802" t="s">
        <v>2757</v>
      </c>
      <c r="B6" s="2795">
        <f ca="1">SUMIF(INDIRECT("'"&amp;A6&amp;"'"&amp;"!A:A"),"总价",INDIRECT("'"&amp;A6&amp;"'"&amp;"!B:B"))</f>
        <v>21707</v>
      </c>
      <c r="C6" s="2330" t="s">
        <v>2751</v>
      </c>
      <c r="D6" s="2991"/>
      <c r="E6" s="2805">
        <f ca="1">SUMIF(INDIRECT("'"&amp;A6&amp;"'"&amp;"!C:C"),"建筑面积",INDIRECT("'"&amp;A6&amp;"'"&amp;"!D:D"))</f>
        <v>14586.08</v>
      </c>
      <c r="F6" s="2991"/>
      <c r="G6" s="2991"/>
      <c r="H6" s="2991"/>
      <c r="I6" s="2991"/>
      <c r="J6" s="2991"/>
      <c r="K6" s="2991"/>
      <c r="L6" s="2991"/>
      <c r="M6" s="2991"/>
      <c r="N6" s="2991"/>
      <c r="O6" s="2991"/>
      <c r="P6" s="2991"/>
    </row>
    <row r="7" spans="1:16" ht="15.6">
      <c r="A7" s="2802"/>
      <c r="B7" s="2795" t="e">
        <f ca="1">SUMIF(INDIRECT("'"&amp;A7&amp;"'"&amp;"!A:A"),"总价",INDIRECT("'"&amp;A7&amp;"'"&amp;"!B:B"))</f>
        <v>#REF!</v>
      </c>
      <c r="C7" s="2330" t="s">
        <v>2751</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6">
      <c r="A8" s="2802"/>
      <c r="B8" s="2795" t="e">
        <f t="shared" ref="B8:B13" ca="1" si="1">SUMIF(INDIRECT("'"&amp;A8&amp;"'"&amp;"!A:A"),"总价",INDIRECT("'"&amp;A8&amp;"'"&amp;"!B:B"))</f>
        <v>#REF!</v>
      </c>
      <c r="C8" s="2330" t="s">
        <v>2751</v>
      </c>
      <c r="D8" s="2991"/>
      <c r="E8" s="2805" t="e">
        <f t="shared" ca="1" si="0"/>
        <v>#REF!</v>
      </c>
      <c r="F8" s="2991"/>
      <c r="G8" s="2991"/>
      <c r="H8" s="2991"/>
      <c r="I8" s="2991"/>
      <c r="J8" s="2991"/>
      <c r="K8" s="2991"/>
      <c r="L8" s="2991"/>
      <c r="M8" s="2991"/>
      <c r="N8" s="2991"/>
      <c r="O8" s="2991"/>
      <c r="P8" s="2991"/>
    </row>
    <row r="9" spans="1:16" ht="15.6">
      <c r="A9" s="2802"/>
      <c r="B9" s="2795" t="e">
        <f t="shared" ca="1" si="1"/>
        <v>#REF!</v>
      </c>
      <c r="C9" s="2330" t="s">
        <v>2751</v>
      </c>
      <c r="D9" s="2991"/>
      <c r="E9" s="2805" t="e">
        <f t="shared" ca="1" si="0"/>
        <v>#REF!</v>
      </c>
      <c r="F9" s="2991"/>
      <c r="G9" s="2991"/>
      <c r="H9" s="2991"/>
      <c r="I9" s="2991"/>
      <c r="J9" s="2991"/>
      <c r="K9" s="2991"/>
      <c r="L9" s="2991"/>
      <c r="M9" s="2991"/>
      <c r="N9" s="2991"/>
      <c r="O9" s="2991"/>
      <c r="P9" s="2991"/>
    </row>
    <row r="10" spans="1:16" ht="15.6">
      <c r="A10" s="2802"/>
      <c r="B10" s="2795" t="e">
        <f t="shared" ca="1" si="1"/>
        <v>#REF!</v>
      </c>
      <c r="C10" s="2330" t="s">
        <v>2751</v>
      </c>
      <c r="D10" s="2991"/>
      <c r="E10" s="2805" t="e">
        <f t="shared" ca="1" si="0"/>
        <v>#REF!</v>
      </c>
      <c r="F10" s="2991"/>
      <c r="G10" s="2991"/>
      <c r="H10" s="2991"/>
      <c r="I10" s="2991"/>
      <c r="J10" s="2991"/>
      <c r="K10" s="2991"/>
      <c r="L10" s="2991"/>
      <c r="M10" s="2991"/>
      <c r="N10" s="2991"/>
      <c r="O10" s="2991"/>
      <c r="P10" s="2991"/>
    </row>
    <row r="11" spans="1:16" ht="15.6">
      <c r="A11" s="2802"/>
      <c r="B11" s="2795" t="e">
        <f t="shared" ca="1" si="1"/>
        <v>#REF!</v>
      </c>
      <c r="C11" s="2330" t="s">
        <v>2751</v>
      </c>
      <c r="D11" s="2991"/>
      <c r="E11" s="2805" t="e">
        <f t="shared" ca="1" si="0"/>
        <v>#REF!</v>
      </c>
      <c r="F11" s="2991"/>
      <c r="G11" s="2991"/>
      <c r="H11" s="2991"/>
      <c r="I11" s="2991"/>
      <c r="J11" s="2991"/>
      <c r="K11" s="2991"/>
      <c r="L11" s="2991"/>
      <c r="M11" s="2991"/>
      <c r="N11" s="2991"/>
      <c r="O11" s="2991"/>
      <c r="P11" s="2991"/>
    </row>
    <row r="12" spans="1:16" ht="15.6">
      <c r="A12" s="2802"/>
      <c r="B12" s="2795" t="e">
        <f t="shared" ca="1" si="1"/>
        <v>#REF!</v>
      </c>
      <c r="C12" s="2330" t="s">
        <v>2751</v>
      </c>
      <c r="D12" s="2991"/>
      <c r="E12" s="2805" t="e">
        <f t="shared" ca="1" si="0"/>
        <v>#REF!</v>
      </c>
      <c r="F12" s="2991"/>
      <c r="G12" s="2991"/>
      <c r="H12" s="2991"/>
      <c r="I12" s="2991"/>
      <c r="J12" s="2991"/>
      <c r="K12" s="2991"/>
      <c r="L12" s="2991"/>
      <c r="M12" s="2991"/>
      <c r="N12" s="2991"/>
      <c r="O12" s="2991"/>
      <c r="P12" s="2991"/>
    </row>
    <row r="13" spans="1:16" ht="15.6">
      <c r="A13" s="2802"/>
      <c r="B13" s="2795" t="e">
        <f t="shared" ca="1" si="1"/>
        <v>#REF!</v>
      </c>
      <c r="C13" s="2330" t="s">
        <v>2751</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624" t="s">
        <v>1058</v>
      </c>
      <c r="C1" s="3624"/>
      <c r="D1" s="3624"/>
      <c r="E1" s="3624"/>
      <c r="F1" s="3624"/>
      <c r="G1" s="3620" t="s">
        <v>1059</v>
      </c>
      <c r="H1" s="3620"/>
      <c r="I1" s="3620"/>
      <c r="J1" s="3620"/>
      <c r="K1" s="3620"/>
      <c r="L1" s="3620"/>
      <c r="N1" s="3620" t="s">
        <v>1060</v>
      </c>
      <c r="O1" s="3620"/>
      <c r="P1" s="3620"/>
      <c r="Q1" s="3620"/>
      <c r="S1" s="3620" t="s">
        <v>1061</v>
      </c>
      <c r="T1" s="3620"/>
      <c r="U1" s="3620"/>
      <c r="V1" s="3620"/>
      <c r="X1" s="3619" t="s">
        <v>1062</v>
      </c>
      <c r="Y1" s="3620"/>
      <c r="Z1" s="3620"/>
      <c r="AA1" s="3620"/>
      <c r="AB1" s="3620"/>
      <c r="AD1" s="3619" t="s">
        <v>1063</v>
      </c>
      <c r="AE1" s="3620"/>
      <c r="AF1" s="3620"/>
      <c r="AG1" s="3620"/>
      <c r="AH1" s="3620"/>
    </row>
    <row r="2" spans="1:34" s="2359" customFormat="1" ht="15" thickBot="1">
      <c r="B2" s="2360" t="s">
        <v>1064</v>
      </c>
      <c r="C2" s="2360" t="s">
        <v>1065</v>
      </c>
      <c r="D2" s="2361" t="s">
        <v>1066</v>
      </c>
      <c r="E2" s="2361" t="s">
        <v>1067</v>
      </c>
      <c r="F2" s="2360" t="s">
        <v>1068</v>
      </c>
      <c r="G2" s="2362"/>
      <c r="I2" s="2360" t="s">
        <v>1064</v>
      </c>
      <c r="J2" s="2361" t="s">
        <v>1287</v>
      </c>
      <c r="K2" s="2361" t="s">
        <v>751</v>
      </c>
      <c r="L2" s="2360" t="s">
        <v>1068</v>
      </c>
      <c r="N2" s="2360" t="s">
        <v>1064</v>
      </c>
      <c r="O2" s="2361" t="s">
        <v>1287</v>
      </c>
      <c r="P2" s="2361" t="s">
        <v>751</v>
      </c>
      <c r="Q2" s="2360" t="s">
        <v>1068</v>
      </c>
      <c r="S2" s="2360" t="s">
        <v>1064</v>
      </c>
      <c r="T2" s="2361" t="s">
        <v>1287</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2791</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2792</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2808</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2806</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2805</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2804</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2802</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2800</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2803</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2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2798</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2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2797</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2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2790</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2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2788</v>
      </c>
      <c r="B22" s="2407">
        <v>439</v>
      </c>
      <c r="C22" s="2407">
        <v>327</v>
      </c>
      <c r="D22" s="2407">
        <f>C22</f>
        <v>327</v>
      </c>
      <c r="E22" s="2407">
        <v>627</v>
      </c>
      <c r="F22" s="2408">
        <v>283</v>
      </c>
      <c r="G22" s="362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2789</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2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1288</v>
      </c>
      <c r="B24" s="2393">
        <f t="shared" si="199"/>
        <v>419.31181600000002</v>
      </c>
      <c r="C24" s="2393">
        <f t="shared" si="200"/>
        <v>313.95436800000004</v>
      </c>
      <c r="D24" s="2393">
        <f t="shared" si="201"/>
        <v>313.95436800000004</v>
      </c>
      <c r="E24" s="2393">
        <f t="shared" si="202"/>
        <v>596.63028431999999</v>
      </c>
      <c r="F24" s="2393">
        <f t="shared" si="203"/>
        <v>274.74220703999998</v>
      </c>
      <c r="G24" s="362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2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2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2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2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2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62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2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2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2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62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2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2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2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62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2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2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2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62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2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2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62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62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2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2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2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62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2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2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2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62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2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2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2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62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2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2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2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62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2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2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2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62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2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2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2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62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2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2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2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62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2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2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2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62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2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22">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623">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62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2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22">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623">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2760</v>
      </c>
      <c r="C1" s="3633" t="s">
        <v>2761</v>
      </c>
      <c r="D1" s="3634"/>
      <c r="E1" s="3634"/>
      <c r="F1" s="3634"/>
      <c r="G1" s="3634"/>
      <c r="H1" s="3634"/>
      <c r="I1" s="3634"/>
      <c r="J1" s="3634"/>
      <c r="K1" s="3634"/>
      <c r="L1" s="3634"/>
      <c r="M1" s="3634"/>
      <c r="N1" s="3634"/>
      <c r="O1" s="3634"/>
      <c r="P1" s="3634"/>
      <c r="Q1" s="3634"/>
      <c r="R1" s="3634"/>
      <c r="S1" s="3635"/>
      <c r="T1" s="1113" t="s">
        <v>2762</v>
      </c>
    </row>
    <row r="2" spans="1:45" s="662" customFormat="1">
      <c r="A2" s="1114"/>
      <c r="B2" s="658" t="s">
        <v>2763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2764</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2765</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2766</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2767</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2768</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2769</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2770</v>
      </c>
      <c r="B17" s="2334" t="s">
        <v>2771</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2772</v>
      </c>
      <c r="E19" s="1493"/>
      <c r="F19" s="1493"/>
      <c r="G19" s="1493"/>
      <c r="H19" s="1189"/>
      <c r="I19" s="163"/>
      <c r="J19" s="163"/>
      <c r="K19" s="163"/>
      <c r="L19" s="163"/>
      <c r="M19" s="163"/>
      <c r="N19" s="163"/>
      <c r="O19" s="163"/>
      <c r="P19" s="163"/>
      <c r="Q19" s="163"/>
      <c r="R19" s="726"/>
      <c r="S19" s="133"/>
    </row>
    <row r="20" spans="1:45" ht="16.2" thickBot="1">
      <c r="A20" s="670" t="s">
        <v>2773</v>
      </c>
      <c r="B20" s="299" t="e">
        <f ca="1">IF(D20="——",S22,S22-F20)</f>
        <v>#REF!</v>
      </c>
      <c r="C20" s="163"/>
      <c r="D20" s="2336"/>
      <c r="E20" s="1494"/>
      <c r="F20" s="1113" t="e">
        <f ca="1">SUMIF(INDIRECT("'"&amp;H20&amp;"'"&amp;"!A:A"),"承租人权益价值",INDIRECT("'"&amp;H20&amp;"'"&amp;"!c:c"))</f>
        <v>#REF!</v>
      </c>
      <c r="G20" s="1113" t="s">
        <v>2774</v>
      </c>
      <c r="H20" s="2337"/>
      <c r="I20" s="163"/>
      <c r="J20" s="163"/>
      <c r="K20" s="163"/>
      <c r="L20" s="163"/>
      <c r="M20" s="163"/>
      <c r="N20" s="163"/>
      <c r="O20" s="163"/>
      <c r="P20" s="163"/>
      <c r="Q20" s="163"/>
      <c r="R20" s="726"/>
      <c r="S20" s="133"/>
    </row>
    <row r="21" spans="1:45" ht="15.6">
      <c r="A21" s="670" t="s">
        <v>2775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2776</v>
      </c>
      <c r="B22" s="23">
        <f>SUM(B24:B10000)</f>
        <v>100</v>
      </c>
      <c r="C22" s="3630" t="s">
        <v>33</v>
      </c>
      <c r="D22" s="3631"/>
      <c r="E22" s="3631"/>
      <c r="F22" s="3631"/>
      <c r="G22" s="3631"/>
      <c r="H22" s="3631"/>
      <c r="I22" s="3631"/>
      <c r="J22" s="3631"/>
      <c r="K22" s="3631"/>
      <c r="L22" s="3631"/>
      <c r="M22" s="3631"/>
      <c r="N22" s="3631"/>
      <c r="O22" s="3631"/>
      <c r="P22" s="3631"/>
      <c r="Q22" s="3632"/>
      <c r="R22" s="671">
        <f>ROUND(S22*10000/B22,0)</f>
        <v>10000</v>
      </c>
      <c r="S22" s="23">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2" t="s">
        <v>2780</v>
      </c>
      <c r="S23" s="11" t="s">
        <v>2781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2782</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37731</v>
      </c>
      <c r="C2" s="2" t="s">
        <v>133</v>
      </c>
      <c r="D2" s="204"/>
      <c r="E2" s="204"/>
      <c r="F2" s="204"/>
      <c r="G2" s="204"/>
    </row>
    <row r="3" spans="1:7" s="205" customFormat="1" ht="18" customHeight="1" thickBot="1">
      <c r="A3" s="208" t="s">
        <v>85</v>
      </c>
      <c r="B3" s="209">
        <f ca="1">ROUND(B2*10000/'数据-汇总表'!E3,0)</f>
        <v>21376</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353</v>
      </c>
      <c r="D10" s="953">
        <f>'数据-汇总表'!E6</f>
        <v>17650.910000000003</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353</v>
      </c>
      <c r="D19" s="957">
        <f>'数据-汇总表'!E3</f>
        <v>17650.910000000003</v>
      </c>
      <c r="E19" s="216">
        <f>'数据-取费表'!B31</f>
        <v>200</v>
      </c>
      <c r="F19" s="236"/>
      <c r="G19" s="1" t="s">
        <v>1042</v>
      </c>
    </row>
    <row r="20" spans="1:7" s="219" customFormat="1" ht="13.5" customHeight="1">
      <c r="A20" s="884" t="s">
        <v>1025</v>
      </c>
      <c r="B20" s="215" t="s">
        <v>104</v>
      </c>
      <c r="C20" s="237">
        <f>ROUND((C5+C19)*F20,0)</f>
        <v>419</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1816</v>
      </c>
      <c r="D22" s="240">
        <f ca="1">C26</f>
        <v>8.0000000000000004E-4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1768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30</v>
      </c>
      <c r="D24" s="243"/>
      <c r="E24" s="243"/>
      <c r="F24" s="244"/>
      <c r="G24" s="245" t="s">
        <v>109</v>
      </c>
    </row>
    <row r="25" spans="1:7" s="219" customFormat="1" ht="24">
      <c r="A25" s="887" t="s">
        <v>793</v>
      </c>
      <c r="B25" s="220" t="s">
        <v>1026</v>
      </c>
      <c r="C25" s="1236">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6.4">
      <c r="A27" s="884" t="s">
        <v>787</v>
      </c>
      <c r="B27" s="249" t="s">
        <v>112</v>
      </c>
      <c r="C27" s="250">
        <f>C28</f>
        <v>4276</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4276</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29803</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5887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5296</v>
      </c>
      <c r="D34" s="222"/>
      <c r="E34" s="225"/>
      <c r="F34" s="262">
        <f>IF('数据-取费表'!B24=0,1,'数据-取费表'!N16)</f>
        <v>1</v>
      </c>
      <c r="G34" s="224" t="s">
        <v>116</v>
      </c>
    </row>
    <row r="35" spans="1:7" ht="13.5" customHeight="1">
      <c r="A35" s="887" t="s">
        <v>796</v>
      </c>
      <c r="B35" s="220" t="s">
        <v>60</v>
      </c>
      <c r="C35" s="225">
        <f>ROUND(C34*F35,0)</f>
        <v>159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353</v>
      </c>
      <c r="D37" s="222">
        <f>'数据-汇总表'!E3</f>
        <v>17650.910000000003</v>
      </c>
      <c r="E37" s="254">
        <f>'数据-取费表'!B35</f>
        <v>200</v>
      </c>
      <c r="F37" s="264"/>
      <c r="G37" s="266" t="s">
        <v>119</v>
      </c>
    </row>
    <row r="38" spans="1:7" ht="13.5" customHeight="1">
      <c r="A38" s="887" t="s">
        <v>799</v>
      </c>
      <c r="B38" s="220" t="s">
        <v>63</v>
      </c>
      <c r="C38" s="225">
        <f>ROUND(C34*F38,0)</f>
        <v>79</v>
      </c>
      <c r="D38" s="225"/>
      <c r="E38" s="225"/>
      <c r="F38" s="264">
        <f>'数据-取费表'!B36</f>
        <v>1.4999999999999999E-2</v>
      </c>
      <c r="G38" s="224" t="s">
        <v>117</v>
      </c>
    </row>
    <row r="39" spans="1:7" s="219" customFormat="1" ht="13.5" customHeight="1">
      <c r="A39" s="884" t="s">
        <v>783</v>
      </c>
      <c r="B39" s="215" t="s">
        <v>104</v>
      </c>
      <c r="C39" s="237">
        <f>ROUND(C33*F20,0)</f>
        <v>118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252</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247</v>
      </c>
      <c r="D42" s="243"/>
      <c r="E42" s="243"/>
      <c r="F42" s="244"/>
      <c r="G42" s="3511" t="s">
        <v>121</v>
      </c>
    </row>
    <row r="43" spans="1:7" ht="13.5" customHeight="1">
      <c r="A43" s="887" t="s">
        <v>792</v>
      </c>
      <c r="B43" s="220" t="s">
        <v>1032</v>
      </c>
      <c r="C43" s="243">
        <f ca="1">ROUND(IF('数据-取费表'!B22&lt;=1,C39*F22*'数据-取费表'!B21/2,C39*(POWER((1+F22),'数据-取费表'!B21/2)-1)),0)</f>
        <v>5</v>
      </c>
      <c r="D43" s="243"/>
      <c r="E43" s="243"/>
      <c r="F43" s="244"/>
      <c r="G43" s="3512"/>
    </row>
    <row r="44" spans="1:7" ht="13.5" customHeight="1">
      <c r="A44" s="887" t="s">
        <v>793</v>
      </c>
      <c r="B44" s="220" t="s">
        <v>1034</v>
      </c>
      <c r="C44" s="243">
        <f ca="1">ROUND(IF('数据-取费表'!B22&lt;=1,C40*F22*'数据-取费表'!B21/2,C40*(POWER((1+F22),'数据-取费表'!B21/2)-1)),4)</f>
        <v>8.0000000000000004E-4</v>
      </c>
      <c r="D44" s="243"/>
      <c r="E44" s="243"/>
      <c r="F44" s="244"/>
      <c r="G44" s="3513"/>
    </row>
    <row r="45" spans="1:7" s="219" customFormat="1" ht="13.5" customHeight="1">
      <c r="A45" s="884" t="s">
        <v>786</v>
      </c>
      <c r="B45" s="249" t="s">
        <v>112</v>
      </c>
      <c r="C45" s="250">
        <f>C46</f>
        <v>1201</v>
      </c>
      <c r="D45" s="240">
        <f>C47</f>
        <v>4.0000000000000001E-3</v>
      </c>
      <c r="E45" s="241" t="s">
        <v>129</v>
      </c>
      <c r="F45" s="251"/>
      <c r="G45" s="252" t="s">
        <v>1040</v>
      </c>
    </row>
    <row r="46" spans="1:7" s="219" customFormat="1" ht="13.5" customHeight="1">
      <c r="A46" s="887" t="s">
        <v>794</v>
      </c>
      <c r="B46" s="253" t="s">
        <v>1033</v>
      </c>
      <c r="C46" s="254">
        <f>ROUND((C33+C39)*F27,0)</f>
        <v>1201</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8090</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7928</v>
      </c>
      <c r="D51" s="237"/>
      <c r="E51" s="237"/>
      <c r="F51" s="269"/>
      <c r="G51" s="239" t="s">
        <v>64</v>
      </c>
    </row>
    <row r="52" spans="1:7" s="213" customFormat="1" ht="16.8" thickBot="1">
      <c r="A52" s="270" t="s">
        <v>65</v>
      </c>
      <c r="B52" s="271"/>
      <c r="C52" s="272">
        <f ca="1">C31+C51</f>
        <v>37731</v>
      </c>
      <c r="D52" s="271"/>
      <c r="E52" s="271"/>
      <c r="F52" s="271"/>
      <c r="G52" s="273"/>
    </row>
    <row r="55" spans="1:7" ht="15">
      <c r="B55" s="275" t="s">
        <v>66</v>
      </c>
      <c r="C55" s="276"/>
    </row>
    <row r="56" spans="1:7">
      <c r="B56" s="278" t="s">
        <v>67</v>
      </c>
      <c r="C56" s="279">
        <f ca="1">ROUND(C51/C52,3)</f>
        <v>0.21</v>
      </c>
    </row>
    <row r="57" spans="1:7">
      <c r="B57" s="278" t="s">
        <v>68</v>
      </c>
      <c r="C57" s="280">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1" customWidth="1"/>
    <col min="2" max="9" width="12.109375" style="1631" customWidth="1"/>
    <col min="10" max="16384" width="9" style="1631"/>
  </cols>
  <sheetData>
    <row r="1" spans="1:9" ht="18" thickBot="1">
      <c r="A1" s="3299" t="str">
        <f>IF(项目基本情况!B9="房地产市场价值","估价结果一览表","结果表-2")</f>
        <v>结果表-2</v>
      </c>
      <c r="B1" s="3299"/>
      <c r="C1" s="3299"/>
      <c r="D1" s="3299"/>
      <c r="E1" s="3299"/>
      <c r="F1" s="3299"/>
      <c r="G1" s="3299"/>
      <c r="H1" s="3299"/>
      <c r="I1" s="3299"/>
    </row>
    <row r="2" spans="1:9" ht="30" customHeight="1" thickTop="1">
      <c r="A2" s="3300" t="s">
        <v>1543</v>
      </c>
      <c r="B2" s="3300" t="s">
        <v>1544</v>
      </c>
      <c r="C2" s="3300" t="s">
        <v>1545</v>
      </c>
      <c r="D2" s="3300" t="str">
        <f>结果表!D116</f>
        <v>出让国有建设用地使用权价值</v>
      </c>
      <c r="E2" s="3300"/>
      <c r="F2" s="3300" t="str">
        <f>结果表!F116</f>
        <v>在建建筑物价值</v>
      </c>
      <c r="G2" s="3300"/>
      <c r="H2" s="3300" t="str">
        <f>IF(项目基本情况!B9="房地产市场价值","房地产市场价值","房地产价值")</f>
        <v>房地产价值</v>
      </c>
      <c r="I2" s="3300"/>
    </row>
    <row r="3" spans="1:9" ht="15.6">
      <c r="A3" s="3301"/>
      <c r="B3" s="3301"/>
      <c r="C3" s="3301"/>
      <c r="D3" s="962" t="s">
        <v>1540</v>
      </c>
      <c r="E3" s="962" t="s">
        <v>1546</v>
      </c>
      <c r="F3" s="962" t="s">
        <v>1540</v>
      </c>
      <c r="G3" s="962" t="s">
        <v>1541</v>
      </c>
      <c r="H3" s="962" t="s">
        <v>1540</v>
      </c>
      <c r="I3" s="962" t="s">
        <v>1541</v>
      </c>
    </row>
    <row r="4" spans="1:9" ht="15">
      <c r="A4" s="1659" t="str">
        <f>项目基本情况!S2</f>
        <v>北京市房地产</v>
      </c>
      <c r="B4" s="962">
        <f>项目基本情况!C17</f>
        <v>17650.910000000003</v>
      </c>
      <c r="C4" s="962">
        <f>项目基本情况!C18</f>
        <v>6303.9</v>
      </c>
      <c r="D4" s="962">
        <f ca="1">结果表!D118</f>
        <v>30057</v>
      </c>
      <c r="E4" s="962">
        <f ca="1">结果表!E118</f>
        <v>20606</v>
      </c>
      <c r="F4" s="962">
        <f ca="1">结果表!F118</f>
        <v>4333</v>
      </c>
      <c r="G4" s="962">
        <f ca="1">结果表!G118</f>
        <v>2971</v>
      </c>
      <c r="H4" s="962">
        <f ca="1">结果表!H118</f>
        <v>34390</v>
      </c>
      <c r="I4" s="962">
        <f ca="1">结果表!I118</f>
        <v>23577</v>
      </c>
    </row>
    <row r="5" spans="1:9" ht="30" customHeight="1">
      <c r="A5" s="3301" t="s">
        <v>1542</v>
      </c>
      <c r="B5" s="3301"/>
      <c r="C5" s="3301"/>
      <c r="D5" s="3302" t="str">
        <f ca="1">结果表!D119</f>
        <v>叁亿零伍拾柒万元整</v>
      </c>
      <c r="E5" s="3302"/>
      <c r="F5" s="3302" t="str">
        <f ca="1">结果表!F119</f>
        <v>肆仟叁佰叁拾叁万元整</v>
      </c>
      <c r="G5" s="3302"/>
      <c r="H5" s="3302" t="str">
        <f ca="1">结果表!H119</f>
        <v>叁亿肆仟叁佰玖拾万元整</v>
      </c>
      <c r="I5" s="3302"/>
    </row>
    <row r="6" spans="1:9" ht="15.6">
      <c r="A6" s="3303" t="str">
        <f>结果表!A120</f>
        <v>估价师知悉的法定优先受偿款</v>
      </c>
      <c r="B6" s="3303"/>
      <c r="C6" s="3303"/>
      <c r="D6" s="3303">
        <f>结果表!D120</f>
        <v>0</v>
      </c>
      <c r="E6" s="3303"/>
      <c r="F6" s="3303"/>
      <c r="G6" s="3303"/>
      <c r="H6" s="3303"/>
      <c r="I6" s="3303"/>
    </row>
    <row r="7" spans="1:9" ht="15">
      <c r="A7" s="3301" t="s">
        <v>1542</v>
      </c>
      <c r="B7" s="3301"/>
      <c r="C7" s="3301"/>
      <c r="D7" s="3304" t="str">
        <f>结果表!D121</f>
        <v>零元整</v>
      </c>
      <c r="E7" s="3305"/>
      <c r="F7" s="3305"/>
      <c r="G7" s="3305"/>
      <c r="H7" s="3305"/>
      <c r="I7" s="3306"/>
    </row>
    <row r="8" spans="1:9" ht="15.6">
      <c r="A8" s="3303" t="str">
        <f>结果表!A122</f>
        <v>房地产抵押价值</v>
      </c>
      <c r="B8" s="3303"/>
      <c r="C8" s="3303"/>
      <c r="D8" s="3303">
        <f ca="1">结果表!D122</f>
        <v>34390</v>
      </c>
      <c r="E8" s="3303"/>
      <c r="F8" s="3303"/>
      <c r="G8" s="3303"/>
      <c r="H8" s="3303"/>
      <c r="I8" s="3303"/>
    </row>
    <row r="9" spans="1:9" ht="15">
      <c r="A9" s="3301" t="s">
        <v>1542</v>
      </c>
      <c r="B9" s="3301"/>
      <c r="C9" s="3301"/>
      <c r="D9" s="3302" t="str">
        <f ca="1">结果表!D123</f>
        <v>叁亿肆仟叁佰玖拾万元整</v>
      </c>
      <c r="E9" s="3302"/>
      <c r="F9" s="3302"/>
      <c r="G9" s="3302"/>
      <c r="H9" s="3302"/>
      <c r="I9" s="3302"/>
    </row>
    <row r="10" spans="1:9" ht="15.6">
      <c r="A10" s="3303" t="str">
        <f>结果表!A124</f>
        <v/>
      </c>
      <c r="B10" s="3303"/>
      <c r="C10" s="3303"/>
      <c r="D10" s="3303" t="str">
        <f>结果表!D124</f>
        <v>——</v>
      </c>
      <c r="E10" s="3303"/>
      <c r="F10" s="3303"/>
      <c r="G10" s="3303"/>
      <c r="H10" s="3303"/>
      <c r="I10" s="3303"/>
    </row>
    <row r="11" spans="1:9" ht="15">
      <c r="A11" s="3301" t="s">
        <v>1542</v>
      </c>
      <c r="B11" s="3301"/>
      <c r="C11" s="3301"/>
      <c r="D11" s="3302" t="e">
        <f>结果表!D125</f>
        <v>#VALUE!</v>
      </c>
      <c r="E11" s="3302"/>
      <c r="F11" s="3302"/>
      <c r="G11" s="3302"/>
      <c r="H11" s="3302"/>
      <c r="I11" s="3302"/>
    </row>
    <row r="12" spans="1:9" ht="15.6">
      <c r="A12" s="3303" t="str">
        <f>结果表!A126</f>
        <v/>
      </c>
      <c r="B12" s="3303"/>
      <c r="C12" s="3303"/>
      <c r="D12" s="3303" t="str">
        <f>结果表!D126</f>
        <v>——</v>
      </c>
      <c r="E12" s="3303"/>
      <c r="F12" s="3303"/>
      <c r="G12" s="3303"/>
      <c r="H12" s="3303"/>
      <c r="I12" s="3303"/>
    </row>
    <row r="13" spans="1:9" ht="15.6" thickBot="1">
      <c r="A13" s="3307" t="s">
        <v>1542</v>
      </c>
      <c r="B13" s="3307"/>
      <c r="C13" s="3307"/>
      <c r="D13" s="3308" t="e">
        <f>结果表!D127</f>
        <v>#VALUE!</v>
      </c>
      <c r="E13" s="3308"/>
      <c r="F13" s="3308"/>
      <c r="G13" s="3308"/>
      <c r="H13" s="3308"/>
      <c r="I13" s="3308"/>
    </row>
    <row r="14" spans="1:9" ht="14.4" thickTop="1">
      <c r="A14" s="3309" t="s">
        <v>1547</v>
      </c>
      <c r="B14" s="3309"/>
      <c r="C14" s="3309"/>
      <c r="D14" s="3309"/>
      <c r="E14" s="3309"/>
      <c r="F14" s="3309"/>
      <c r="G14" s="3309"/>
      <c r="H14" s="3309"/>
      <c r="I14" s="3309"/>
    </row>
    <row r="16" spans="1:9" ht="17.399999999999999">
      <c r="A16" s="1660" t="s">
        <v>1530</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636" t="s">
        <v>156</v>
      </c>
      <c r="B1" s="3636"/>
      <c r="C1" s="3636"/>
      <c r="D1" s="3636"/>
      <c r="E1" s="3636"/>
      <c r="F1" s="363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637" t="s">
        <v>169</v>
      </c>
      <c r="B2" s="3637"/>
      <c r="C2" s="3637"/>
      <c r="D2" s="3637"/>
      <c r="E2" s="3637"/>
      <c r="F2" s="363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3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3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636" t="s">
        <v>839</v>
      </c>
      <c r="B1" s="3636"/>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1" customWidth="1"/>
    <col min="2" max="2" width="13.21875" style="1387" customWidth="1"/>
    <col min="3" max="3" width="15.6640625" style="1387" customWidth="1"/>
    <col min="4" max="4" width="9.33203125" style="1387" bestFit="1" customWidth="1"/>
    <col min="5" max="5" width="13.44140625" style="1387" customWidth="1"/>
    <col min="6" max="6" width="9" style="1387"/>
    <col min="7" max="7" width="9.33203125" style="1387" bestFit="1" customWidth="1"/>
    <col min="8" max="8" width="12.21875" style="1387" customWidth="1"/>
    <col min="9" max="9" width="9" style="1387"/>
    <col min="10" max="10" width="9.33203125" style="1387" bestFit="1" customWidth="1"/>
    <col min="11" max="11" width="4" style="1381" customWidth="1"/>
    <col min="12" max="12" width="5.109375" style="1387" customWidth="1"/>
    <col min="13" max="13" width="13.77734375" style="1387" customWidth="1"/>
    <col min="14" max="256" width="9" style="1387"/>
    <col min="257" max="257" width="4.88671875" style="1378" customWidth="1"/>
    <col min="258" max="258" width="13.21875" style="1378" customWidth="1"/>
    <col min="259" max="259" width="15.6640625" style="1378" customWidth="1"/>
    <col min="260" max="260" width="9.33203125" style="1378" bestFit="1" customWidth="1"/>
    <col min="261" max="261" width="13.44140625" style="1378" customWidth="1"/>
    <col min="262" max="262" width="9" style="1378"/>
    <col min="263" max="263" width="9.33203125" style="1378" bestFit="1" customWidth="1"/>
    <col min="264" max="265" width="9" style="1378"/>
    <col min="266" max="266" width="9.33203125" style="1378" bestFit="1" customWidth="1"/>
    <col min="267" max="267" width="4" style="1378" customWidth="1"/>
    <col min="268" max="268" width="5.109375" style="1378" customWidth="1"/>
    <col min="269" max="269" width="13.77734375" style="1378" customWidth="1"/>
    <col min="270" max="512" width="9" style="1378"/>
    <col min="513" max="513" width="4.88671875" style="1378" customWidth="1"/>
    <col min="514" max="514" width="13.21875" style="1378" customWidth="1"/>
    <col min="515" max="515" width="15.6640625" style="1378" customWidth="1"/>
    <col min="516" max="516" width="9.33203125" style="1378" bestFit="1" customWidth="1"/>
    <col min="517" max="517" width="13.44140625" style="1378" customWidth="1"/>
    <col min="518" max="518" width="9" style="1378"/>
    <col min="519" max="519" width="9.33203125" style="1378" bestFit="1" customWidth="1"/>
    <col min="520" max="521" width="9" style="1378"/>
    <col min="522" max="522" width="9.33203125" style="1378" bestFit="1" customWidth="1"/>
    <col min="523" max="523" width="4" style="1378" customWidth="1"/>
    <col min="524" max="524" width="5.109375" style="1378" customWidth="1"/>
    <col min="525" max="525" width="13.77734375" style="1378" customWidth="1"/>
    <col min="526" max="768" width="9" style="1378"/>
    <col min="769" max="769" width="4.88671875" style="1378" customWidth="1"/>
    <col min="770" max="770" width="13.21875" style="1378" customWidth="1"/>
    <col min="771" max="771" width="15.6640625" style="1378" customWidth="1"/>
    <col min="772" max="772" width="9.33203125" style="1378" bestFit="1" customWidth="1"/>
    <col min="773" max="773" width="13.44140625" style="1378" customWidth="1"/>
    <col min="774" max="774" width="9" style="1378"/>
    <col min="775" max="775" width="9.33203125" style="1378" bestFit="1" customWidth="1"/>
    <col min="776" max="777" width="9" style="1378"/>
    <col min="778" max="778" width="9.33203125" style="1378" bestFit="1" customWidth="1"/>
    <col min="779" max="779" width="4" style="1378" customWidth="1"/>
    <col min="780" max="780" width="5.109375" style="1378" customWidth="1"/>
    <col min="781" max="781" width="13.77734375" style="1378" customWidth="1"/>
    <col min="782" max="1024" width="9" style="1378"/>
    <col min="1025" max="1025" width="4.88671875" style="1378" customWidth="1"/>
    <col min="1026" max="1026" width="13.21875" style="1378" customWidth="1"/>
    <col min="1027" max="1027" width="15.6640625" style="1378" customWidth="1"/>
    <col min="1028" max="1028" width="9.33203125" style="1378" bestFit="1" customWidth="1"/>
    <col min="1029" max="1029" width="13.44140625" style="1378" customWidth="1"/>
    <col min="1030" max="1030" width="9" style="1378"/>
    <col min="1031" max="1031" width="9.33203125" style="1378" bestFit="1" customWidth="1"/>
    <col min="1032" max="1033" width="9" style="1378"/>
    <col min="1034" max="1034" width="9.33203125" style="1378" bestFit="1" customWidth="1"/>
    <col min="1035" max="1035" width="4" style="1378" customWidth="1"/>
    <col min="1036" max="1036" width="5.109375" style="1378" customWidth="1"/>
    <col min="1037" max="1037" width="13.77734375" style="1378" customWidth="1"/>
    <col min="1038" max="1280" width="9" style="1378"/>
    <col min="1281" max="1281" width="4.88671875" style="1378" customWidth="1"/>
    <col min="1282" max="1282" width="13.21875" style="1378" customWidth="1"/>
    <col min="1283" max="1283" width="15.6640625" style="1378" customWidth="1"/>
    <col min="1284" max="1284" width="9.33203125" style="1378" bestFit="1" customWidth="1"/>
    <col min="1285" max="1285" width="13.44140625" style="1378" customWidth="1"/>
    <col min="1286" max="1286" width="9" style="1378"/>
    <col min="1287" max="1287" width="9.33203125" style="1378" bestFit="1" customWidth="1"/>
    <col min="1288" max="1289" width="9" style="1378"/>
    <col min="1290" max="1290" width="9.33203125" style="1378" bestFit="1" customWidth="1"/>
    <col min="1291" max="1291" width="4" style="1378" customWidth="1"/>
    <col min="1292" max="1292" width="5.109375" style="1378" customWidth="1"/>
    <col min="1293" max="1293" width="13.77734375" style="1378" customWidth="1"/>
    <col min="1294" max="1536" width="9" style="1378"/>
    <col min="1537" max="1537" width="4.88671875" style="1378" customWidth="1"/>
    <col min="1538" max="1538" width="13.21875" style="1378" customWidth="1"/>
    <col min="1539" max="1539" width="15.6640625" style="1378" customWidth="1"/>
    <col min="1540" max="1540" width="9.33203125" style="1378" bestFit="1" customWidth="1"/>
    <col min="1541" max="1541" width="13.44140625" style="1378" customWidth="1"/>
    <col min="1542" max="1542" width="9" style="1378"/>
    <col min="1543" max="1543" width="9.33203125" style="1378" bestFit="1" customWidth="1"/>
    <col min="1544" max="1545" width="9" style="1378"/>
    <col min="1546" max="1546" width="9.33203125" style="1378" bestFit="1" customWidth="1"/>
    <col min="1547" max="1547" width="4" style="1378" customWidth="1"/>
    <col min="1548" max="1548" width="5.109375" style="1378" customWidth="1"/>
    <col min="1549" max="1549" width="13.77734375" style="1378" customWidth="1"/>
    <col min="1550" max="1792" width="9" style="1378"/>
    <col min="1793" max="1793" width="4.88671875" style="1378" customWidth="1"/>
    <col min="1794" max="1794" width="13.21875" style="1378" customWidth="1"/>
    <col min="1795" max="1795" width="15.6640625" style="1378" customWidth="1"/>
    <col min="1796" max="1796" width="9.33203125" style="1378" bestFit="1" customWidth="1"/>
    <col min="1797" max="1797" width="13.44140625" style="1378" customWidth="1"/>
    <col min="1798" max="1798" width="9" style="1378"/>
    <col min="1799" max="1799" width="9.33203125" style="1378" bestFit="1" customWidth="1"/>
    <col min="1800" max="1801" width="9" style="1378"/>
    <col min="1802" max="1802" width="9.33203125" style="1378" bestFit="1" customWidth="1"/>
    <col min="1803" max="1803" width="4" style="1378" customWidth="1"/>
    <col min="1804" max="1804" width="5.109375" style="1378" customWidth="1"/>
    <col min="1805" max="1805" width="13.77734375" style="1378" customWidth="1"/>
    <col min="1806" max="2048" width="9" style="1378"/>
    <col min="2049" max="2049" width="4.88671875" style="1378" customWidth="1"/>
    <col min="2050" max="2050" width="13.21875" style="1378" customWidth="1"/>
    <col min="2051" max="2051" width="15.6640625" style="1378" customWidth="1"/>
    <col min="2052" max="2052" width="9.33203125" style="1378" bestFit="1" customWidth="1"/>
    <col min="2053" max="2053" width="13.44140625" style="1378" customWidth="1"/>
    <col min="2054" max="2054" width="9" style="1378"/>
    <col min="2055" max="2055" width="9.33203125" style="1378" bestFit="1" customWidth="1"/>
    <col min="2056" max="2057" width="9" style="1378"/>
    <col min="2058" max="2058" width="9.33203125" style="1378" bestFit="1" customWidth="1"/>
    <col min="2059" max="2059" width="4" style="1378" customWidth="1"/>
    <col min="2060" max="2060" width="5.109375" style="1378" customWidth="1"/>
    <col min="2061" max="2061" width="13.77734375" style="1378" customWidth="1"/>
    <col min="2062" max="2304" width="9" style="1378"/>
    <col min="2305" max="2305" width="4.88671875" style="1378" customWidth="1"/>
    <col min="2306" max="2306" width="13.21875" style="1378" customWidth="1"/>
    <col min="2307" max="2307" width="15.6640625" style="1378" customWidth="1"/>
    <col min="2308" max="2308" width="9.33203125" style="1378" bestFit="1" customWidth="1"/>
    <col min="2309" max="2309" width="13.44140625" style="1378" customWidth="1"/>
    <col min="2310" max="2310" width="9" style="1378"/>
    <col min="2311" max="2311" width="9.33203125" style="1378" bestFit="1" customWidth="1"/>
    <col min="2312" max="2313" width="9" style="1378"/>
    <col min="2314" max="2314" width="9.33203125" style="1378" bestFit="1" customWidth="1"/>
    <col min="2315" max="2315" width="4" style="1378" customWidth="1"/>
    <col min="2316" max="2316" width="5.109375" style="1378" customWidth="1"/>
    <col min="2317" max="2317" width="13.77734375" style="1378" customWidth="1"/>
    <col min="2318" max="2560" width="9" style="1378"/>
    <col min="2561" max="2561" width="4.88671875" style="1378" customWidth="1"/>
    <col min="2562" max="2562" width="13.21875" style="1378" customWidth="1"/>
    <col min="2563" max="2563" width="15.6640625" style="1378" customWidth="1"/>
    <col min="2564" max="2564" width="9.33203125" style="1378" bestFit="1" customWidth="1"/>
    <col min="2565" max="2565" width="13.44140625" style="1378" customWidth="1"/>
    <col min="2566" max="2566" width="9" style="1378"/>
    <col min="2567" max="2567" width="9.33203125" style="1378" bestFit="1" customWidth="1"/>
    <col min="2568" max="2569" width="9" style="1378"/>
    <col min="2570" max="2570" width="9.33203125" style="1378" bestFit="1" customWidth="1"/>
    <col min="2571" max="2571" width="4" style="1378" customWidth="1"/>
    <col min="2572" max="2572" width="5.109375" style="1378" customWidth="1"/>
    <col min="2573" max="2573" width="13.77734375" style="1378" customWidth="1"/>
    <col min="2574" max="2816" width="9" style="1378"/>
    <col min="2817" max="2817" width="4.88671875" style="1378" customWidth="1"/>
    <col min="2818" max="2818" width="13.21875" style="1378" customWidth="1"/>
    <col min="2819" max="2819" width="15.6640625" style="1378" customWidth="1"/>
    <col min="2820" max="2820" width="9.33203125" style="1378" bestFit="1" customWidth="1"/>
    <col min="2821" max="2821" width="13.44140625" style="1378" customWidth="1"/>
    <col min="2822" max="2822" width="9" style="1378"/>
    <col min="2823" max="2823" width="9.33203125" style="1378" bestFit="1" customWidth="1"/>
    <col min="2824" max="2825" width="9" style="1378"/>
    <col min="2826" max="2826" width="9.33203125" style="1378" bestFit="1" customWidth="1"/>
    <col min="2827" max="2827" width="4" style="1378" customWidth="1"/>
    <col min="2828" max="2828" width="5.109375" style="1378" customWidth="1"/>
    <col min="2829" max="2829" width="13.77734375" style="1378" customWidth="1"/>
    <col min="2830" max="3072" width="9" style="1378"/>
    <col min="3073" max="3073" width="4.88671875" style="1378" customWidth="1"/>
    <col min="3074" max="3074" width="13.21875" style="1378" customWidth="1"/>
    <col min="3075" max="3075" width="15.6640625" style="1378" customWidth="1"/>
    <col min="3076" max="3076" width="9.33203125" style="1378" bestFit="1" customWidth="1"/>
    <col min="3077" max="3077" width="13.44140625" style="1378" customWidth="1"/>
    <col min="3078" max="3078" width="9" style="1378"/>
    <col min="3079" max="3079" width="9.33203125" style="1378" bestFit="1" customWidth="1"/>
    <col min="3080" max="3081" width="9" style="1378"/>
    <col min="3082" max="3082" width="9.33203125" style="1378" bestFit="1" customWidth="1"/>
    <col min="3083" max="3083" width="4" style="1378" customWidth="1"/>
    <col min="3084" max="3084" width="5.109375" style="1378" customWidth="1"/>
    <col min="3085" max="3085" width="13.77734375" style="1378" customWidth="1"/>
    <col min="3086" max="3328" width="9" style="1378"/>
    <col min="3329" max="3329" width="4.88671875" style="1378" customWidth="1"/>
    <col min="3330" max="3330" width="13.21875" style="1378" customWidth="1"/>
    <col min="3331" max="3331" width="15.6640625" style="1378" customWidth="1"/>
    <col min="3332" max="3332" width="9.33203125" style="1378" bestFit="1" customWidth="1"/>
    <col min="3333" max="3333" width="13.44140625" style="1378" customWidth="1"/>
    <col min="3334" max="3334" width="9" style="1378"/>
    <col min="3335" max="3335" width="9.33203125" style="1378" bestFit="1" customWidth="1"/>
    <col min="3336" max="3337" width="9" style="1378"/>
    <col min="3338" max="3338" width="9.33203125" style="1378" bestFit="1" customWidth="1"/>
    <col min="3339" max="3339" width="4" style="1378" customWidth="1"/>
    <col min="3340" max="3340" width="5.109375" style="1378" customWidth="1"/>
    <col min="3341" max="3341" width="13.77734375" style="1378" customWidth="1"/>
    <col min="3342" max="3584" width="9" style="1378"/>
    <col min="3585" max="3585" width="4.88671875" style="1378" customWidth="1"/>
    <col min="3586" max="3586" width="13.21875" style="1378" customWidth="1"/>
    <col min="3587" max="3587" width="15.6640625" style="1378" customWidth="1"/>
    <col min="3588" max="3588" width="9.33203125" style="1378" bestFit="1" customWidth="1"/>
    <col min="3589" max="3589" width="13.44140625" style="1378" customWidth="1"/>
    <col min="3590" max="3590" width="9" style="1378"/>
    <col min="3591" max="3591" width="9.33203125" style="1378" bestFit="1" customWidth="1"/>
    <col min="3592" max="3593" width="9" style="1378"/>
    <col min="3594" max="3594" width="9.33203125" style="1378" bestFit="1" customWidth="1"/>
    <col min="3595" max="3595" width="4" style="1378" customWidth="1"/>
    <col min="3596" max="3596" width="5.109375" style="1378" customWidth="1"/>
    <col min="3597" max="3597" width="13.77734375" style="1378" customWidth="1"/>
    <col min="3598" max="3840" width="9" style="1378"/>
    <col min="3841" max="3841" width="4.88671875" style="1378" customWidth="1"/>
    <col min="3842" max="3842" width="13.21875" style="1378" customWidth="1"/>
    <col min="3843" max="3843" width="15.6640625" style="1378" customWidth="1"/>
    <col min="3844" max="3844" width="9.33203125" style="1378" bestFit="1" customWidth="1"/>
    <col min="3845" max="3845" width="13.44140625" style="1378" customWidth="1"/>
    <col min="3846" max="3846" width="9" style="1378"/>
    <col min="3847" max="3847" width="9.33203125" style="1378" bestFit="1" customWidth="1"/>
    <col min="3848" max="3849" width="9" style="1378"/>
    <col min="3850" max="3850" width="9.33203125" style="1378" bestFit="1" customWidth="1"/>
    <col min="3851" max="3851" width="4" style="1378" customWidth="1"/>
    <col min="3852" max="3852" width="5.109375" style="1378" customWidth="1"/>
    <col min="3853" max="3853" width="13.77734375" style="1378" customWidth="1"/>
    <col min="3854" max="4096" width="9" style="1378"/>
    <col min="4097" max="4097" width="4.88671875" style="1378" customWidth="1"/>
    <col min="4098" max="4098" width="13.21875" style="1378" customWidth="1"/>
    <col min="4099" max="4099" width="15.6640625" style="1378" customWidth="1"/>
    <col min="4100" max="4100" width="9.33203125" style="1378" bestFit="1" customWidth="1"/>
    <col min="4101" max="4101" width="13.44140625" style="1378" customWidth="1"/>
    <col min="4102" max="4102" width="9" style="1378"/>
    <col min="4103" max="4103" width="9.33203125" style="1378" bestFit="1" customWidth="1"/>
    <col min="4104" max="4105" width="9" style="1378"/>
    <col min="4106" max="4106" width="9.33203125" style="1378" bestFit="1" customWidth="1"/>
    <col min="4107" max="4107" width="4" style="1378" customWidth="1"/>
    <col min="4108" max="4108" width="5.109375" style="1378" customWidth="1"/>
    <col min="4109" max="4109" width="13.77734375" style="1378" customWidth="1"/>
    <col min="4110" max="4352" width="9" style="1378"/>
    <col min="4353" max="4353" width="4.88671875" style="1378" customWidth="1"/>
    <col min="4354" max="4354" width="13.21875" style="1378" customWidth="1"/>
    <col min="4355" max="4355" width="15.6640625" style="1378" customWidth="1"/>
    <col min="4356" max="4356" width="9.33203125" style="1378" bestFit="1" customWidth="1"/>
    <col min="4357" max="4357" width="13.44140625" style="1378" customWidth="1"/>
    <col min="4358" max="4358" width="9" style="1378"/>
    <col min="4359" max="4359" width="9.33203125" style="1378" bestFit="1" customWidth="1"/>
    <col min="4360" max="4361" width="9" style="1378"/>
    <col min="4362" max="4362" width="9.33203125" style="1378" bestFit="1" customWidth="1"/>
    <col min="4363" max="4363" width="4" style="1378" customWidth="1"/>
    <col min="4364" max="4364" width="5.109375" style="1378" customWidth="1"/>
    <col min="4365" max="4365" width="13.77734375" style="1378" customWidth="1"/>
    <col min="4366" max="4608" width="9" style="1378"/>
    <col min="4609" max="4609" width="4.88671875" style="1378" customWidth="1"/>
    <col min="4610" max="4610" width="13.21875" style="1378" customWidth="1"/>
    <col min="4611" max="4611" width="15.6640625" style="1378" customWidth="1"/>
    <col min="4612" max="4612" width="9.33203125" style="1378" bestFit="1" customWidth="1"/>
    <col min="4613" max="4613" width="13.44140625" style="1378" customWidth="1"/>
    <col min="4614" max="4614" width="9" style="1378"/>
    <col min="4615" max="4615" width="9.33203125" style="1378" bestFit="1" customWidth="1"/>
    <col min="4616" max="4617" width="9" style="1378"/>
    <col min="4618" max="4618" width="9.33203125" style="1378" bestFit="1" customWidth="1"/>
    <col min="4619" max="4619" width="4" style="1378" customWidth="1"/>
    <col min="4620" max="4620" width="5.109375" style="1378" customWidth="1"/>
    <col min="4621" max="4621" width="13.77734375" style="1378" customWidth="1"/>
    <col min="4622" max="4864" width="9" style="1378"/>
    <col min="4865" max="4865" width="4.88671875" style="1378" customWidth="1"/>
    <col min="4866" max="4866" width="13.21875" style="1378" customWidth="1"/>
    <col min="4867" max="4867" width="15.6640625" style="1378" customWidth="1"/>
    <col min="4868" max="4868" width="9.33203125" style="1378" bestFit="1" customWidth="1"/>
    <col min="4869" max="4869" width="13.44140625" style="1378" customWidth="1"/>
    <col min="4870" max="4870" width="9" style="1378"/>
    <col min="4871" max="4871" width="9.33203125" style="1378" bestFit="1" customWidth="1"/>
    <col min="4872" max="4873" width="9" style="1378"/>
    <col min="4874" max="4874" width="9.33203125" style="1378" bestFit="1" customWidth="1"/>
    <col min="4875" max="4875" width="4" style="1378" customWidth="1"/>
    <col min="4876" max="4876" width="5.109375" style="1378" customWidth="1"/>
    <col min="4877" max="4877" width="13.77734375" style="1378" customWidth="1"/>
    <col min="4878" max="5120" width="9" style="1378"/>
    <col min="5121" max="5121" width="4.88671875" style="1378" customWidth="1"/>
    <col min="5122" max="5122" width="13.21875" style="1378" customWidth="1"/>
    <col min="5123" max="5123" width="15.6640625" style="1378" customWidth="1"/>
    <col min="5124" max="5124" width="9.33203125" style="1378" bestFit="1" customWidth="1"/>
    <col min="5125" max="5125" width="13.44140625" style="1378" customWidth="1"/>
    <col min="5126" max="5126" width="9" style="1378"/>
    <col min="5127" max="5127" width="9.33203125" style="1378" bestFit="1" customWidth="1"/>
    <col min="5128" max="5129" width="9" style="1378"/>
    <col min="5130" max="5130" width="9.33203125" style="1378" bestFit="1" customWidth="1"/>
    <col min="5131" max="5131" width="4" style="1378" customWidth="1"/>
    <col min="5132" max="5132" width="5.109375" style="1378" customWidth="1"/>
    <col min="5133" max="5133" width="13.77734375" style="1378" customWidth="1"/>
    <col min="5134" max="5376" width="9" style="1378"/>
    <col min="5377" max="5377" width="4.88671875" style="1378" customWidth="1"/>
    <col min="5378" max="5378" width="13.21875" style="1378" customWidth="1"/>
    <col min="5379" max="5379" width="15.6640625" style="1378" customWidth="1"/>
    <col min="5380" max="5380" width="9.33203125" style="1378" bestFit="1" customWidth="1"/>
    <col min="5381" max="5381" width="13.44140625" style="1378" customWidth="1"/>
    <col min="5382" max="5382" width="9" style="1378"/>
    <col min="5383" max="5383" width="9.33203125" style="1378" bestFit="1" customWidth="1"/>
    <col min="5384" max="5385" width="9" style="1378"/>
    <col min="5386" max="5386" width="9.33203125" style="1378" bestFit="1" customWidth="1"/>
    <col min="5387" max="5387" width="4" style="1378" customWidth="1"/>
    <col min="5388" max="5388" width="5.109375" style="1378" customWidth="1"/>
    <col min="5389" max="5389" width="13.77734375" style="1378" customWidth="1"/>
    <col min="5390" max="5632" width="9" style="1378"/>
    <col min="5633" max="5633" width="4.88671875" style="1378" customWidth="1"/>
    <col min="5634" max="5634" width="13.21875" style="1378" customWidth="1"/>
    <col min="5635" max="5635" width="15.6640625" style="1378" customWidth="1"/>
    <col min="5636" max="5636" width="9.33203125" style="1378" bestFit="1" customWidth="1"/>
    <col min="5637" max="5637" width="13.44140625" style="1378" customWidth="1"/>
    <col min="5638" max="5638" width="9" style="1378"/>
    <col min="5639" max="5639" width="9.33203125" style="1378" bestFit="1" customWidth="1"/>
    <col min="5640" max="5641" width="9" style="1378"/>
    <col min="5642" max="5642" width="9.33203125" style="1378" bestFit="1" customWidth="1"/>
    <col min="5643" max="5643" width="4" style="1378" customWidth="1"/>
    <col min="5644" max="5644" width="5.109375" style="1378" customWidth="1"/>
    <col min="5645" max="5645" width="13.77734375" style="1378" customWidth="1"/>
    <col min="5646" max="5888" width="9" style="1378"/>
    <col min="5889" max="5889" width="4.88671875" style="1378" customWidth="1"/>
    <col min="5890" max="5890" width="13.21875" style="1378" customWidth="1"/>
    <col min="5891" max="5891" width="15.6640625" style="1378" customWidth="1"/>
    <col min="5892" max="5892" width="9.33203125" style="1378" bestFit="1" customWidth="1"/>
    <col min="5893" max="5893" width="13.44140625" style="1378" customWidth="1"/>
    <col min="5894" max="5894" width="9" style="1378"/>
    <col min="5895" max="5895" width="9.33203125" style="1378" bestFit="1" customWidth="1"/>
    <col min="5896" max="5897" width="9" style="1378"/>
    <col min="5898" max="5898" width="9.33203125" style="1378" bestFit="1" customWidth="1"/>
    <col min="5899" max="5899" width="4" style="1378" customWidth="1"/>
    <col min="5900" max="5900" width="5.109375" style="1378" customWidth="1"/>
    <col min="5901" max="5901" width="13.77734375" style="1378" customWidth="1"/>
    <col min="5902" max="6144" width="9" style="1378"/>
    <col min="6145" max="6145" width="4.88671875" style="1378" customWidth="1"/>
    <col min="6146" max="6146" width="13.21875" style="1378" customWidth="1"/>
    <col min="6147" max="6147" width="15.6640625" style="1378" customWidth="1"/>
    <col min="6148" max="6148" width="9.33203125" style="1378" bestFit="1" customWidth="1"/>
    <col min="6149" max="6149" width="13.44140625" style="1378" customWidth="1"/>
    <col min="6150" max="6150" width="9" style="1378"/>
    <col min="6151" max="6151" width="9.33203125" style="1378" bestFit="1" customWidth="1"/>
    <col min="6152" max="6153" width="9" style="1378"/>
    <col min="6154" max="6154" width="9.33203125" style="1378" bestFit="1" customWidth="1"/>
    <col min="6155" max="6155" width="4" style="1378" customWidth="1"/>
    <col min="6156" max="6156" width="5.109375" style="1378" customWidth="1"/>
    <col min="6157" max="6157" width="13.77734375" style="1378" customWidth="1"/>
    <col min="6158" max="6400" width="9" style="1378"/>
    <col min="6401" max="6401" width="4.88671875" style="1378" customWidth="1"/>
    <col min="6402" max="6402" width="13.21875" style="1378" customWidth="1"/>
    <col min="6403" max="6403" width="15.6640625" style="1378" customWidth="1"/>
    <col min="6404" max="6404" width="9.33203125" style="1378" bestFit="1" customWidth="1"/>
    <col min="6405" max="6405" width="13.44140625" style="1378" customWidth="1"/>
    <col min="6406" max="6406" width="9" style="1378"/>
    <col min="6407" max="6407" width="9.33203125" style="1378" bestFit="1" customWidth="1"/>
    <col min="6408" max="6409" width="9" style="1378"/>
    <col min="6410" max="6410" width="9.33203125" style="1378" bestFit="1" customWidth="1"/>
    <col min="6411" max="6411" width="4" style="1378" customWidth="1"/>
    <col min="6412" max="6412" width="5.109375" style="1378" customWidth="1"/>
    <col min="6413" max="6413" width="13.77734375" style="1378" customWidth="1"/>
    <col min="6414" max="6656" width="9" style="1378"/>
    <col min="6657" max="6657" width="4.88671875" style="1378" customWidth="1"/>
    <col min="6658" max="6658" width="13.21875" style="1378" customWidth="1"/>
    <col min="6659" max="6659" width="15.6640625" style="1378" customWidth="1"/>
    <col min="6660" max="6660" width="9.33203125" style="1378" bestFit="1" customWidth="1"/>
    <col min="6661" max="6661" width="13.44140625" style="1378" customWidth="1"/>
    <col min="6662" max="6662" width="9" style="1378"/>
    <col min="6663" max="6663" width="9.33203125" style="1378" bestFit="1" customWidth="1"/>
    <col min="6664" max="6665" width="9" style="1378"/>
    <col min="6666" max="6666" width="9.33203125" style="1378" bestFit="1" customWidth="1"/>
    <col min="6667" max="6667" width="4" style="1378" customWidth="1"/>
    <col min="6668" max="6668" width="5.109375" style="1378" customWidth="1"/>
    <col min="6669" max="6669" width="13.77734375" style="1378" customWidth="1"/>
    <col min="6670" max="6912" width="9" style="1378"/>
    <col min="6913" max="6913" width="4.88671875" style="1378" customWidth="1"/>
    <col min="6914" max="6914" width="13.21875" style="1378" customWidth="1"/>
    <col min="6915" max="6915" width="15.6640625" style="1378" customWidth="1"/>
    <col min="6916" max="6916" width="9.33203125" style="1378" bestFit="1" customWidth="1"/>
    <col min="6917" max="6917" width="13.44140625" style="1378" customWidth="1"/>
    <col min="6918" max="6918" width="9" style="1378"/>
    <col min="6919" max="6919" width="9.33203125" style="1378" bestFit="1" customWidth="1"/>
    <col min="6920" max="6921" width="9" style="1378"/>
    <col min="6922" max="6922" width="9.33203125" style="1378" bestFit="1" customWidth="1"/>
    <col min="6923" max="6923" width="4" style="1378" customWidth="1"/>
    <col min="6924" max="6924" width="5.109375" style="1378" customWidth="1"/>
    <col min="6925" max="6925" width="13.77734375" style="1378" customWidth="1"/>
    <col min="6926" max="7168" width="9" style="1378"/>
    <col min="7169" max="7169" width="4.88671875" style="1378" customWidth="1"/>
    <col min="7170" max="7170" width="13.21875" style="1378" customWidth="1"/>
    <col min="7171" max="7171" width="15.6640625" style="1378" customWidth="1"/>
    <col min="7172" max="7172" width="9.33203125" style="1378" bestFit="1" customWidth="1"/>
    <col min="7173" max="7173" width="13.44140625" style="1378" customWidth="1"/>
    <col min="7174" max="7174" width="9" style="1378"/>
    <col min="7175" max="7175" width="9.33203125" style="1378" bestFit="1" customWidth="1"/>
    <col min="7176" max="7177" width="9" style="1378"/>
    <col min="7178" max="7178" width="9.33203125" style="1378" bestFit="1" customWidth="1"/>
    <col min="7179" max="7179" width="4" style="1378" customWidth="1"/>
    <col min="7180" max="7180" width="5.109375" style="1378" customWidth="1"/>
    <col min="7181" max="7181" width="13.77734375" style="1378" customWidth="1"/>
    <col min="7182" max="7424" width="9" style="1378"/>
    <col min="7425" max="7425" width="4.88671875" style="1378" customWidth="1"/>
    <col min="7426" max="7426" width="13.21875" style="1378" customWidth="1"/>
    <col min="7427" max="7427" width="15.6640625" style="1378" customWidth="1"/>
    <col min="7428" max="7428" width="9.33203125" style="1378" bestFit="1" customWidth="1"/>
    <col min="7429" max="7429" width="13.44140625" style="1378" customWidth="1"/>
    <col min="7430" max="7430" width="9" style="1378"/>
    <col min="7431" max="7431" width="9.33203125" style="1378" bestFit="1" customWidth="1"/>
    <col min="7432" max="7433" width="9" style="1378"/>
    <col min="7434" max="7434" width="9.33203125" style="1378" bestFit="1" customWidth="1"/>
    <col min="7435" max="7435" width="4" style="1378" customWidth="1"/>
    <col min="7436" max="7436" width="5.109375" style="1378" customWidth="1"/>
    <col min="7437" max="7437" width="13.77734375" style="1378" customWidth="1"/>
    <col min="7438" max="7680" width="9" style="1378"/>
    <col min="7681" max="7681" width="4.88671875" style="1378" customWidth="1"/>
    <col min="7682" max="7682" width="13.21875" style="1378" customWidth="1"/>
    <col min="7683" max="7683" width="15.6640625" style="1378" customWidth="1"/>
    <col min="7684" max="7684" width="9.33203125" style="1378" bestFit="1" customWidth="1"/>
    <col min="7685" max="7685" width="13.44140625" style="1378" customWidth="1"/>
    <col min="7686" max="7686" width="9" style="1378"/>
    <col min="7687" max="7687" width="9.33203125" style="1378" bestFit="1" customWidth="1"/>
    <col min="7688" max="7689" width="9" style="1378"/>
    <col min="7690" max="7690" width="9.33203125" style="1378" bestFit="1" customWidth="1"/>
    <col min="7691" max="7691" width="4" style="1378" customWidth="1"/>
    <col min="7692" max="7692" width="5.109375" style="1378" customWidth="1"/>
    <col min="7693" max="7693" width="13.77734375" style="1378" customWidth="1"/>
    <col min="7694" max="7936" width="9" style="1378"/>
    <col min="7937" max="7937" width="4.88671875" style="1378" customWidth="1"/>
    <col min="7938" max="7938" width="13.21875" style="1378" customWidth="1"/>
    <col min="7939" max="7939" width="15.6640625" style="1378" customWidth="1"/>
    <col min="7940" max="7940" width="9.33203125" style="1378" bestFit="1" customWidth="1"/>
    <col min="7941" max="7941" width="13.44140625" style="1378" customWidth="1"/>
    <col min="7942" max="7942" width="9" style="1378"/>
    <col min="7943" max="7943" width="9.33203125" style="1378" bestFit="1" customWidth="1"/>
    <col min="7944" max="7945" width="9" style="1378"/>
    <col min="7946" max="7946" width="9.33203125" style="1378" bestFit="1" customWidth="1"/>
    <col min="7947" max="7947" width="4" style="1378" customWidth="1"/>
    <col min="7948" max="7948" width="5.109375" style="1378" customWidth="1"/>
    <col min="7949" max="7949" width="13.77734375" style="1378" customWidth="1"/>
    <col min="7950" max="8192" width="9" style="1378"/>
    <col min="8193" max="8193" width="4.88671875" style="1378" customWidth="1"/>
    <col min="8194" max="8194" width="13.21875" style="1378" customWidth="1"/>
    <col min="8195" max="8195" width="15.6640625" style="1378" customWidth="1"/>
    <col min="8196" max="8196" width="9.33203125" style="1378" bestFit="1" customWidth="1"/>
    <col min="8197" max="8197" width="13.44140625" style="1378" customWidth="1"/>
    <col min="8198" max="8198" width="9" style="1378"/>
    <col min="8199" max="8199" width="9.33203125" style="1378" bestFit="1" customWidth="1"/>
    <col min="8200" max="8201" width="9" style="1378"/>
    <col min="8202" max="8202" width="9.33203125" style="1378" bestFit="1" customWidth="1"/>
    <col min="8203" max="8203" width="4" style="1378" customWidth="1"/>
    <col min="8204" max="8204" width="5.109375" style="1378" customWidth="1"/>
    <col min="8205" max="8205" width="13.77734375" style="1378" customWidth="1"/>
    <col min="8206" max="8448" width="9" style="1378"/>
    <col min="8449" max="8449" width="4.88671875" style="1378" customWidth="1"/>
    <col min="8450" max="8450" width="13.21875" style="1378" customWidth="1"/>
    <col min="8451" max="8451" width="15.6640625" style="1378" customWidth="1"/>
    <col min="8452" max="8452" width="9.33203125" style="1378" bestFit="1" customWidth="1"/>
    <col min="8453" max="8453" width="13.44140625" style="1378" customWidth="1"/>
    <col min="8454" max="8454" width="9" style="1378"/>
    <col min="8455" max="8455" width="9.33203125" style="1378" bestFit="1" customWidth="1"/>
    <col min="8456" max="8457" width="9" style="1378"/>
    <col min="8458" max="8458" width="9.33203125" style="1378" bestFit="1" customWidth="1"/>
    <col min="8459" max="8459" width="4" style="1378" customWidth="1"/>
    <col min="8460" max="8460" width="5.109375" style="1378" customWidth="1"/>
    <col min="8461" max="8461" width="13.77734375" style="1378" customWidth="1"/>
    <col min="8462" max="8704" width="9" style="1378"/>
    <col min="8705" max="8705" width="4.88671875" style="1378" customWidth="1"/>
    <col min="8706" max="8706" width="13.21875" style="1378" customWidth="1"/>
    <col min="8707" max="8707" width="15.6640625" style="1378" customWidth="1"/>
    <col min="8708" max="8708" width="9.33203125" style="1378" bestFit="1" customWidth="1"/>
    <col min="8709" max="8709" width="13.44140625" style="1378" customWidth="1"/>
    <col min="8710" max="8710" width="9" style="1378"/>
    <col min="8711" max="8711" width="9.33203125" style="1378" bestFit="1" customWidth="1"/>
    <col min="8712" max="8713" width="9" style="1378"/>
    <col min="8714" max="8714" width="9.33203125" style="1378" bestFit="1" customWidth="1"/>
    <col min="8715" max="8715" width="4" style="1378" customWidth="1"/>
    <col min="8716" max="8716" width="5.109375" style="1378" customWidth="1"/>
    <col min="8717" max="8717" width="13.77734375" style="1378" customWidth="1"/>
    <col min="8718" max="8960" width="9" style="1378"/>
    <col min="8961" max="8961" width="4.88671875" style="1378" customWidth="1"/>
    <col min="8962" max="8962" width="13.21875" style="1378" customWidth="1"/>
    <col min="8963" max="8963" width="15.6640625" style="1378" customWidth="1"/>
    <col min="8964" max="8964" width="9.33203125" style="1378" bestFit="1" customWidth="1"/>
    <col min="8965" max="8965" width="13.44140625" style="1378" customWidth="1"/>
    <col min="8966" max="8966" width="9" style="1378"/>
    <col min="8967" max="8967" width="9.33203125" style="1378" bestFit="1" customWidth="1"/>
    <col min="8968" max="8969" width="9" style="1378"/>
    <col min="8970" max="8970" width="9.33203125" style="1378" bestFit="1" customWidth="1"/>
    <col min="8971" max="8971" width="4" style="1378" customWidth="1"/>
    <col min="8972" max="8972" width="5.109375" style="1378" customWidth="1"/>
    <col min="8973" max="8973" width="13.77734375" style="1378" customWidth="1"/>
    <col min="8974" max="9216" width="9" style="1378"/>
    <col min="9217" max="9217" width="4.88671875" style="1378" customWidth="1"/>
    <col min="9218" max="9218" width="13.21875" style="1378" customWidth="1"/>
    <col min="9219" max="9219" width="15.6640625" style="1378" customWidth="1"/>
    <col min="9220" max="9220" width="9.33203125" style="1378" bestFit="1" customWidth="1"/>
    <col min="9221" max="9221" width="13.44140625" style="1378" customWidth="1"/>
    <col min="9222" max="9222" width="9" style="1378"/>
    <col min="9223" max="9223" width="9.33203125" style="1378" bestFit="1" customWidth="1"/>
    <col min="9224" max="9225" width="9" style="1378"/>
    <col min="9226" max="9226" width="9.33203125" style="1378" bestFit="1" customWidth="1"/>
    <col min="9227" max="9227" width="4" style="1378" customWidth="1"/>
    <col min="9228" max="9228" width="5.109375" style="1378" customWidth="1"/>
    <col min="9229" max="9229" width="13.77734375" style="1378" customWidth="1"/>
    <col min="9230" max="9472" width="9" style="1378"/>
    <col min="9473" max="9473" width="4.88671875" style="1378" customWidth="1"/>
    <col min="9474" max="9474" width="13.21875" style="1378" customWidth="1"/>
    <col min="9475" max="9475" width="15.6640625" style="1378" customWidth="1"/>
    <col min="9476" max="9476" width="9.33203125" style="1378" bestFit="1" customWidth="1"/>
    <col min="9477" max="9477" width="13.44140625" style="1378" customWidth="1"/>
    <col min="9478" max="9478" width="9" style="1378"/>
    <col min="9479" max="9479" width="9.33203125" style="1378" bestFit="1" customWidth="1"/>
    <col min="9480" max="9481" width="9" style="1378"/>
    <col min="9482" max="9482" width="9.33203125" style="1378" bestFit="1" customWidth="1"/>
    <col min="9483" max="9483" width="4" style="1378" customWidth="1"/>
    <col min="9484" max="9484" width="5.109375" style="1378" customWidth="1"/>
    <col min="9485" max="9485" width="13.77734375" style="1378" customWidth="1"/>
    <col min="9486" max="9728" width="9" style="1378"/>
    <col min="9729" max="9729" width="4.88671875" style="1378" customWidth="1"/>
    <col min="9730" max="9730" width="13.21875" style="1378" customWidth="1"/>
    <col min="9731" max="9731" width="15.6640625" style="1378" customWidth="1"/>
    <col min="9732" max="9732" width="9.33203125" style="1378" bestFit="1" customWidth="1"/>
    <col min="9733" max="9733" width="13.44140625" style="1378" customWidth="1"/>
    <col min="9734" max="9734" width="9" style="1378"/>
    <col min="9735" max="9735" width="9.33203125" style="1378" bestFit="1" customWidth="1"/>
    <col min="9736" max="9737" width="9" style="1378"/>
    <col min="9738" max="9738" width="9.33203125" style="1378" bestFit="1" customWidth="1"/>
    <col min="9739" max="9739" width="4" style="1378" customWidth="1"/>
    <col min="9740" max="9740" width="5.109375" style="1378" customWidth="1"/>
    <col min="9741" max="9741" width="13.77734375" style="1378" customWidth="1"/>
    <col min="9742" max="9984" width="9" style="1378"/>
    <col min="9985" max="9985" width="4.88671875" style="1378" customWidth="1"/>
    <col min="9986" max="9986" width="13.21875" style="1378" customWidth="1"/>
    <col min="9987" max="9987" width="15.6640625" style="1378" customWidth="1"/>
    <col min="9988" max="9988" width="9.33203125" style="1378" bestFit="1" customWidth="1"/>
    <col min="9989" max="9989" width="13.44140625" style="1378" customWidth="1"/>
    <col min="9990" max="9990" width="9" style="1378"/>
    <col min="9991" max="9991" width="9.33203125" style="1378" bestFit="1" customWidth="1"/>
    <col min="9992" max="9993" width="9" style="1378"/>
    <col min="9994" max="9994" width="9.33203125" style="1378" bestFit="1" customWidth="1"/>
    <col min="9995" max="9995" width="4" style="1378" customWidth="1"/>
    <col min="9996" max="9996" width="5.109375" style="1378" customWidth="1"/>
    <col min="9997" max="9997" width="13.77734375" style="1378" customWidth="1"/>
    <col min="9998" max="10240" width="9" style="1378"/>
    <col min="10241" max="10241" width="4.88671875" style="1378" customWidth="1"/>
    <col min="10242" max="10242" width="13.21875" style="1378" customWidth="1"/>
    <col min="10243" max="10243" width="15.6640625" style="1378" customWidth="1"/>
    <col min="10244" max="10244" width="9.33203125" style="1378" bestFit="1" customWidth="1"/>
    <col min="10245" max="10245" width="13.44140625" style="1378" customWidth="1"/>
    <col min="10246" max="10246" width="9" style="1378"/>
    <col min="10247" max="10247" width="9.33203125" style="1378" bestFit="1" customWidth="1"/>
    <col min="10248" max="10249" width="9" style="1378"/>
    <col min="10250" max="10250" width="9.33203125" style="1378" bestFit="1" customWidth="1"/>
    <col min="10251" max="10251" width="4" style="1378" customWidth="1"/>
    <col min="10252" max="10252" width="5.109375" style="1378" customWidth="1"/>
    <col min="10253" max="10253" width="13.77734375" style="1378" customWidth="1"/>
    <col min="10254" max="10496" width="9" style="1378"/>
    <col min="10497" max="10497" width="4.88671875" style="1378" customWidth="1"/>
    <col min="10498" max="10498" width="13.21875" style="1378" customWidth="1"/>
    <col min="10499" max="10499" width="15.6640625" style="1378" customWidth="1"/>
    <col min="10500" max="10500" width="9.33203125" style="1378" bestFit="1" customWidth="1"/>
    <col min="10501" max="10501" width="13.44140625" style="1378" customWidth="1"/>
    <col min="10502" max="10502" width="9" style="1378"/>
    <col min="10503" max="10503" width="9.33203125" style="1378" bestFit="1" customWidth="1"/>
    <col min="10504" max="10505" width="9" style="1378"/>
    <col min="10506" max="10506" width="9.33203125" style="1378" bestFit="1" customWidth="1"/>
    <col min="10507" max="10507" width="4" style="1378" customWidth="1"/>
    <col min="10508" max="10508" width="5.109375" style="1378" customWidth="1"/>
    <col min="10509" max="10509" width="13.77734375" style="1378" customWidth="1"/>
    <col min="10510" max="10752" width="9" style="1378"/>
    <col min="10753" max="10753" width="4.88671875" style="1378" customWidth="1"/>
    <col min="10754" max="10754" width="13.21875" style="1378" customWidth="1"/>
    <col min="10755" max="10755" width="15.6640625" style="1378" customWidth="1"/>
    <col min="10756" max="10756" width="9.33203125" style="1378" bestFit="1" customWidth="1"/>
    <col min="10757" max="10757" width="13.44140625" style="1378" customWidth="1"/>
    <col min="10758" max="10758" width="9" style="1378"/>
    <col min="10759" max="10759" width="9.33203125" style="1378" bestFit="1" customWidth="1"/>
    <col min="10760" max="10761" width="9" style="1378"/>
    <col min="10762" max="10762" width="9.33203125" style="1378" bestFit="1" customWidth="1"/>
    <col min="10763" max="10763" width="4" style="1378" customWidth="1"/>
    <col min="10764" max="10764" width="5.109375" style="1378" customWidth="1"/>
    <col min="10765" max="10765" width="13.77734375" style="1378" customWidth="1"/>
    <col min="10766" max="11008" width="9" style="1378"/>
    <col min="11009" max="11009" width="4.88671875" style="1378" customWidth="1"/>
    <col min="11010" max="11010" width="13.21875" style="1378" customWidth="1"/>
    <col min="11011" max="11011" width="15.6640625" style="1378" customWidth="1"/>
    <col min="11012" max="11012" width="9.33203125" style="1378" bestFit="1" customWidth="1"/>
    <col min="11013" max="11013" width="13.44140625" style="1378" customWidth="1"/>
    <col min="11014" max="11014" width="9" style="1378"/>
    <col min="11015" max="11015" width="9.33203125" style="1378" bestFit="1" customWidth="1"/>
    <col min="11016" max="11017" width="9" style="1378"/>
    <col min="11018" max="11018" width="9.33203125" style="1378" bestFit="1" customWidth="1"/>
    <col min="11019" max="11019" width="4" style="1378" customWidth="1"/>
    <col min="11020" max="11020" width="5.109375" style="1378" customWidth="1"/>
    <col min="11021" max="11021" width="13.77734375" style="1378" customWidth="1"/>
    <col min="11022" max="11264" width="9" style="1378"/>
    <col min="11265" max="11265" width="4.88671875" style="1378" customWidth="1"/>
    <col min="11266" max="11266" width="13.21875" style="1378" customWidth="1"/>
    <col min="11267" max="11267" width="15.6640625" style="1378" customWidth="1"/>
    <col min="11268" max="11268" width="9.33203125" style="1378" bestFit="1" customWidth="1"/>
    <col min="11269" max="11269" width="13.44140625" style="1378" customWidth="1"/>
    <col min="11270" max="11270" width="9" style="1378"/>
    <col min="11271" max="11271" width="9.33203125" style="1378" bestFit="1" customWidth="1"/>
    <col min="11272" max="11273" width="9" style="1378"/>
    <col min="11274" max="11274" width="9.33203125" style="1378" bestFit="1" customWidth="1"/>
    <col min="11275" max="11275" width="4" style="1378" customWidth="1"/>
    <col min="11276" max="11276" width="5.109375" style="1378" customWidth="1"/>
    <col min="11277" max="11277" width="13.77734375" style="1378" customWidth="1"/>
    <col min="11278" max="11520" width="9" style="1378"/>
    <col min="11521" max="11521" width="4.88671875" style="1378" customWidth="1"/>
    <col min="11522" max="11522" width="13.21875" style="1378" customWidth="1"/>
    <col min="11523" max="11523" width="15.6640625" style="1378" customWidth="1"/>
    <col min="11524" max="11524" width="9.33203125" style="1378" bestFit="1" customWidth="1"/>
    <col min="11525" max="11525" width="13.44140625" style="1378" customWidth="1"/>
    <col min="11526" max="11526" width="9" style="1378"/>
    <col min="11527" max="11527" width="9.33203125" style="1378" bestFit="1" customWidth="1"/>
    <col min="11528" max="11529" width="9" style="1378"/>
    <col min="11530" max="11530" width="9.33203125" style="1378" bestFit="1" customWidth="1"/>
    <col min="11531" max="11531" width="4" style="1378" customWidth="1"/>
    <col min="11532" max="11532" width="5.109375" style="1378" customWidth="1"/>
    <col min="11533" max="11533" width="13.77734375" style="1378" customWidth="1"/>
    <col min="11534" max="11776" width="9" style="1378"/>
    <col min="11777" max="11777" width="4.88671875" style="1378" customWidth="1"/>
    <col min="11778" max="11778" width="13.21875" style="1378" customWidth="1"/>
    <col min="11779" max="11779" width="15.6640625" style="1378" customWidth="1"/>
    <col min="11780" max="11780" width="9.33203125" style="1378" bestFit="1" customWidth="1"/>
    <col min="11781" max="11781" width="13.44140625" style="1378" customWidth="1"/>
    <col min="11782" max="11782" width="9" style="1378"/>
    <col min="11783" max="11783" width="9.33203125" style="1378" bestFit="1" customWidth="1"/>
    <col min="11784" max="11785" width="9" style="1378"/>
    <col min="11786" max="11786" width="9.33203125" style="1378" bestFit="1" customWidth="1"/>
    <col min="11787" max="11787" width="4" style="1378" customWidth="1"/>
    <col min="11788" max="11788" width="5.109375" style="1378" customWidth="1"/>
    <col min="11789" max="11789" width="13.77734375" style="1378" customWidth="1"/>
    <col min="11790" max="12032" width="9" style="1378"/>
    <col min="12033" max="12033" width="4.88671875" style="1378" customWidth="1"/>
    <col min="12034" max="12034" width="13.21875" style="1378" customWidth="1"/>
    <col min="12035" max="12035" width="15.6640625" style="1378" customWidth="1"/>
    <col min="12036" max="12036" width="9.33203125" style="1378" bestFit="1" customWidth="1"/>
    <col min="12037" max="12037" width="13.44140625" style="1378" customWidth="1"/>
    <col min="12038" max="12038" width="9" style="1378"/>
    <col min="12039" max="12039" width="9.33203125" style="1378" bestFit="1" customWidth="1"/>
    <col min="12040" max="12041" width="9" style="1378"/>
    <col min="12042" max="12042" width="9.33203125" style="1378" bestFit="1" customWidth="1"/>
    <col min="12043" max="12043" width="4" style="1378" customWidth="1"/>
    <col min="12044" max="12044" width="5.109375" style="1378" customWidth="1"/>
    <col min="12045" max="12045" width="13.77734375" style="1378" customWidth="1"/>
    <col min="12046" max="12288" width="9" style="1378"/>
    <col min="12289" max="12289" width="4.88671875" style="1378" customWidth="1"/>
    <col min="12290" max="12290" width="13.21875" style="1378" customWidth="1"/>
    <col min="12291" max="12291" width="15.6640625" style="1378" customWidth="1"/>
    <col min="12292" max="12292" width="9.33203125" style="1378" bestFit="1" customWidth="1"/>
    <col min="12293" max="12293" width="13.44140625" style="1378" customWidth="1"/>
    <col min="12294" max="12294" width="9" style="1378"/>
    <col min="12295" max="12295" width="9.33203125" style="1378" bestFit="1" customWidth="1"/>
    <col min="12296" max="12297" width="9" style="1378"/>
    <col min="12298" max="12298" width="9.33203125" style="1378" bestFit="1" customWidth="1"/>
    <col min="12299" max="12299" width="4" style="1378" customWidth="1"/>
    <col min="12300" max="12300" width="5.109375" style="1378" customWidth="1"/>
    <col min="12301" max="12301" width="13.77734375" style="1378" customWidth="1"/>
    <col min="12302" max="12544" width="9" style="1378"/>
    <col min="12545" max="12545" width="4.88671875" style="1378" customWidth="1"/>
    <col min="12546" max="12546" width="13.21875" style="1378" customWidth="1"/>
    <col min="12547" max="12547" width="15.6640625" style="1378" customWidth="1"/>
    <col min="12548" max="12548" width="9.33203125" style="1378" bestFit="1" customWidth="1"/>
    <col min="12549" max="12549" width="13.44140625" style="1378" customWidth="1"/>
    <col min="12550" max="12550" width="9" style="1378"/>
    <col min="12551" max="12551" width="9.33203125" style="1378" bestFit="1" customWidth="1"/>
    <col min="12552" max="12553" width="9" style="1378"/>
    <col min="12554" max="12554" width="9.33203125" style="1378" bestFit="1" customWidth="1"/>
    <col min="12555" max="12555" width="4" style="1378" customWidth="1"/>
    <col min="12556" max="12556" width="5.109375" style="1378" customWidth="1"/>
    <col min="12557" max="12557" width="13.77734375" style="1378" customWidth="1"/>
    <col min="12558" max="12800" width="9" style="1378"/>
    <col min="12801" max="12801" width="4.88671875" style="1378" customWidth="1"/>
    <col min="12802" max="12802" width="13.21875" style="1378" customWidth="1"/>
    <col min="12803" max="12803" width="15.6640625" style="1378" customWidth="1"/>
    <col min="12804" max="12804" width="9.33203125" style="1378" bestFit="1" customWidth="1"/>
    <col min="12805" max="12805" width="13.44140625" style="1378" customWidth="1"/>
    <col min="12806" max="12806" width="9" style="1378"/>
    <col min="12807" max="12807" width="9.33203125" style="1378" bestFit="1" customWidth="1"/>
    <col min="12808" max="12809" width="9" style="1378"/>
    <col min="12810" max="12810" width="9.33203125" style="1378" bestFit="1" customWidth="1"/>
    <col min="12811" max="12811" width="4" style="1378" customWidth="1"/>
    <col min="12812" max="12812" width="5.109375" style="1378" customWidth="1"/>
    <col min="12813" max="12813" width="13.77734375" style="1378" customWidth="1"/>
    <col min="12814" max="13056" width="9" style="1378"/>
    <col min="13057" max="13057" width="4.88671875" style="1378" customWidth="1"/>
    <col min="13058" max="13058" width="13.21875" style="1378" customWidth="1"/>
    <col min="13059" max="13059" width="15.6640625" style="1378" customWidth="1"/>
    <col min="13060" max="13060" width="9.33203125" style="1378" bestFit="1" customWidth="1"/>
    <col min="13061" max="13061" width="13.44140625" style="1378" customWidth="1"/>
    <col min="13062" max="13062" width="9" style="1378"/>
    <col min="13063" max="13063" width="9.33203125" style="1378" bestFit="1" customWidth="1"/>
    <col min="13064" max="13065" width="9" style="1378"/>
    <col min="13066" max="13066" width="9.33203125" style="1378" bestFit="1" customWidth="1"/>
    <col min="13067" max="13067" width="4" style="1378" customWidth="1"/>
    <col min="13068" max="13068" width="5.109375" style="1378" customWidth="1"/>
    <col min="13069" max="13069" width="13.77734375" style="1378" customWidth="1"/>
    <col min="13070" max="13312" width="9" style="1378"/>
    <col min="13313" max="13313" width="4.88671875" style="1378" customWidth="1"/>
    <col min="13314" max="13314" width="13.21875" style="1378" customWidth="1"/>
    <col min="13315" max="13315" width="15.6640625" style="1378" customWidth="1"/>
    <col min="13316" max="13316" width="9.33203125" style="1378" bestFit="1" customWidth="1"/>
    <col min="13317" max="13317" width="13.44140625" style="1378" customWidth="1"/>
    <col min="13318" max="13318" width="9" style="1378"/>
    <col min="13319" max="13319" width="9.33203125" style="1378" bestFit="1" customWidth="1"/>
    <col min="13320" max="13321" width="9" style="1378"/>
    <col min="13322" max="13322" width="9.33203125" style="1378" bestFit="1" customWidth="1"/>
    <col min="13323" max="13323" width="4" style="1378" customWidth="1"/>
    <col min="13324" max="13324" width="5.109375" style="1378" customWidth="1"/>
    <col min="13325" max="13325" width="13.77734375" style="1378" customWidth="1"/>
    <col min="13326" max="13568" width="9" style="1378"/>
    <col min="13569" max="13569" width="4.88671875" style="1378" customWidth="1"/>
    <col min="13570" max="13570" width="13.21875" style="1378" customWidth="1"/>
    <col min="13571" max="13571" width="15.6640625" style="1378" customWidth="1"/>
    <col min="13572" max="13572" width="9.33203125" style="1378" bestFit="1" customWidth="1"/>
    <col min="13573" max="13573" width="13.44140625" style="1378" customWidth="1"/>
    <col min="13574" max="13574" width="9" style="1378"/>
    <col min="13575" max="13575" width="9.33203125" style="1378" bestFit="1" customWidth="1"/>
    <col min="13576" max="13577" width="9" style="1378"/>
    <col min="13578" max="13578" width="9.33203125" style="1378" bestFit="1" customWidth="1"/>
    <col min="13579" max="13579" width="4" style="1378" customWidth="1"/>
    <col min="13580" max="13580" width="5.109375" style="1378" customWidth="1"/>
    <col min="13581" max="13581" width="13.77734375" style="1378" customWidth="1"/>
    <col min="13582" max="13824" width="9" style="1378"/>
    <col min="13825" max="13825" width="4.88671875" style="1378" customWidth="1"/>
    <col min="13826" max="13826" width="13.21875" style="1378" customWidth="1"/>
    <col min="13827" max="13827" width="15.6640625" style="1378" customWidth="1"/>
    <col min="13828" max="13828" width="9.33203125" style="1378" bestFit="1" customWidth="1"/>
    <col min="13829" max="13829" width="13.44140625" style="1378" customWidth="1"/>
    <col min="13830" max="13830" width="9" style="1378"/>
    <col min="13831" max="13831" width="9.33203125" style="1378" bestFit="1" customWidth="1"/>
    <col min="13832" max="13833" width="9" style="1378"/>
    <col min="13834" max="13834" width="9.33203125" style="1378" bestFit="1" customWidth="1"/>
    <col min="13835" max="13835" width="4" style="1378" customWidth="1"/>
    <col min="13836" max="13836" width="5.109375" style="1378" customWidth="1"/>
    <col min="13837" max="13837" width="13.77734375" style="1378" customWidth="1"/>
    <col min="13838" max="14080" width="9" style="1378"/>
    <col min="14081" max="14081" width="4.88671875" style="1378" customWidth="1"/>
    <col min="14082" max="14082" width="13.21875" style="1378" customWidth="1"/>
    <col min="14083" max="14083" width="15.6640625" style="1378" customWidth="1"/>
    <col min="14084" max="14084" width="9.33203125" style="1378" bestFit="1" customWidth="1"/>
    <col min="14085" max="14085" width="13.44140625" style="1378" customWidth="1"/>
    <col min="14086" max="14086" width="9" style="1378"/>
    <col min="14087" max="14087" width="9.33203125" style="1378" bestFit="1" customWidth="1"/>
    <col min="14088" max="14089" width="9" style="1378"/>
    <col min="14090" max="14090" width="9.33203125" style="1378" bestFit="1" customWidth="1"/>
    <col min="14091" max="14091" width="4" style="1378" customWidth="1"/>
    <col min="14092" max="14092" width="5.109375" style="1378" customWidth="1"/>
    <col min="14093" max="14093" width="13.77734375" style="1378" customWidth="1"/>
    <col min="14094" max="14336" width="9" style="1378"/>
    <col min="14337" max="14337" width="4.88671875" style="1378" customWidth="1"/>
    <col min="14338" max="14338" width="13.21875" style="1378" customWidth="1"/>
    <col min="14339" max="14339" width="15.6640625" style="1378" customWidth="1"/>
    <col min="14340" max="14340" width="9.33203125" style="1378" bestFit="1" customWidth="1"/>
    <col min="14341" max="14341" width="13.44140625" style="1378" customWidth="1"/>
    <col min="14342" max="14342" width="9" style="1378"/>
    <col min="14343" max="14343" width="9.33203125" style="1378" bestFit="1" customWidth="1"/>
    <col min="14344" max="14345" width="9" style="1378"/>
    <col min="14346" max="14346" width="9.33203125" style="1378" bestFit="1" customWidth="1"/>
    <col min="14347" max="14347" width="4" style="1378" customWidth="1"/>
    <col min="14348" max="14348" width="5.109375" style="1378" customWidth="1"/>
    <col min="14349" max="14349" width="13.77734375" style="1378" customWidth="1"/>
    <col min="14350" max="14592" width="9" style="1378"/>
    <col min="14593" max="14593" width="4.88671875" style="1378" customWidth="1"/>
    <col min="14594" max="14594" width="13.21875" style="1378" customWidth="1"/>
    <col min="14595" max="14595" width="15.6640625" style="1378" customWidth="1"/>
    <col min="14596" max="14596" width="9.33203125" style="1378" bestFit="1" customWidth="1"/>
    <col min="14597" max="14597" width="13.44140625" style="1378" customWidth="1"/>
    <col min="14598" max="14598" width="9" style="1378"/>
    <col min="14599" max="14599" width="9.33203125" style="1378" bestFit="1" customWidth="1"/>
    <col min="14600" max="14601" width="9" style="1378"/>
    <col min="14602" max="14602" width="9.33203125" style="1378" bestFit="1" customWidth="1"/>
    <col min="14603" max="14603" width="4" style="1378" customWidth="1"/>
    <col min="14604" max="14604" width="5.109375" style="1378" customWidth="1"/>
    <col min="14605" max="14605" width="13.77734375" style="1378" customWidth="1"/>
    <col min="14606" max="14848" width="9" style="1378"/>
    <col min="14849" max="14849" width="4.88671875" style="1378" customWidth="1"/>
    <col min="14850" max="14850" width="13.21875" style="1378" customWidth="1"/>
    <col min="14851" max="14851" width="15.6640625" style="1378" customWidth="1"/>
    <col min="14852" max="14852" width="9.33203125" style="1378" bestFit="1" customWidth="1"/>
    <col min="14853" max="14853" width="13.44140625" style="1378" customWidth="1"/>
    <col min="14854" max="14854" width="9" style="1378"/>
    <col min="14855" max="14855" width="9.33203125" style="1378" bestFit="1" customWidth="1"/>
    <col min="14856" max="14857" width="9" style="1378"/>
    <col min="14858" max="14858" width="9.33203125" style="1378" bestFit="1" customWidth="1"/>
    <col min="14859" max="14859" width="4" style="1378" customWidth="1"/>
    <col min="14860" max="14860" width="5.109375" style="1378" customWidth="1"/>
    <col min="14861" max="14861" width="13.77734375" style="1378" customWidth="1"/>
    <col min="14862" max="15104" width="9" style="1378"/>
    <col min="15105" max="15105" width="4.88671875" style="1378" customWidth="1"/>
    <col min="15106" max="15106" width="13.21875" style="1378" customWidth="1"/>
    <col min="15107" max="15107" width="15.6640625" style="1378" customWidth="1"/>
    <col min="15108" max="15108" width="9.33203125" style="1378" bestFit="1" customWidth="1"/>
    <col min="15109" max="15109" width="13.44140625" style="1378" customWidth="1"/>
    <col min="15110" max="15110" width="9" style="1378"/>
    <col min="15111" max="15111" width="9.33203125" style="1378" bestFit="1" customWidth="1"/>
    <col min="15112" max="15113" width="9" style="1378"/>
    <col min="15114" max="15114" width="9.33203125" style="1378" bestFit="1" customWidth="1"/>
    <col min="15115" max="15115" width="4" style="1378" customWidth="1"/>
    <col min="15116" max="15116" width="5.109375" style="1378" customWidth="1"/>
    <col min="15117" max="15117" width="13.77734375" style="1378" customWidth="1"/>
    <col min="15118" max="15360" width="9" style="1378"/>
    <col min="15361" max="15361" width="4.88671875" style="1378" customWidth="1"/>
    <col min="15362" max="15362" width="13.21875" style="1378" customWidth="1"/>
    <col min="15363" max="15363" width="15.6640625" style="1378" customWidth="1"/>
    <col min="15364" max="15364" width="9.33203125" style="1378" bestFit="1" customWidth="1"/>
    <col min="15365" max="15365" width="13.44140625" style="1378" customWidth="1"/>
    <col min="15366" max="15366" width="9" style="1378"/>
    <col min="15367" max="15367" width="9.33203125" style="1378" bestFit="1" customWidth="1"/>
    <col min="15368" max="15369" width="9" style="1378"/>
    <col min="15370" max="15370" width="9.33203125" style="1378" bestFit="1" customWidth="1"/>
    <col min="15371" max="15371" width="4" style="1378" customWidth="1"/>
    <col min="15372" max="15372" width="5.109375" style="1378" customWidth="1"/>
    <col min="15373" max="15373" width="13.77734375" style="1378" customWidth="1"/>
    <col min="15374" max="15616" width="9" style="1378"/>
    <col min="15617" max="15617" width="4.88671875" style="1378" customWidth="1"/>
    <col min="15618" max="15618" width="13.21875" style="1378" customWidth="1"/>
    <col min="15619" max="15619" width="15.6640625" style="1378" customWidth="1"/>
    <col min="15620" max="15620" width="9.33203125" style="1378" bestFit="1" customWidth="1"/>
    <col min="15621" max="15621" width="13.44140625" style="1378" customWidth="1"/>
    <col min="15622" max="15622" width="9" style="1378"/>
    <col min="15623" max="15623" width="9.33203125" style="1378" bestFit="1" customWidth="1"/>
    <col min="15624" max="15625" width="9" style="1378"/>
    <col min="15626" max="15626" width="9.33203125" style="1378" bestFit="1" customWidth="1"/>
    <col min="15627" max="15627" width="4" style="1378" customWidth="1"/>
    <col min="15628" max="15628" width="5.109375" style="1378" customWidth="1"/>
    <col min="15629" max="15629" width="13.77734375" style="1378" customWidth="1"/>
    <col min="15630" max="15872" width="9" style="1378"/>
    <col min="15873" max="15873" width="4.88671875" style="1378" customWidth="1"/>
    <col min="15874" max="15874" width="13.21875" style="1378" customWidth="1"/>
    <col min="15875" max="15875" width="15.6640625" style="1378" customWidth="1"/>
    <col min="15876" max="15876" width="9.33203125" style="1378" bestFit="1" customWidth="1"/>
    <col min="15877" max="15877" width="13.44140625" style="1378" customWidth="1"/>
    <col min="15878" max="15878" width="9" style="1378"/>
    <col min="15879" max="15879" width="9.33203125" style="1378" bestFit="1" customWidth="1"/>
    <col min="15880" max="15881" width="9" style="1378"/>
    <col min="15882" max="15882" width="9.33203125" style="1378" bestFit="1" customWidth="1"/>
    <col min="15883" max="15883" width="4" style="1378" customWidth="1"/>
    <col min="15884" max="15884" width="5.109375" style="1378" customWidth="1"/>
    <col min="15885" max="15885" width="13.77734375" style="1378" customWidth="1"/>
    <col min="15886" max="16128" width="9" style="1378"/>
    <col min="16129" max="16129" width="4.88671875" style="1378" customWidth="1"/>
    <col min="16130" max="16130" width="13.21875" style="1378" customWidth="1"/>
    <col min="16131" max="16131" width="15.6640625" style="1378" customWidth="1"/>
    <col min="16132" max="16132" width="9.33203125" style="1378" bestFit="1" customWidth="1"/>
    <col min="16133" max="16133" width="13.44140625" style="1378" customWidth="1"/>
    <col min="16134" max="16134" width="9" style="1378"/>
    <col min="16135" max="16135" width="9.33203125" style="1378" bestFit="1" customWidth="1"/>
    <col min="16136" max="16137" width="9" style="1378"/>
    <col min="16138" max="16138" width="9.33203125" style="1378" bestFit="1" customWidth="1"/>
    <col min="16139" max="16139" width="4" style="1378" customWidth="1"/>
    <col min="16140" max="16140" width="5.109375" style="1378" customWidth="1"/>
    <col min="16141" max="16141" width="13.77734375" style="1378" customWidth="1"/>
    <col min="16142" max="16384" width="9" style="1378"/>
  </cols>
  <sheetData>
    <row r="1" spans="1:257" s="1440" customFormat="1" ht="15" thickBot="1">
      <c r="A1" s="1434"/>
      <c r="B1" s="1441" t="s">
        <v>1208</v>
      </c>
      <c r="C1" s="1435">
        <f>项目基本情况!D3</f>
        <v>44610</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6"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399999999999999">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2">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1.2">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6">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6">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5.6">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6">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8">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1423"/>
      <c r="B19" s="3014" t="s">
        <v>2990</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6">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7" t="s">
        <v>1275</v>
      </c>
      <c r="E1" s="1481" t="s">
        <v>1279</v>
      </c>
      <c r="F1" s="1482" t="s">
        <v>1283</v>
      </c>
    </row>
    <row r="2" spans="1:13" ht="19.8">
      <c r="A2" s="1488" t="s">
        <v>1276</v>
      </c>
    </row>
    <row r="3" spans="1:13" ht="15.6">
      <c r="A3" s="1489" t="s">
        <v>1277</v>
      </c>
    </row>
    <row r="4" spans="1:13">
      <c r="A4" s="1479" t="s">
        <v>1278</v>
      </c>
      <c r="B4" s="1484" t="s">
        <v>1280</v>
      </c>
      <c r="C4" s="1485"/>
      <c r="D4" s="1486"/>
      <c r="E4" s="1484" t="s">
        <v>27</v>
      </c>
      <c r="F4" s="1485"/>
      <c r="G4" s="1486"/>
      <c r="H4" s="1484" t="s">
        <v>1281</v>
      </c>
      <c r="I4" s="1485"/>
      <c r="J4" s="1486"/>
      <c r="K4" s="1484" t="s">
        <v>6</v>
      </c>
      <c r="L4" s="1485"/>
      <c r="M4" s="1486"/>
    </row>
    <row r="5" spans="1:13">
      <c r="A5" s="1480" t="s">
        <v>1282</v>
      </c>
      <c r="B5" s="1479" t="s">
        <v>1284</v>
      </c>
      <c r="C5" s="1479" t="s">
        <v>1285</v>
      </c>
      <c r="D5" s="1479" t="s">
        <v>1286</v>
      </c>
      <c r="E5" s="1479" t="s">
        <v>1284</v>
      </c>
      <c r="F5" s="1479" t="s">
        <v>1285</v>
      </c>
      <c r="G5" s="1479" t="s">
        <v>1286</v>
      </c>
      <c r="H5" s="1479" t="s">
        <v>1284</v>
      </c>
      <c r="I5" s="1479" t="s">
        <v>1285</v>
      </c>
      <c r="J5" s="1479" t="s">
        <v>1286</v>
      </c>
      <c r="K5" s="1479" t="s">
        <v>1284</v>
      </c>
      <c r="L5" s="1479" t="s">
        <v>1285</v>
      </c>
      <c r="M5" s="1479" t="s">
        <v>1286</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1" customWidth="1"/>
    <col min="2" max="3" width="22.33203125" style="1631" customWidth="1"/>
    <col min="4" max="4" width="23" style="1631" customWidth="1"/>
    <col min="5" max="16384" width="9" style="1631"/>
  </cols>
  <sheetData>
    <row r="1" spans="1:4" ht="17.399999999999999">
      <c r="A1" s="3310" t="s">
        <v>1564</v>
      </c>
      <c r="B1" s="3310"/>
      <c r="C1" s="3310"/>
      <c r="D1" s="3310"/>
    </row>
    <row r="2" spans="1:4" ht="17.399999999999999">
      <c r="A2" s="3311" t="s">
        <v>1548</v>
      </c>
      <c r="B2" s="3311"/>
      <c r="C2" s="3311"/>
      <c r="D2" s="3311"/>
    </row>
    <row r="3" spans="1:4" ht="17.399999999999999">
      <c r="A3" s="1663" t="s">
        <v>1549</v>
      </c>
      <c r="B3" s="1663" t="s">
        <v>1550</v>
      </c>
      <c r="C3" s="1663" t="s">
        <v>1551</v>
      </c>
      <c r="D3" s="1663" t="s">
        <v>1552</v>
      </c>
    </row>
    <row r="4" spans="1:4" ht="56.25" customHeight="1">
      <c r="A4" s="1664" t="str">
        <f>项目基本情况!B4</f>
        <v>吴薇</v>
      </c>
      <c r="B4" s="1665">
        <f ca="1">项目基本情况!C4</f>
        <v>1419970001</v>
      </c>
      <c r="C4" s="1666"/>
      <c r="D4" s="1667" t="s">
        <v>1553</v>
      </c>
    </row>
    <row r="5" spans="1:4" ht="56.25" customHeight="1">
      <c r="A5" s="1664" t="str">
        <f>项目基本情况!D4</f>
        <v>郑燚</v>
      </c>
      <c r="B5" s="1665">
        <f ca="1">项目基本情况!E4</f>
        <v>1120070131</v>
      </c>
      <c r="C5" s="1668"/>
      <c r="D5" s="1667" t="s">
        <v>1553</v>
      </c>
    </row>
    <row r="6" spans="1:4" ht="17.399999999999999">
      <c r="A6" s="3311" t="s">
        <v>1554</v>
      </c>
      <c r="B6" s="3311"/>
      <c r="C6" s="3311"/>
      <c r="D6" s="3311"/>
    </row>
    <row r="7" spans="1:4" ht="17.399999999999999">
      <c r="A7" s="1663" t="s">
        <v>1549</v>
      </c>
      <c r="B7" s="1665" t="s">
        <v>1555</v>
      </c>
      <c r="C7" s="1663" t="s">
        <v>1551</v>
      </c>
      <c r="D7" s="1663" t="s">
        <v>1552</v>
      </c>
    </row>
    <row r="8" spans="1:4" ht="56.25" customHeight="1">
      <c r="A8" s="1669" t="s">
        <v>837</v>
      </c>
      <c r="B8" s="1669" t="s">
        <v>1</v>
      </c>
      <c r="C8" s="1666"/>
      <c r="D8" s="1667" t="s">
        <v>1553</v>
      </c>
    </row>
    <row r="9" spans="1:4">
      <c r="A9" s="683"/>
      <c r="B9" s="683"/>
      <c r="C9" s="683"/>
      <c r="D9" s="683"/>
    </row>
    <row r="10" spans="1:4" ht="17.399999999999999">
      <c r="A10" s="1670" t="s">
        <v>1556</v>
      </c>
      <c r="B10" s="683"/>
      <c r="C10" s="683"/>
      <c r="D10" s="683"/>
    </row>
    <row r="11" spans="1:4" ht="30" customHeight="1">
      <c r="A11" s="3312" t="s">
        <v>1557</v>
      </c>
      <c r="B11" s="3313"/>
      <c r="C11" s="3313"/>
      <c r="D11" s="3313"/>
    </row>
    <row r="12" spans="1:4" ht="15.6">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4"/>
      <c r="C12" s="3314"/>
      <c r="D12" s="3314"/>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4"/>
      <c r="C13" s="3314"/>
      <c r="D13" s="3314"/>
    </row>
    <row r="14" spans="1:4" ht="15.75" customHeight="1">
      <c r="A14" s="3313" t="str">
        <f>IF(项目基本情况!B8="抵押","4.本次评估估价师所知悉的法定优先受偿款情况说明如下：","——")</f>
        <v>4.本次评估估价师所知悉的法定优先受偿款情况说明如下：</v>
      </c>
      <c r="B14" s="3314"/>
      <c r="C14" s="3314"/>
      <c r="D14" s="3314"/>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v>
      </c>
      <c r="B15" s="3313"/>
      <c r="C15" s="3313"/>
      <c r="D15" s="3313"/>
    </row>
    <row r="16" spans="1:4" ht="30" customHeight="1">
      <c r="A16" s="3316" t="s">
        <v>1558</v>
      </c>
      <c r="B16" s="3316"/>
      <c r="C16" s="3316"/>
      <c r="D16" s="3316"/>
    </row>
    <row r="17" spans="1:4" ht="144" customHeight="1">
      <c r="A17" s="3316" t="s">
        <v>1559</v>
      </c>
      <c r="B17" s="3316"/>
      <c r="C17" s="3316"/>
      <c r="D17" s="3316"/>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3"/>
      <c r="C20" s="3313"/>
      <c r="D20" s="3313"/>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7"/>
      <c r="C21" s="3317"/>
      <c r="D21" s="3317"/>
    </row>
    <row r="22" spans="1:4" ht="18.75" customHeight="1">
      <c r="A22" s="3318" t="s">
        <v>1560</v>
      </c>
      <c r="B22" s="3318"/>
      <c r="C22" s="3318"/>
      <c r="D22" s="3318"/>
    </row>
    <row r="23" spans="1:4">
      <c r="A23" s="1671"/>
      <c r="B23" s="1643"/>
      <c r="C23" s="1643"/>
      <c r="D23" s="1643"/>
    </row>
    <row r="24" spans="1:4">
      <c r="A24" s="1671"/>
      <c r="B24" s="1643"/>
      <c r="C24" s="1643"/>
      <c r="D24" s="1643"/>
    </row>
    <row r="25" spans="1:4" ht="17.399999999999999">
      <c r="A25" s="1672" t="s">
        <v>1561</v>
      </c>
    </row>
    <row r="26" spans="1:4" ht="17.399999999999999">
      <c r="A26" s="1641"/>
    </row>
    <row r="27" spans="1:4" ht="17.399999999999999">
      <c r="A27" s="1641" t="s">
        <v>1562</v>
      </c>
    </row>
    <row r="30" spans="1:4" ht="17.399999999999999">
      <c r="D30" s="1672" t="s">
        <v>1563</v>
      </c>
    </row>
    <row r="31" spans="1:4" ht="13.5" customHeight="1">
      <c r="C31" s="3315">
        <v>42551</v>
      </c>
      <c r="D31" s="33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9" customWidth="1"/>
    <col min="3" max="10" width="12.44140625" style="1629" customWidth="1"/>
    <col min="11" max="16384" width="9" style="1629"/>
  </cols>
  <sheetData>
    <row r="1" spans="1:10" ht="17.399999999999999">
      <c r="A1" s="1662" t="s">
        <v>838</v>
      </c>
      <c r="B1" s="1673"/>
      <c r="C1" s="1673"/>
      <c r="D1" s="1673"/>
      <c r="E1" s="1673"/>
      <c r="F1" s="1673"/>
      <c r="G1" s="1673"/>
      <c r="H1" s="1673"/>
      <c r="I1" s="1673"/>
      <c r="J1" s="1673"/>
    </row>
    <row r="2" spans="1:10" ht="17.399999999999999">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44140625" defaultRowHeight="15.6"/>
  <cols>
    <col min="1" max="1" width="14.44140625" style="1679" customWidth="1"/>
    <col min="2" max="16384" width="14.44140625" style="1661"/>
  </cols>
  <sheetData>
    <row r="1" spans="1:7" s="1676" customFormat="1" ht="17.399999999999999">
      <c r="A1" s="1675" t="s">
        <v>1565</v>
      </c>
    </row>
    <row r="3" spans="1:7">
      <c r="A3" s="1677" t="s">
        <v>82</v>
      </c>
      <c r="B3" s="1661" t="s">
        <v>1566</v>
      </c>
      <c r="G3" s="1678"/>
    </row>
    <row r="4" spans="1:7">
      <c r="G4" s="1678"/>
    </row>
    <row r="5" spans="1:7">
      <c r="A5" s="1680" t="s">
        <v>73</v>
      </c>
      <c r="B5" s="1661" t="s">
        <v>1567</v>
      </c>
      <c r="G5" s="1678"/>
    </row>
    <row r="6" spans="1:7">
      <c r="G6" s="1678"/>
    </row>
    <row r="7" spans="1:7">
      <c r="A7" s="1681" t="s">
        <v>135</v>
      </c>
      <c r="B7" s="1661" t="s">
        <v>1568</v>
      </c>
      <c r="G7" s="1678"/>
    </row>
    <row r="8" spans="1:7">
      <c r="G8" s="1678"/>
    </row>
    <row r="9" spans="1:7">
      <c r="A9" s="1682" t="s">
        <v>74</v>
      </c>
      <c r="B9" s="1661" t="s">
        <v>1569</v>
      </c>
    </row>
    <row r="11" spans="1:7">
      <c r="A11" s="1683" t="s">
        <v>75</v>
      </c>
      <c r="B11" s="1684" t="s">
        <v>72</v>
      </c>
    </row>
    <row r="13" spans="1:7">
      <c r="A13" s="1685" t="s">
        <v>1570</v>
      </c>
    </row>
    <row r="15" spans="1:7" ht="14.4">
      <c r="A15" s="3324" t="s">
        <v>1571</v>
      </c>
      <c r="B15" s="3319" t="s">
        <v>136</v>
      </c>
      <c r="C15" s="3320"/>
    </row>
    <row r="16" spans="1:7" ht="14.4">
      <c r="A16" s="3325"/>
      <c r="B16" s="3319" t="s">
        <v>69</v>
      </c>
      <c r="C16" s="3320"/>
    </row>
    <row r="17" spans="1:3" ht="14.4">
      <c r="A17" s="3325"/>
      <c r="B17" s="3322" t="s">
        <v>1572</v>
      </c>
      <c r="C17" s="1686" t="s">
        <v>1571</v>
      </c>
    </row>
    <row r="18" spans="1:3" ht="14.4">
      <c r="A18" s="3325"/>
      <c r="B18" s="3322"/>
      <c r="C18" s="1686" t="s">
        <v>1573</v>
      </c>
    </row>
    <row r="19" spans="1:3" ht="14.4">
      <c r="A19" s="3325"/>
      <c r="B19" s="3322"/>
      <c r="C19" s="1686" t="s">
        <v>1574</v>
      </c>
    </row>
    <row r="20" spans="1:3" ht="14.4">
      <c r="A20" s="3326"/>
      <c r="B20" s="3321" t="s">
        <v>1575</v>
      </c>
      <c r="C20" s="3320"/>
    </row>
    <row r="21" spans="1:3" ht="14.4">
      <c r="A21" s="1687" t="s">
        <v>1576</v>
      </c>
      <c r="B21" s="1688"/>
      <c r="C21" s="1689"/>
    </row>
    <row r="22" spans="1:3" ht="14.4">
      <c r="A22" s="3323" t="s">
        <v>1577</v>
      </c>
      <c r="B22" s="3321" t="s">
        <v>1578</v>
      </c>
      <c r="C22" s="3320"/>
    </row>
    <row r="23" spans="1:3" ht="14.4">
      <c r="A23" s="3323"/>
      <c r="B23" s="3321" t="s">
        <v>1579</v>
      </c>
      <c r="C23" s="3320"/>
    </row>
    <row r="24" spans="1:3" ht="14.4">
      <c r="A24" s="3323"/>
      <c r="B24" s="3321" t="s">
        <v>1580</v>
      </c>
      <c r="C24" s="3320"/>
    </row>
    <row r="25" spans="1:3" ht="14.4">
      <c r="A25" s="3323"/>
      <c r="B25" s="3322" t="s">
        <v>1581</v>
      </c>
      <c r="C25" s="1686" t="s">
        <v>1582</v>
      </c>
    </row>
    <row r="26" spans="1:3" ht="14.4">
      <c r="A26" s="3323"/>
      <c r="B26" s="3322"/>
      <c r="C26" s="1686" t="s">
        <v>1583</v>
      </c>
    </row>
    <row r="27" spans="1:3" ht="14.4">
      <c r="A27" s="3323"/>
      <c r="B27" s="3322"/>
      <c r="C27" s="1686" t="s">
        <v>1584</v>
      </c>
    </row>
    <row r="28" spans="1:3" ht="14.4">
      <c r="A28" s="3323"/>
      <c r="B28" s="3322"/>
      <c r="C28" s="1686" t="s">
        <v>1585</v>
      </c>
    </row>
    <row r="29" spans="1:3" ht="14.4">
      <c r="A29" s="3323"/>
      <c r="B29" s="3322"/>
      <c r="C29" s="1686" t="s">
        <v>1586</v>
      </c>
    </row>
    <row r="30" spans="1:3" ht="14.4">
      <c r="A30" s="3323"/>
      <c r="B30" s="3322"/>
      <c r="C30" s="1686" t="s">
        <v>1587</v>
      </c>
    </row>
    <row r="31" spans="1:3" ht="14.4">
      <c r="A31" s="3323"/>
      <c r="B31" s="3322"/>
      <c r="C31" s="1686" t="s">
        <v>1588</v>
      </c>
    </row>
    <row r="32" spans="1:3" ht="14.4">
      <c r="A32" s="3323"/>
      <c r="B32" s="3322"/>
      <c r="C32" s="1686" t="s">
        <v>1589</v>
      </c>
    </row>
    <row r="33" spans="1:3" ht="14.4">
      <c r="A33" s="3323"/>
      <c r="B33" s="3322"/>
      <c r="C33" s="1686" t="s">
        <v>1590</v>
      </c>
    </row>
    <row r="34" spans="1:3">
      <c r="A34" s="1690" t="s">
        <v>76</v>
      </c>
    </row>
    <row r="37" spans="1:3">
      <c r="A37" s="1690" t="s">
        <v>1591</v>
      </c>
    </row>
    <row r="38" spans="1:3" ht="14.4">
      <c r="A38" s="1691" t="s">
        <v>77</v>
      </c>
    </row>
    <row r="39" spans="1:3" ht="14.4">
      <c r="A39" s="1691" t="s">
        <v>78</v>
      </c>
    </row>
    <row r="40" spans="1:3" ht="14.4">
      <c r="A40" s="1691" t="s">
        <v>79</v>
      </c>
    </row>
    <row r="41" spans="1:3" ht="14.4">
      <c r="A41" s="1692" t="s">
        <v>80</v>
      </c>
    </row>
    <row r="42" spans="1:3" ht="14.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2817</v>
      </c>
      <c r="B2" s="2531">
        <f ca="1">TODAY()</f>
        <v>44615</v>
      </c>
      <c r="C2" s="2532" t="s">
        <v>2818</v>
      </c>
      <c r="D2" s="2532"/>
      <c r="E2" s="2532"/>
      <c r="F2" s="2528"/>
      <c r="G2" s="2528"/>
      <c r="H2" s="2528"/>
    </row>
    <row r="3" spans="1:8" ht="24" customHeight="1">
      <c r="A3" s="2533" t="s">
        <v>2819</v>
      </c>
      <c r="B3" s="2534" t="s">
        <v>2820</v>
      </c>
      <c r="C3" s="2534" t="s">
        <v>2821</v>
      </c>
      <c r="D3" s="2535" t="s">
        <v>2822</v>
      </c>
      <c r="E3" s="2536" t="s">
        <v>2823</v>
      </c>
      <c r="F3" s="1443" t="s">
        <v>2824</v>
      </c>
      <c r="G3" s="2534" t="s">
        <v>2821</v>
      </c>
      <c r="H3" s="2535" t="s">
        <v>2825</v>
      </c>
    </row>
    <row r="4" spans="1:8" ht="24" customHeight="1">
      <c r="A4" s="1443" t="s">
        <v>2826</v>
      </c>
      <c r="B4" s="1443">
        <f ca="1">IF(C4&lt;B2,"已过期",1119970066)</f>
        <v>1119970066</v>
      </c>
      <c r="C4" s="2537">
        <v>44876</v>
      </c>
      <c r="D4" s="2538" t="str">
        <f ca="1">A4&amp;"（注册号："&amp;B4&amp;"）"</f>
        <v>梁津（注册号：1119970066）</v>
      </c>
      <c r="E4" s="2539" t="s">
        <v>2826</v>
      </c>
      <c r="F4" s="1443">
        <f ca="1">IF(G4&lt;B2,"已过期",96010014)</f>
        <v>96010014</v>
      </c>
      <c r="G4" s="2540">
        <v>47118</v>
      </c>
      <c r="H4" s="2541" t="str">
        <f ca="1">E4&amp;"（注册号："&amp;F4&amp;"）"</f>
        <v>梁津（注册号：96010014）</v>
      </c>
    </row>
    <row r="5" spans="1:8" ht="24" customHeight="1">
      <c r="A5" s="1443" t="s">
        <v>2827</v>
      </c>
      <c r="B5" s="1443">
        <f ca="1">IF(C5&lt;B2,"已过期",1119970111)</f>
        <v>1119970111</v>
      </c>
      <c r="C5" s="2537">
        <v>44876</v>
      </c>
      <c r="D5" s="2538" t="str">
        <f t="shared" ref="D5:D15" ca="1" si="0">A5&amp;"（注册号："&amp;B5&amp;"）"</f>
        <v>叶凌（注册号：1119970111）</v>
      </c>
      <c r="E5" s="2539" t="s">
        <v>2827</v>
      </c>
      <c r="F5" s="1443">
        <f ca="1">IF(G5&lt;B2,"已过期",94010078)</f>
        <v>94010078</v>
      </c>
      <c r="G5" s="2540">
        <v>46387</v>
      </c>
      <c r="H5" s="2541" t="str">
        <f t="shared" ref="H5:H16" ca="1" si="1">E5&amp;"（注册号："&amp;F5&amp;"）"</f>
        <v>叶凌（注册号：94010078）</v>
      </c>
    </row>
    <row r="6" spans="1:8" ht="24" customHeight="1">
      <c r="A6" s="1443" t="s">
        <v>2828</v>
      </c>
      <c r="B6" s="1443" t="str">
        <f ca="1">IF(C6&lt;B2,"已过期",1120050019)</f>
        <v>已过期</v>
      </c>
      <c r="C6" s="2537">
        <v>44395</v>
      </c>
      <c r="D6" s="2538" t="str">
        <f t="shared" ca="1" si="0"/>
        <v>王鹏（注册号：已过期）</v>
      </c>
      <c r="E6" s="2539" t="s">
        <v>2828</v>
      </c>
      <c r="F6" s="1443">
        <f ca="1">IF(G6&lt;B2,"已过期",2002110030)</f>
        <v>2002110030</v>
      </c>
      <c r="G6" s="2540">
        <v>46387</v>
      </c>
      <c r="H6" s="2541" t="str">
        <f t="shared" ca="1" si="1"/>
        <v>王鹏（注册号：2002110030）</v>
      </c>
    </row>
    <row r="7" spans="1:8" ht="24" customHeight="1">
      <c r="A7" s="1443" t="s">
        <v>2829</v>
      </c>
      <c r="B7" s="1443">
        <f ca="1">IF(C7&lt;B2,"已过期",1120000080)</f>
        <v>1120000080</v>
      </c>
      <c r="C7" s="2537">
        <v>44876</v>
      </c>
      <c r="D7" s="2538" t="str">
        <f t="shared" ca="1" si="0"/>
        <v>欧红伟（注册号：1120000080）</v>
      </c>
      <c r="E7" s="2539" t="s">
        <v>2829</v>
      </c>
      <c r="F7" s="1443">
        <f ca="1">IF(G7&lt;B2,"已过期",2000110082)</f>
        <v>2000110082</v>
      </c>
      <c r="G7" s="2540">
        <v>46387</v>
      </c>
      <c r="H7" s="2541" t="str">
        <f t="shared" ca="1" si="1"/>
        <v>欧红伟（注册号：2000110082）</v>
      </c>
    </row>
    <row r="8" spans="1:8" ht="24" customHeight="1">
      <c r="A8" s="1443" t="s">
        <v>2830</v>
      </c>
      <c r="B8" s="1443">
        <f ca="1">IF(C8&lt;B2,"已过期",1419970001)</f>
        <v>1419970001</v>
      </c>
      <c r="C8" s="2537">
        <v>44899</v>
      </c>
      <c r="D8" s="2538" t="str">
        <f t="shared" ca="1" si="0"/>
        <v>吴薇（注册号：1419970001）</v>
      </c>
      <c r="E8" s="2539" t="s">
        <v>2830</v>
      </c>
      <c r="F8" s="1443">
        <f ca="1">IF(G8&lt;B2,"已过期",2002110125)</f>
        <v>2002110125</v>
      </c>
      <c r="G8" s="2540">
        <v>47118</v>
      </c>
      <c r="H8" s="2541" t="str">
        <f t="shared" ca="1" si="1"/>
        <v>吴薇（注册号：2002110125）</v>
      </c>
    </row>
    <row r="9" spans="1:8" ht="24" customHeight="1">
      <c r="A9" s="1443" t="s">
        <v>2831</v>
      </c>
      <c r="B9" s="1443" t="str">
        <f ca="1">IF(C9&lt;B2,"已过期",1120060040)</f>
        <v>已过期</v>
      </c>
      <c r="C9" s="2542">
        <v>44554</v>
      </c>
      <c r="D9" s="2538" t="str">
        <f t="shared" ca="1" si="0"/>
        <v>陈颖（注册号：已过期）</v>
      </c>
      <c r="E9" s="2539" t="s">
        <v>2831</v>
      </c>
      <c r="F9" s="1443">
        <f ca="1">IF(G9&lt;B2,"已过期",2004110096)</f>
        <v>2004110096</v>
      </c>
      <c r="G9" s="2540">
        <v>47118</v>
      </c>
      <c r="H9" s="2541" t="str">
        <f t="shared" ca="1" si="1"/>
        <v>陈颖（注册号：2004110096）</v>
      </c>
    </row>
    <row r="10" spans="1:8" ht="24" customHeight="1">
      <c r="A10" s="1443" t="s">
        <v>2832</v>
      </c>
      <c r="B10" s="1443">
        <f ca="1">IF(C10&lt;B2,"已过期",1120100036)</f>
        <v>1120100036</v>
      </c>
      <c r="C10" s="2542">
        <v>44675</v>
      </c>
      <c r="D10" s="2538" t="str">
        <f t="shared" ca="1" si="0"/>
        <v>崔锴（注册号：1120100036）</v>
      </c>
      <c r="E10" s="2539" t="s">
        <v>2832</v>
      </c>
      <c r="F10" s="1443">
        <f ca="1">IF(G10&lt;B2,"已过期",2010110070)</f>
        <v>2010110070</v>
      </c>
      <c r="G10" s="2540">
        <v>47907</v>
      </c>
      <c r="H10" s="2541" t="str">
        <f t="shared" ca="1" si="1"/>
        <v>崔锴（注册号：2010110070）</v>
      </c>
    </row>
    <row r="11" spans="1:8" ht="24" customHeight="1">
      <c r="A11" s="1443" t="s">
        <v>2833</v>
      </c>
      <c r="B11" s="1443">
        <f ca="1">IF(C11&lt;B2,"已过期",1120070131)</f>
        <v>1120070131</v>
      </c>
      <c r="C11" s="2537">
        <v>44849</v>
      </c>
      <c r="D11" s="2538" t="str">
        <f t="shared" ca="1" si="0"/>
        <v>郑燚（注册号：1120070131）</v>
      </c>
      <c r="E11" s="2539" t="s">
        <v>2833</v>
      </c>
      <c r="F11" s="1443">
        <f ca="1">IF(G11&lt;B2,"已过期",2014110011)</f>
        <v>2014110011</v>
      </c>
      <c r="G11" s="2540">
        <v>49302</v>
      </c>
      <c r="H11" s="2541" t="str">
        <f t="shared" ca="1" si="1"/>
        <v>郑燚（注册号：2014110011）</v>
      </c>
    </row>
    <row r="12" spans="1:8" ht="24" customHeight="1">
      <c r="A12" s="1443" t="s">
        <v>2834</v>
      </c>
      <c r="B12" s="1443">
        <f ca="1">IF(C12&lt;B2,"已过期",1120040230)</f>
        <v>1120040230</v>
      </c>
      <c r="C12" s="2542">
        <v>44864</v>
      </c>
      <c r="D12" s="2538" t="str">
        <f t="shared" ca="1" si="0"/>
        <v>苏海（注册号：1120040230）</v>
      </c>
      <c r="E12" s="2539" t="s">
        <v>2834</v>
      </c>
      <c r="F12" s="1443">
        <f ca="1">IF(G12&lt;B2,"已过期",98030020)</f>
        <v>98030020</v>
      </c>
      <c r="G12" s="2540">
        <v>47118</v>
      </c>
      <c r="H12" s="2541" t="str">
        <f t="shared" ca="1" si="1"/>
        <v>苏海（注册号：98030020）</v>
      </c>
    </row>
    <row r="13" spans="1:8" ht="24" customHeight="1">
      <c r="A13" s="1443" t="s">
        <v>2835</v>
      </c>
      <c r="B13" s="1443" t="str">
        <f ca="1">IF(C13&lt;B2,"已过期",1120020033)</f>
        <v>已过期</v>
      </c>
      <c r="C13" s="2537">
        <v>44339</v>
      </c>
      <c r="D13" s="2538" t="str">
        <f t="shared" ca="1" si="0"/>
        <v>刘敬东（注册号：已过期）</v>
      </c>
      <c r="E13" s="2539" t="s">
        <v>2835</v>
      </c>
      <c r="F13" s="1443">
        <f ca="1">IF(G13&lt;B2,"已过期",2000110137)</f>
        <v>2000110137</v>
      </c>
      <c r="G13" s="2540">
        <v>46387</v>
      </c>
      <c r="H13" s="2541" t="str">
        <f t="shared" ca="1" si="1"/>
        <v>刘敬东（注册号：2000110137）</v>
      </c>
    </row>
    <row r="14" spans="1:8" ht="24" customHeight="1">
      <c r="A14" s="1443" t="s">
        <v>2836</v>
      </c>
      <c r="B14" s="1443">
        <f ca="1">IF(C14&lt;B2,"已过期",1119980106)</f>
        <v>1119980106</v>
      </c>
      <c r="C14" s="2542">
        <v>44969</v>
      </c>
      <c r="D14" s="2538" t="str">
        <f t="shared" ca="1" si="0"/>
        <v>刘俊财（注册号：1119980106）</v>
      </c>
      <c r="E14" s="2539" t="s">
        <v>2836</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2837</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7" t="s">
        <v>2838</v>
      </c>
      <c r="B17" s="3327"/>
      <c r="C17" s="3327"/>
      <c r="D17" s="3327"/>
      <c r="E17" s="3327"/>
      <c r="F17" s="3327"/>
      <c r="G17" s="3327"/>
      <c r="H17" s="3327"/>
    </row>
    <row r="18" spans="1:8" ht="24" customHeight="1">
      <c r="A18" s="3328" t="s">
        <v>2839</v>
      </c>
      <c r="B18" s="3328"/>
      <c r="C18" s="3328"/>
      <c r="D18" s="2535"/>
      <c r="E18" s="3329" t="s">
        <v>2840</v>
      </c>
      <c r="F18" s="3328"/>
      <c r="G18" s="3328"/>
    </row>
    <row r="19" spans="1:8" s="2546" customFormat="1" ht="24" customHeight="1">
      <c r="A19" s="2545" t="s">
        <v>2841</v>
      </c>
      <c r="B19" s="2534" t="s">
        <v>2842</v>
      </c>
      <c r="C19" s="2534" t="s">
        <v>2821</v>
      </c>
      <c r="D19" s="2535"/>
      <c r="E19" s="2539" t="s">
        <v>2841</v>
      </c>
      <c r="F19" s="2534" t="s">
        <v>2842</v>
      </c>
      <c r="G19" s="2534" t="s">
        <v>2821</v>
      </c>
    </row>
    <row r="20" spans="1:8" s="2546" customFormat="1" ht="24" customHeight="1">
      <c r="A20" s="2547" t="s">
        <v>2843</v>
      </c>
      <c r="B20" s="2547" t="s">
        <v>2844</v>
      </c>
      <c r="C20" s="2540">
        <v>44820</v>
      </c>
      <c r="D20" s="2548"/>
      <c r="E20" s="2549" t="s">
        <v>2845</v>
      </c>
      <c r="F20" s="2547" t="s">
        <v>2846</v>
      </c>
      <c r="G20" s="2550">
        <v>44377</v>
      </c>
    </row>
    <row r="21" spans="1:8" s="2546" customFormat="1" ht="24" customHeight="1">
      <c r="A21" s="2547"/>
      <c r="B21" s="2547"/>
      <c r="C21" s="2551"/>
      <c r="D21" s="2552"/>
      <c r="E21" s="2549" t="s">
        <v>2847</v>
      </c>
      <c r="F21" s="2553" t="s">
        <v>2848</v>
      </c>
      <c r="G21" s="2554">
        <v>44012</v>
      </c>
    </row>
    <row r="22" spans="1:8" ht="24" customHeight="1">
      <c r="C22" s="2555"/>
      <c r="D22" s="2555"/>
      <c r="E22" s="2556"/>
      <c r="F22" s="2557"/>
      <c r="G22" s="2558"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Sheet1</vt:lpstr>
      <vt:lpstr>抵押物清单（分楼）</vt:lpstr>
      <vt:lpstr>数据-汇总表</vt:lpstr>
      <vt:lpstr>数据-取费表</vt:lpstr>
      <vt:lpstr>估价对象房地状况</vt:lpstr>
      <vt:lpstr>系统读取表</vt:lpstr>
      <vt:lpstr>结果表自合并</vt:lpstr>
      <vt:lpstr>基准地价修正</vt:lpstr>
      <vt:lpstr>结果表</vt:lpstr>
      <vt:lpstr>成本法</vt:lpstr>
      <vt:lpstr>成本法 (元)</vt:lpstr>
      <vt:lpstr>假设开发法</vt:lpstr>
      <vt:lpstr>收益法</vt:lpstr>
      <vt:lpstr>结果表 (2)</vt:lpstr>
      <vt:lpstr>成本法 (2)</vt:lpstr>
      <vt:lpstr>收益法 (2)</vt:lpstr>
      <vt:lpstr>结果表 (3)</vt:lpstr>
      <vt:lpstr>成本法 (3)</vt:lpstr>
      <vt:lpstr>收益法 (3)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(3)'!Print_Area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(2)'!Print_Area</vt:lpstr>
      <vt:lpstr>'收益法 (3)'!Print_Area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2022-02-23T05:59:53Z</dcterms:modified>
</cp:coreProperties>
</file>