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2)" sheetId="82"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1" hidden="1">'比较法-商业 (2)'!$A$1:$L$49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1">'比较法-商业 (2)'!$A$1:$K$54,'比较法-商业 (2)'!$A$57:$M$131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(2)'!$B$116:$M$116</definedName>
    <definedName name="商业层高">'比较法-商业'!$B$116:$M$116</definedName>
    <definedName name="商业成新度" localSheetId="21">'比较法-商业 (2)'!$B$109:$M$109</definedName>
    <definedName name="商业成新度">'比较法-商业'!$B$109:$M$109</definedName>
    <definedName name="商业繁华度">定义!$L$1:$L$6</definedName>
    <definedName name="商业公共部分装修" localSheetId="21">'比较法-商业 (2)'!$B$107:$M$107</definedName>
    <definedName name="商业公共部分装修">'比较法-商业'!$B$107:$M$107</definedName>
    <definedName name="商业基础设施水平" localSheetId="21">'比较法-商业 (2)'!$B$112:$M$112</definedName>
    <definedName name="商业基础设施水平">'比较法-商业'!$B$112:$M$112</definedName>
    <definedName name="商业建筑结构" localSheetId="21">'比较法-商业 (2)'!$B$105:$M$105</definedName>
    <definedName name="商业建筑结构">'比较法-商业'!$B$105:$M$105</definedName>
    <definedName name="商业交易情况" localSheetId="21">'比较法-商业 (2)'!$A$61:$M$61</definedName>
    <definedName name="商业交易情况">'比较法-商业'!$A$61:$M$61</definedName>
    <definedName name="商业街名称">修正!$C$71:$C$138</definedName>
    <definedName name="商业进深比" localSheetId="21">'比较法-商业 (2)'!$B$120:$M$120</definedName>
    <definedName name="商业进深比">'比较法-商业'!$B$120:$M$120</definedName>
    <definedName name="商业类型" localSheetId="21">'比较法-商业 (2)'!$B$100:$M$100</definedName>
    <definedName name="商业类型">'比较法-商业'!$B$100:$M$100</definedName>
    <definedName name="商业临街状况" localSheetId="21">'比较法-商业 (2)'!$B$86:$M$86</definedName>
    <definedName name="商业临街状况">'比较法-商业'!$B$86:$M$86</definedName>
    <definedName name="商业楼层" localSheetId="21">'比较法-商业 (2)'!$B$92:$M$92</definedName>
    <definedName name="商业楼层">'比较法-商业'!$B$92:$M$92</definedName>
    <definedName name="商业内部装修" localSheetId="21">'比较法-商业 (2)'!$B$122:$M$122</definedName>
    <definedName name="商业内部装修">'比较法-商业'!$B$122:$M$122</definedName>
    <definedName name="商业人流量" localSheetId="21">'比较法-商业 (2)'!$B$90:$M$90</definedName>
    <definedName name="商业人流量">'比较法-商业'!$B$90:$M$90</definedName>
    <definedName name="商业业态" localSheetId="21">'比较法-商业 (2)'!$B$114:$M$114</definedName>
    <definedName name="商业业态">'比较法-商业'!$B$114:$M$114</definedName>
    <definedName name="商业用途" localSheetId="21">'比较法-商业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s="1"/>
  <c r="G89" i="33" s="1"/>
  <c r="D89" i="33"/>
  <c r="E89" i="82"/>
  <c r="F89" i="82" s="1"/>
  <c r="G89" i="82" s="1"/>
  <c r="D89" i="82"/>
  <c r="B14" i="74" l="1"/>
  <c r="N45" i="82" l="1"/>
  <c r="N43" i="82"/>
  <c r="G36" i="82"/>
  <c r="E36" i="82"/>
  <c r="J49" i="67" l="1"/>
  <c r="I36" i="33"/>
  <c r="E36"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B98" i="82"/>
  <c r="B96" i="82"/>
  <c r="B94" i="82"/>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C63" i="82"/>
  <c r="D59" i="82"/>
  <c r="E59" i="82" s="1"/>
  <c r="F59" i="82" s="1"/>
  <c r="G59" i="82" s="1"/>
  <c r="H59" i="82" s="1"/>
  <c r="I59" i="82" s="1"/>
  <c r="J59" i="82" s="1"/>
  <c r="K59" i="82" s="1"/>
  <c r="L59" i="82" s="1"/>
  <c r="M59" i="82" s="1"/>
  <c r="I54" i="82"/>
  <c r="J54" i="82" s="1"/>
  <c r="G54" i="82"/>
  <c r="H54" i="82" s="1"/>
  <c r="E54" i="82"/>
  <c r="F54" i="82" s="1"/>
  <c r="P49" i="82"/>
  <c r="P48" i="82"/>
  <c r="K48" i="82"/>
  <c r="V47" i="82"/>
  <c r="T47" i="82"/>
  <c r="R47" i="82"/>
  <c r="P47" i="82"/>
  <c r="Q46" i="82"/>
  <c r="Z46" i="82" s="1"/>
  <c r="J46" i="82"/>
  <c r="AC46" i="82" s="1"/>
  <c r="H46" i="82"/>
  <c r="AB46" i="82" s="1"/>
  <c r="F46"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C33" i="33"/>
  <c r="I7" i="33"/>
  <c r="G7" i="33"/>
  <c r="E7" i="33"/>
  <c r="D2" i="82"/>
  <c r="H36" i="82" l="1"/>
  <c r="AB36" i="82" s="1"/>
  <c r="G101" i="82"/>
  <c r="H101" i="82" s="1"/>
  <c r="I101" i="82" s="1"/>
  <c r="J101" i="82" s="1"/>
  <c r="K101" i="82" s="1"/>
  <c r="L101" i="82" s="1"/>
  <c r="M101" i="82" s="1"/>
  <c r="H32" i="82"/>
  <c r="AB32" i="82" s="1"/>
  <c r="J32" i="82"/>
  <c r="AC32" i="82" s="1"/>
  <c r="V48" i="82" s="1"/>
  <c r="I48" i="82" s="1"/>
  <c r="U8" i="82"/>
  <c r="S7" i="82"/>
  <c r="AA7" i="82"/>
  <c r="AB7" i="82"/>
  <c r="U7" i="82"/>
  <c r="W7" i="82"/>
  <c r="AC7" i="82"/>
  <c r="U9" i="82"/>
  <c r="S10" i="82"/>
  <c r="W10" i="82"/>
  <c r="S8" i="82"/>
  <c r="W8" i="82"/>
  <c r="S9" i="82"/>
  <c r="W9" i="82"/>
  <c r="U10" i="82"/>
  <c r="S11" i="82"/>
  <c r="W11" i="82"/>
  <c r="U12" i="82"/>
  <c r="S13" i="82"/>
  <c r="W13" i="82"/>
  <c r="U14" i="82"/>
  <c r="U15" i="82"/>
  <c r="U17" i="82"/>
  <c r="W19" i="82"/>
  <c r="AA21" i="82"/>
  <c r="S21" i="82"/>
  <c r="AC21" i="82"/>
  <c r="W21" i="82"/>
  <c r="U11" i="82"/>
  <c r="S12" i="82"/>
  <c r="W12" i="82"/>
  <c r="U13" i="82"/>
  <c r="S14" i="82"/>
  <c r="W14" i="82"/>
  <c r="S15" i="82"/>
  <c r="W15" i="82"/>
  <c r="S17" i="82"/>
  <c r="W17" i="82"/>
  <c r="S19" i="82"/>
  <c r="AC33" i="82"/>
  <c r="W33" i="82"/>
  <c r="U19" i="82"/>
  <c r="U21" i="82"/>
  <c r="U23" i="82"/>
  <c r="S25" i="82"/>
  <c r="W25" i="82"/>
  <c r="U26" i="82"/>
  <c r="S27" i="82"/>
  <c r="W27" i="82"/>
  <c r="U28" i="82"/>
  <c r="S29" i="82"/>
  <c r="W29" i="82"/>
  <c r="U30" i="82"/>
  <c r="S31" i="82"/>
  <c r="W31" i="82"/>
  <c r="H33" i="82"/>
  <c r="S34" i="82"/>
  <c r="W34" i="82"/>
  <c r="U35" i="82"/>
  <c r="S36" i="82"/>
  <c r="W36" i="82"/>
  <c r="U37" i="82"/>
  <c r="S38" i="82"/>
  <c r="W38" i="82"/>
  <c r="U39" i="82"/>
  <c r="S40" i="82"/>
  <c r="W40" i="82"/>
  <c r="U41" i="82"/>
  <c r="S42" i="82"/>
  <c r="W42" i="82"/>
  <c r="U43" i="82"/>
  <c r="S44" i="82"/>
  <c r="W44" i="82"/>
  <c r="U45" i="82"/>
  <c r="AA46" i="82"/>
  <c r="S46" i="82"/>
  <c r="U46" i="82"/>
  <c r="R48" i="82"/>
  <c r="S23" i="82"/>
  <c r="W23" i="82"/>
  <c r="U25" i="82"/>
  <c r="S26" i="82"/>
  <c r="W26" i="82"/>
  <c r="U27" i="82"/>
  <c r="S28" i="82"/>
  <c r="W28" i="82"/>
  <c r="U29" i="82"/>
  <c r="S30" i="82"/>
  <c r="W30" i="82"/>
  <c r="U31" i="82"/>
  <c r="S32" i="82"/>
  <c r="F33" i="82"/>
  <c r="U34" i="82"/>
  <c r="S35" i="82"/>
  <c r="W35" i="82"/>
  <c r="U36" i="82"/>
  <c r="S37" i="82"/>
  <c r="W37" i="82"/>
  <c r="U38" i="82"/>
  <c r="S39" i="82"/>
  <c r="W39" i="82"/>
  <c r="U40" i="82"/>
  <c r="S41" i="82"/>
  <c r="W41" i="82"/>
  <c r="U42" i="82"/>
  <c r="S43" i="82"/>
  <c r="W43" i="82"/>
  <c r="U44" i="82"/>
  <c r="S45" i="82"/>
  <c r="W45" i="82"/>
  <c r="W46" i="82"/>
  <c r="U32" i="82" l="1"/>
  <c r="T48" i="82"/>
  <c r="G48" i="82" s="1"/>
  <c r="W32" i="82"/>
  <c r="AA33" i="82"/>
  <c r="S33" i="82"/>
  <c r="R49" i="82"/>
  <c r="E48" i="82"/>
  <c r="I53" i="82" s="1"/>
  <c r="J53" i="82" s="1"/>
  <c r="AB33" i="82"/>
  <c r="U33" i="82"/>
  <c r="G53" i="82"/>
  <c r="H53" i="82" s="1"/>
  <c r="G52" i="82"/>
  <c r="H52" i="82" s="1"/>
  <c r="I52" i="82"/>
  <c r="J52" i="82" s="1"/>
  <c r="E53" i="82" l="1"/>
  <c r="F53" i="82" s="1"/>
  <c r="E52" i="82"/>
  <c r="F52" i="82" s="1"/>
  <c r="C49" i="82"/>
  <c r="C48" i="82"/>
  <c r="U6" i="1" s="1"/>
  <c r="B3" i="82" l="1"/>
  <c r="B2" i="82"/>
  <c r="D66" i="33" l="1"/>
  <c r="E66" i="33" s="1"/>
  <c r="F66" i="33" s="1"/>
  <c r="G66" i="33" s="1"/>
  <c r="H66" i="33" s="1"/>
  <c r="E59" i="33" l="1"/>
  <c r="F59" i="33" s="1"/>
  <c r="G59" i="33" s="1"/>
  <c r="H59" i="33" s="1"/>
  <c r="I59" i="33" s="1"/>
  <c r="J59" i="33" s="1"/>
  <c r="K59" i="33" s="1"/>
  <c r="L59" i="33" s="1"/>
  <c r="M59" i="33" s="1"/>
  <c r="D59" i="33"/>
  <c r="G51" i="43" l="1"/>
  <c r="G52" i="43"/>
  <c r="G53" i="43"/>
  <c r="G54" i="43"/>
  <c r="G55" i="43"/>
  <c r="G56" i="43"/>
  <c r="G57" i="43"/>
  <c r="G58" i="43"/>
  <c r="G50" i="43"/>
  <c r="U2" i="43"/>
  <c r="Y6" i="1"/>
  <c r="N6" i="1"/>
  <c r="N19"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40" i="71"/>
  <c r="T40" i="71" s="1"/>
  <c r="D39" i="71"/>
  <c r="C32" i="71"/>
  <c r="T32" i="71" s="1"/>
  <c r="O66" i="71"/>
  <c r="O65" i="71"/>
  <c r="D32" i="71"/>
  <c r="D40"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AA21" i="33" s="1"/>
  <c r="E83" i="21"/>
  <c r="S21" i="21"/>
  <c r="H1" i="69"/>
  <c r="W25" i="40"/>
  <c r="U25" i="40"/>
  <c r="U29" i="39"/>
  <c r="W18" i="36"/>
  <c r="AB21" i="37"/>
  <c r="U21" i="37"/>
  <c r="S21" i="37"/>
  <c r="U21" i="34"/>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F26" i="33"/>
  <c r="AA26" i="33" s="1"/>
  <c r="U33" i="33"/>
  <c r="S40" i="33"/>
  <c r="W33"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35" i="35"/>
  <c r="AA12" i="35"/>
  <c r="W23" i="35"/>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29" i="33"/>
  <c r="AB29" i="33"/>
  <c r="W38" i="33"/>
  <c r="H41" i="33"/>
  <c r="U41" i="33" s="1"/>
  <c r="F121" i="33"/>
  <c r="G121" i="33"/>
  <c r="H121" i="33" s="1"/>
  <c r="I121" i="33" s="1"/>
  <c r="J121" i="33" s="1"/>
  <c r="K121" i="33" s="1"/>
  <c r="L121" i="33" s="1"/>
  <c r="M121" i="33" s="1"/>
  <c r="S42" i="33"/>
  <c r="G111" i="33"/>
  <c r="F36" i="33" s="1"/>
  <c r="AA36" i="33" s="1"/>
  <c r="J35" i="33"/>
  <c r="AC35" i="33" s="1"/>
  <c r="S37" i="33"/>
  <c r="AA37" i="33"/>
  <c r="F101" i="33"/>
  <c r="G101" i="33" s="1"/>
  <c r="H101" i="33" s="1"/>
  <c r="I101" i="33" s="1"/>
  <c r="J101" i="33" s="1"/>
  <c r="K101" i="33" s="1"/>
  <c r="L101" i="33" s="1"/>
  <c r="M101" i="33" s="1"/>
  <c r="J32" i="33"/>
  <c r="AC32" i="33" s="1"/>
  <c r="S46" i="33"/>
  <c r="W43" i="33"/>
  <c r="F87" i="33"/>
  <c r="G87" i="33" s="1"/>
  <c r="H25" i="33"/>
  <c r="AB25" i="33" s="1"/>
  <c r="F25" i="33"/>
  <c r="S25" i="33" s="1"/>
  <c r="J23" i="33"/>
  <c r="AC23" i="33" s="1"/>
  <c r="F85" i="33"/>
  <c r="H23" i="33"/>
  <c r="AB23" i="33" s="1"/>
  <c r="F81" i="33"/>
  <c r="G81" i="33" s="1"/>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AA14" i="21"/>
  <c r="D120" i="9"/>
  <c r="C18" i="9"/>
  <c r="D18" i="9" s="1"/>
  <c r="F34" i="67"/>
  <c r="F62" i="67" s="1"/>
  <c r="M20" i="67"/>
  <c r="F34" i="15"/>
  <c r="F62" i="15" s="1"/>
  <c r="G13" i="3"/>
  <c r="G5" i="3" s="1"/>
  <c r="B3"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J101" i="21"/>
  <c r="K101" i="21" s="1"/>
  <c r="L101" i="2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S17" i="37"/>
  <c r="J19" i="37"/>
  <c r="G75" i="37"/>
  <c r="S19" i="37"/>
  <c r="AA19" i="37"/>
  <c r="AA23" i="37"/>
  <c r="J23" i="37"/>
  <c r="W23" i="37" s="1"/>
  <c r="J10" i="37"/>
  <c r="W10" i="37" s="1"/>
  <c r="H11" i="37"/>
  <c r="AB11" i="37" s="1"/>
  <c r="H11" i="34"/>
  <c r="U11" i="34" s="1"/>
  <c r="J10" i="34"/>
  <c r="AC10" i="34" s="1"/>
  <c r="AB41" i="33"/>
  <c r="J36" i="33"/>
  <c r="W36" i="33" s="1"/>
  <c r="J27" i="33"/>
  <c r="AC27" i="33" s="1"/>
  <c r="U25" i="33"/>
  <c r="AA25" i="33"/>
  <c r="H87" i="33"/>
  <c r="I87" i="33" s="1"/>
  <c r="J87" i="33" s="1"/>
  <c r="K87" i="33" s="1"/>
  <c r="L87" i="33" s="1"/>
  <c r="M87" i="33" s="1"/>
  <c r="J25" i="33"/>
  <c r="AC25" i="33" s="1"/>
  <c r="U23" i="33"/>
  <c r="F23" i="33"/>
  <c r="S23" i="33" s="1"/>
  <c r="G85" i="33"/>
  <c r="AA19" i="33"/>
  <c r="H19" i="33"/>
  <c r="U19" i="33" s="1"/>
  <c r="G79" i="33"/>
  <c r="H17" i="33"/>
  <c r="U17" i="33" s="1"/>
  <c r="F17" i="33"/>
  <c r="S17" i="33" s="1"/>
  <c r="S37" i="21"/>
  <c r="AA23" i="21"/>
  <c r="J23" i="21"/>
  <c r="W23" i="21" s="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s="1"/>
  <c r="L63" i="37" s="1"/>
  <c r="M63" i="37" s="1"/>
  <c r="J11" i="37"/>
  <c r="AC11" i="37" s="1"/>
  <c r="H70" i="34"/>
  <c r="I70" i="34" s="1"/>
  <c r="J70" i="34" s="1"/>
  <c r="K70" i="34" s="1"/>
  <c r="L70" i="34" s="1"/>
  <c r="M70" i="34" s="1"/>
  <c r="J11" i="34"/>
  <c r="W11" i="34" s="1"/>
  <c r="W27" i="33"/>
  <c r="U23" i="21"/>
  <c r="AB23" i="21"/>
  <c r="H109" i="9"/>
  <c r="H112" i="9"/>
  <c r="D21" i="53" s="1"/>
  <c r="B39" i="72" s="1"/>
  <c r="H111" i="9"/>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D7" i="73"/>
  <c r="F8" i="67"/>
  <c r="M28" i="15"/>
  <c r="B11" i="76"/>
  <c r="E10" i="76"/>
  <c r="F6" i="73"/>
  <c r="E2" i="69"/>
  <c r="E13" i="76"/>
  <c r="F4" i="73"/>
  <c r="E2" i="68"/>
  <c r="C76" i="67"/>
  <c r="F42" i="67"/>
  <c r="M9" i="67"/>
  <c r="F36" i="67"/>
  <c r="M28" i="67"/>
  <c r="F38" i="15"/>
  <c r="AO13" i="1"/>
  <c r="B10" i="76"/>
  <c r="J15" i="15"/>
  <c r="M6" i="15"/>
  <c r="D3" i="73"/>
  <c r="F16" i="67"/>
  <c r="F7" i="15"/>
  <c r="L47" i="67"/>
  <c r="F26" i="15"/>
  <c r="B13" i="76"/>
  <c r="E8" i="76"/>
  <c r="B12" i="76"/>
  <c r="M8" i="67"/>
  <c r="F42" i="15"/>
  <c r="F20" i="31"/>
  <c r="E7" i="76"/>
  <c r="M29" i="15"/>
  <c r="M26" i="15"/>
  <c r="F16" i="15"/>
  <c r="M26" i="67"/>
  <c r="M22" i="15"/>
  <c r="D5" i="73"/>
  <c r="F7" i="67"/>
  <c r="M23" i="15"/>
  <c r="F40" i="67"/>
  <c r="F5" i="73"/>
  <c r="M9" i="15"/>
  <c r="E9" i="76"/>
  <c r="J15" i="67"/>
  <c r="C76" i="15"/>
  <c r="F6" i="67"/>
  <c r="L48" i="15"/>
  <c r="E11" i="76"/>
  <c r="M24" i="67"/>
  <c r="D6" i="73"/>
  <c r="M8" i="15"/>
  <c r="F7" i="73"/>
  <c r="B9" i="76"/>
  <c r="M23" i="67"/>
  <c r="M29" i="67"/>
  <c r="B7" i="76"/>
  <c r="B8" i="76"/>
  <c r="D4" i="73"/>
  <c r="E12" i="76"/>
  <c r="F3" i="73"/>
  <c r="H32" i="33" l="1"/>
  <c r="AB32" i="33" s="1"/>
  <c r="W23" i="33"/>
  <c r="H36" i="33"/>
  <c r="H111" i="33"/>
  <c r="I111" i="33" s="1"/>
  <c r="J111" i="33" s="1"/>
  <c r="K111" i="33" s="1"/>
  <c r="L111" i="33" s="1"/>
  <c r="M111" i="33" s="1"/>
  <c r="AB26" i="33"/>
  <c r="S26" i="33"/>
  <c r="AC37" i="33"/>
  <c r="H27" i="33"/>
  <c r="U27" i="33" s="1"/>
  <c r="F27" i="33"/>
  <c r="F91" i="33"/>
  <c r="G91" i="33" s="1"/>
  <c r="H91" i="33" s="1"/>
  <c r="I91" i="33" s="1"/>
  <c r="J91" i="33" s="1"/>
  <c r="K91" i="33" s="1"/>
  <c r="L91" i="33" s="1"/>
  <c r="M91" i="33" s="1"/>
  <c r="AB19" i="33"/>
  <c r="U42" i="33"/>
  <c r="AA23" i="33"/>
  <c r="F32" i="33"/>
  <c r="AA32" i="33" s="1"/>
  <c r="W32" i="33"/>
  <c r="S32" i="33"/>
  <c r="S43" i="33"/>
  <c r="S36" i="33"/>
  <c r="AB17" i="33"/>
  <c r="AB21" i="33"/>
  <c r="AC17" i="33"/>
  <c r="AA17" i="33"/>
  <c r="S39" i="33"/>
  <c r="W39" i="33"/>
  <c r="S38" i="33"/>
  <c r="W35" i="33"/>
  <c r="AA35" i="33"/>
  <c r="U35" i="33"/>
  <c r="AC34" i="33"/>
  <c r="AC28" i="33"/>
  <c r="AB28" i="33"/>
  <c r="W25" i="33"/>
  <c r="D52" i="43"/>
  <c r="E50" i="43" s="1"/>
  <c r="B48" i="43" s="1"/>
  <c r="C28" i="67"/>
  <c r="H69" i="43"/>
  <c r="D126" i="9"/>
  <c r="D19" i="53"/>
  <c r="B38" i="72" s="1"/>
  <c r="V20" i="71"/>
  <c r="AC23" i="21"/>
  <c r="AC17" i="21"/>
  <c r="W17"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S12" i="21"/>
  <c r="AA12" i="21"/>
  <c r="E15" i="71"/>
  <c r="E14" i="71" s="1"/>
  <c r="E13" i="71" s="1"/>
  <c r="E12" i="71" s="1"/>
  <c r="V16" i="71"/>
  <c r="D16" i="53"/>
  <c r="B34" i="72" s="1"/>
  <c r="U15" i="21"/>
  <c r="AB15" i="21"/>
  <c r="BL5" i="3"/>
  <c r="AZ557" i="3"/>
  <c r="AC29" i="21"/>
  <c r="W29" i="21"/>
  <c r="C16" i="71"/>
  <c r="D17" i="71"/>
  <c r="AC17" i="37"/>
  <c r="AC15" i="21"/>
  <c r="S23" i="39"/>
  <c r="S20" i="35"/>
  <c r="U12" i="39"/>
  <c r="AA27" i="40"/>
  <c r="AB27" i="40"/>
  <c r="G28" i="6"/>
  <c r="F29" i="6"/>
  <c r="E29" i="6" s="1"/>
  <c r="K15" i="1" s="1"/>
  <c r="AA25" i="21"/>
  <c r="W14" i="37"/>
  <c r="U14" i="40"/>
  <c r="U43" i="33"/>
  <c r="AA41" i="34"/>
  <c r="W29" i="33"/>
  <c r="S45" i="33"/>
  <c r="AC30" i="34"/>
  <c r="U46" i="33"/>
  <c r="AA13" i="35"/>
  <c r="AA29" i="35"/>
  <c r="B101" i="43"/>
  <c r="B79" i="43"/>
  <c r="B97" i="43"/>
  <c r="B75" i="43"/>
  <c r="AZ400" i="3"/>
  <c r="AZ413" i="3"/>
  <c r="AZ424" i="3"/>
  <c r="AZ429" i="3"/>
  <c r="B94" i="43"/>
  <c r="B73" i="43"/>
  <c r="B99" i="43"/>
  <c r="B76" i="43"/>
  <c r="AZ420" i="3"/>
  <c r="H38" i="40"/>
  <c r="J38" i="40"/>
  <c r="H39" i="40"/>
  <c r="AZ440" i="3"/>
  <c r="AZ449" i="3"/>
  <c r="AZ453" i="3"/>
  <c r="AZ455" i="3"/>
  <c r="AZ460" i="3"/>
  <c r="AZ471" i="3"/>
  <c r="AZ476" i="3"/>
  <c r="AZ478" i="3"/>
  <c r="AZ484" i="3"/>
  <c r="AZ492" i="3"/>
  <c r="F9" i="34"/>
  <c r="AA9" i="34" s="1"/>
  <c r="F34" i="35"/>
  <c r="H34" i="35"/>
  <c r="J36" i="35"/>
  <c r="F23" i="36"/>
  <c r="H23" i="36"/>
  <c r="AZ226" i="3"/>
  <c r="AZ230" i="3"/>
  <c r="AZ242" i="3"/>
  <c r="AZ246" i="3"/>
  <c r="AZ258" i="3"/>
  <c r="AZ262" i="3"/>
  <c r="AZ267" i="3"/>
  <c r="AZ278" i="3"/>
  <c r="AZ284" i="3"/>
  <c r="AZ292" i="3"/>
  <c r="AZ302" i="3"/>
  <c r="AZ113" i="3"/>
  <c r="AZ126" i="3"/>
  <c r="AZ129" i="3"/>
  <c r="AZ141" i="3"/>
  <c r="AZ205" i="3"/>
  <c r="AZ18" i="3"/>
  <c r="AZ23" i="3"/>
  <c r="AZ27" i="3"/>
  <c r="AZ395" i="3"/>
  <c r="AZ211" i="3"/>
  <c r="AZ44" i="3"/>
  <c r="AZ56" i="3"/>
  <c r="AZ60" i="3"/>
  <c r="AZ78" i="3"/>
  <c r="AZ91" i="3"/>
  <c r="AZ98" i="3"/>
  <c r="AZ104" i="3"/>
  <c r="AZ108" i="3"/>
  <c r="W29" i="39"/>
  <c r="D64" i="71"/>
  <c r="T64" i="71"/>
  <c r="P65" i="71"/>
  <c r="P66" i="71"/>
  <c r="C26" i="71"/>
  <c r="D26" i="71" s="1"/>
  <c r="D27" i="71"/>
  <c r="C36" i="71"/>
  <c r="D35" i="71"/>
  <c r="B27" i="71"/>
  <c r="B26" i="71" s="1"/>
  <c r="S28"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A24" i="71"/>
  <c r="AB24" i="71"/>
  <c r="AA21" i="71"/>
  <c r="X21" i="71"/>
  <c r="Y18" i="71"/>
  <c r="Z18" i="71" s="1"/>
  <c r="AA10" i="71"/>
  <c r="Y14" i="71"/>
  <c r="Z14" i="71" s="1"/>
  <c r="AB14" i="71"/>
  <c r="U18" i="36"/>
  <c r="Y9" i="71"/>
  <c r="Z9" i="71" s="1"/>
  <c r="AA9" i="71"/>
  <c r="Y24" i="71"/>
  <c r="Z24" i="71" s="1"/>
  <c r="Y23" i="71"/>
  <c r="Z23" i="71" s="1"/>
  <c r="AB23" i="71"/>
  <c r="AB21" i="71"/>
  <c r="X17" i="71"/>
  <c r="Y17" i="71"/>
  <c r="Z17" i="71" s="1"/>
  <c r="AA17" i="71"/>
  <c r="AB18" i="71"/>
  <c r="B67" i="71"/>
  <c r="Y22" i="71"/>
  <c r="Z22" i="71" s="1"/>
  <c r="AA23" i="71"/>
  <c r="X22" i="71"/>
  <c r="Y21" i="71"/>
  <c r="Z21" i="71" s="1"/>
  <c r="AA22" i="71"/>
  <c r="X18" i="71"/>
  <c r="AA18" i="71"/>
  <c r="X15" i="71"/>
  <c r="AA15" i="71"/>
  <c r="AA12" i="71"/>
  <c r="AA13" i="71"/>
  <c r="AA14" i="71"/>
  <c r="X11" i="71"/>
  <c r="X13" i="71"/>
  <c r="AB12" i="71"/>
  <c r="AB10" i="71"/>
  <c r="Y12" i="71"/>
  <c r="Z12" i="71" s="1"/>
  <c r="Y13" i="71"/>
  <c r="Z13" i="71" s="1"/>
  <c r="AB15" i="71"/>
  <c r="AB17" i="71"/>
  <c r="AA11" i="71"/>
  <c r="X12" i="71"/>
  <c r="X10" i="71"/>
  <c r="X14" i="71"/>
  <c r="AB11" i="71"/>
  <c r="AB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66" i="15"/>
  <c r="Q71" i="67"/>
  <c r="C27" i="15"/>
  <c r="N59" i="67"/>
  <c r="L59" i="67"/>
  <c r="M59" i="67"/>
  <c r="B13" i="70"/>
  <c r="M7" i="67"/>
  <c r="F50" i="67"/>
  <c r="F68" i="67"/>
  <c r="F64" i="67"/>
  <c r="C36" i="68"/>
  <c r="D9" i="68"/>
  <c r="M22" i="67"/>
  <c r="C36" i="69"/>
  <c r="L48" i="67"/>
  <c r="F37" i="67"/>
  <c r="F13" i="15"/>
  <c r="G1" i="73"/>
  <c r="M6" i="67"/>
  <c r="F36" i="15"/>
  <c r="F13" i="67"/>
  <c r="C16" i="15"/>
  <c r="F9" i="15"/>
  <c r="D9" i="69"/>
  <c r="F37" i="15"/>
  <c r="F43" i="67"/>
  <c r="F26" i="67"/>
  <c r="F43" i="15"/>
  <c r="L47" i="15"/>
  <c r="F40" i="15"/>
  <c r="F8" i="15"/>
  <c r="F38" i="67"/>
  <c r="F9" i="67"/>
  <c r="M24" i="15"/>
  <c r="F6" i="15"/>
  <c r="F27" i="69"/>
  <c r="U32" i="33" l="1"/>
  <c r="U36" i="33"/>
  <c r="AB36" i="33"/>
  <c r="AB27" i="33"/>
  <c r="AA27" i="33"/>
  <c r="S27" i="33"/>
  <c r="G26" i="43"/>
  <c r="N370" i="46"/>
  <c r="F26" i="43"/>
  <c r="N94" i="46"/>
  <c r="E26" i="43"/>
  <c r="J26" i="43"/>
  <c r="P6" i="1"/>
  <c r="C13" i="12" s="1"/>
  <c r="K16" i="1"/>
  <c r="F64" i="15"/>
  <c r="N59" i="15"/>
  <c r="M59" i="15"/>
  <c r="L58" i="15"/>
  <c r="Q60" i="15" s="1"/>
  <c r="L59" i="15"/>
  <c r="Q61" i="15" s="1"/>
  <c r="F71" i="15"/>
  <c r="F71" i="67"/>
  <c r="F66" i="67"/>
  <c r="J57" i="67"/>
  <c r="J55" i="67" s="1"/>
  <c r="J58" i="67" s="1"/>
  <c r="Q50" i="67" s="1"/>
  <c r="I54" i="67"/>
  <c r="L58" i="67"/>
  <c r="Q73" i="67" s="1"/>
  <c r="J53" i="67"/>
  <c r="F1" i="67" s="1"/>
  <c r="L56" i="67"/>
  <c r="F31" i="15"/>
  <c r="C6" i="15"/>
  <c r="C32" i="15" s="1"/>
  <c r="F68" i="15"/>
  <c r="F51" i="15"/>
  <c r="C49" i="15" s="1"/>
  <c r="F65" i="15"/>
  <c r="C27" i="67"/>
  <c r="C6" i="67"/>
  <c r="C32" i="67" s="1"/>
  <c r="F65" i="67"/>
  <c r="C52" i="71"/>
  <c r="D51" i="71"/>
  <c r="D36" i="71"/>
  <c r="T36" i="71"/>
  <c r="AA23" i="36"/>
  <c r="S23" i="36"/>
  <c r="AB34" i="35"/>
  <c r="U34" i="35"/>
  <c r="AC38" i="40"/>
  <c r="W38" i="40"/>
  <c r="C15" i="71"/>
  <c r="T16" i="71"/>
  <c r="J6" i="67"/>
  <c r="J18" i="67" s="1"/>
  <c r="B15" i="71"/>
  <c r="B14" i="71" s="1"/>
  <c r="B13" i="71" s="1"/>
  <c r="B12" i="71" s="1"/>
  <c r="S16" i="71"/>
  <c r="N67" i="71"/>
  <c r="B66" i="71"/>
  <c r="C44" i="71"/>
  <c r="D43" i="71"/>
  <c r="AB23" i="36"/>
  <c r="U23" i="36"/>
  <c r="AC36" i="35"/>
  <c r="W36" i="35"/>
  <c r="AA34" i="35"/>
  <c r="S34" i="35"/>
  <c r="U39" i="40"/>
  <c r="AB39" i="40"/>
  <c r="AB38" i="40"/>
  <c r="U38" i="40"/>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F1" i="15"/>
  <c r="Q52" i="15"/>
  <c r="Q61" i="67"/>
  <c r="Q74" i="67"/>
  <c r="AE11" i="1"/>
  <c r="AE9" i="1"/>
  <c r="F27" i="68"/>
  <c r="AE7" i="1"/>
  <c r="AE8" i="1"/>
  <c r="AE12" i="1"/>
  <c r="AE10" i="1"/>
  <c r="C16" i="67"/>
  <c r="AE6" i="1"/>
  <c r="J5" i="67" l="1"/>
  <c r="J24" i="67" s="1"/>
  <c r="D26" i="43"/>
  <c r="C25" i="43" s="1"/>
  <c r="Q73" i="15"/>
  <c r="Q74" i="15"/>
  <c r="Q52" i="67"/>
  <c r="Q60" i="67"/>
  <c r="D44" i="71"/>
  <c r="T44" i="71"/>
  <c r="B11" i="71"/>
  <c r="B10" i="71" s="1"/>
  <c r="B9" i="71" s="1"/>
  <c r="B8" i="71" s="1"/>
  <c r="B7" i="71" s="1"/>
  <c r="B6" i="71" s="1"/>
  <c r="B5" i="71" s="1"/>
  <c r="S12" i="71"/>
  <c r="E65" i="39"/>
  <c r="N66" i="71"/>
  <c r="N65" i="71"/>
  <c r="D15" i="71"/>
  <c r="C14" i="71"/>
  <c r="D52" i="71"/>
  <c r="T5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V2" i="43"/>
  <c r="C34" i="43" s="1"/>
  <c r="E34" i="43" s="1"/>
  <c r="C6" i="69"/>
  <c r="C7" i="69" s="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4" i="67"/>
  <c r="C17" i="67"/>
  <c r="C34" i="69"/>
  <c r="C17" i="15"/>
  <c r="D10" i="69"/>
  <c r="C25" i="11" l="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19" i="9"/>
  <c r="D2" i="36"/>
  <c r="C19" i="9"/>
  <c r="D2" i="37"/>
  <c r="L51" i="15"/>
  <c r="D2" i="34"/>
  <c r="D2" i="35"/>
  <c r="D102" i="9" l="1"/>
  <c r="D21" i="9"/>
  <c r="C102" i="9"/>
  <c r="G19" i="9"/>
  <c r="G21" i="9" s="1"/>
  <c r="D22" i="9"/>
  <c r="C21"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4" i="9"/>
  <c r="C20" i="9"/>
  <c r="D20" i="9"/>
  <c r="AO10" i="1"/>
  <c r="D35" i="9"/>
  <c r="AO6" i="1"/>
  <c r="AO8" i="1"/>
  <c r="AO12" i="1"/>
  <c r="AO7" i="1"/>
  <c r="AO11" i="1"/>
  <c r="AO9"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F4" i="52" l="1"/>
  <c r="B51" i="72" s="1"/>
  <c r="F119" i="9"/>
  <c r="F5" i="52" s="1"/>
  <c r="B53" i="72" s="1"/>
  <c r="H118" i="9"/>
  <c r="H102" i="9"/>
  <c r="G4" i="52"/>
  <c r="B52" i="72" s="1"/>
  <c r="I4" i="52"/>
  <c r="E118" i="9"/>
  <c r="E4" i="52" l="1"/>
  <c r="B48" i="72" s="1"/>
  <c r="D118" i="9"/>
  <c r="H4" i="52"/>
  <c r="H101" i="9"/>
  <c r="C104" i="9"/>
  <c r="H119" i="9"/>
  <c r="H5" i="52" s="1"/>
  <c r="D7" i="53"/>
  <c r="B21" i="72" s="1"/>
  <c r="C5" i="74"/>
  <c r="M48" i="9" l="1"/>
  <c r="D5" i="53"/>
  <c r="H107" i="9"/>
  <c r="D45" i="9"/>
  <c r="D4" i="52"/>
  <c r="B47" i="72" s="1"/>
  <c r="D119" i="9"/>
  <c r="D5" i="52" s="1"/>
  <c r="B49" i="72" s="1"/>
  <c r="H108" i="9" l="1"/>
  <c r="D122" i="9"/>
  <c r="D13" i="53"/>
  <c r="M49" i="9"/>
  <c r="D53" i="9"/>
  <c r="C93" i="9"/>
  <c r="C86" i="9" s="1"/>
  <c r="C78" i="9"/>
  <c r="C73" i="9" s="1"/>
  <c r="C72" i="9"/>
  <c r="C85" i="9"/>
  <c r="D52" i="9"/>
  <c r="C64" i="9"/>
  <c r="C63" i="9" s="1"/>
  <c r="C67" i="9" s="1"/>
  <c r="D55" i="9"/>
  <c r="M53" i="9" s="1"/>
  <c r="B20" i="72"/>
  <c r="D6" i="53"/>
  <c r="B22" i="72" s="1"/>
  <c r="C95" i="9" l="1"/>
  <c r="D59" i="9"/>
  <c r="M55" i="9" s="1"/>
  <c r="C68" i="9"/>
  <c r="D54" i="9" s="1"/>
  <c r="C79" i="9"/>
  <c r="L64" i="9"/>
  <c r="M64" i="9" s="1"/>
  <c r="L66" i="9"/>
  <c r="M66" i="9" s="1"/>
  <c r="L65" i="9"/>
  <c r="M65" i="9" s="1"/>
  <c r="L68" i="9"/>
  <c r="M68" i="9" s="1"/>
  <c r="L67" i="9"/>
  <c r="M67" i="9" s="1"/>
  <c r="L63" i="9"/>
  <c r="M63" i="9" s="1"/>
  <c r="D8" i="52"/>
  <c r="D123" i="9"/>
  <c r="D9" i="52" s="1"/>
  <c r="C96" i="9"/>
  <c r="E96" i="9" s="1"/>
  <c r="E97" i="9" s="1"/>
  <c r="B30" i="72"/>
  <c r="D14" i="53"/>
  <c r="B32" i="72" s="1"/>
  <c r="C6" i="74"/>
  <c r="D15" i="53"/>
  <c r="B31" i="7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<sst xmlns="http://schemas.openxmlformats.org/spreadsheetml/2006/main" count="8280" uniqueCount="3482">
  <si>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</si>
  <si>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</si>
  <si>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</si>
  <si>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</si>
  <si>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</si>
  <si>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</si>
  <si>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</si>
  <si>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</si>
  <si>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</si>
  <si>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</si>
  <si>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</si>
  <si>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</si>
  <si>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</si>
  <si>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</si>
  <si>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</si>
  <si>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</si>
  <si>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</si>
  <si>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</si>
  <si>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</si>
  <si>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</si>
  <si>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</si>
  <si>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</si>
  <si>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</si>
  <si>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</si>
  <si>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</si>
  <si>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</si>
  <si>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</si>
  <si>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</si>
  <si>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</si>
  <si>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</si>
  <si>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</si>
  <si>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</si>
  <si>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</si>
  <si>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</si>
  <si>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</si>
  <si>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</si>
  <si>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</si>
  <si>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</si>
  <si>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</si>
  <si>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</si>
  <si>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</si>
  <si>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</si>
  <si>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</si>
  <si>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</si>
  <si>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</si>
  <si>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</si>
  <si>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</si>
  <si>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</si>
  <si>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</si>
  <si>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</si>
  <si>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</si>
  <si>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</si>
  <si>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</si>
  <si>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</si>
  <si>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</si>
  <si>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</si>
  <si>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</si>
  <si>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</si>
  <si>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</si>
  <si>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</si>
  <si>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</si>
  <si>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</si>
  <si>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</si>
  <si>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</si>
  <si>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</si>
  <si>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</si>
  <si>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</si>
  <si>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</si>
  <si>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</si>
  <si>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</si>
  <si>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</si>
  <si>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</si>
  <si>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</si>
  <si>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</si>
  <si>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</si>
  <si>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</si>
  <si>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</si>
  <si>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</si>
  <si>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</si>
  <si>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</si>
  <si>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</si>
  <si>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</si>
  <si>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</si>
  <si>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</si>
  <si>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</si>
  <si>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</si>
  <si>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</si>
  <si>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</si>
  <si>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</si>
  <si>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</si>
  <si>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</si>
  <si>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</si>
  <si>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</si>
  <si>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</si>
  <si>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</si>
  <si>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</si>
  <si>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</si>
  <si>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</si>
  <si>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</si>
  <si>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</si>
  <si>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</si>
  <si>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</si>
  <si>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</si>
  <si>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</si>
  <si>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</si>
  <si>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</si>
  <si>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</si>
  <si>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</si>
  <si>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</si>
  <si>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</si>
  <si>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</si>
  <si>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</si>
  <si>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</si>
  <si>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</si>
  <si>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</si>
  <si>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</si>
  <si>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</si>
  <si>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</si>
  <si>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</si>
  <si>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</si>
  <si>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</si>
  <si>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</si>
  <si>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</si>
  <si>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</si>
  <si>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</si>
  <si>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</si>
  <si>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</si>
  <si>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</si>
  <si>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</si>
  <si>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</si>
  <si>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</si>
  <si>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</si>
  <si>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</si>
  <si>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</si>
  <si>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</si>
  <si>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</si>
  <si>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</si>
  <si>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</si>
  <si>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</si>
  <si>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</si>
  <si>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</si>
  <si>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</si>
  <si>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</si>
  <si>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</si>
  <si>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</si>
  <si>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</si>
  <si>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</si>
  <si>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</si>
  <si>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</si>
  <si>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</si>
  <si>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</si>
  <si>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</si>
  <si>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</si>
  <si>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</si>
  <si>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</si>
  <si>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</si>
  <si>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</si>
  <si>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</si>
  <si>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</si>
  <si>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</si>
  <si>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</si>
  <si>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</si>
  <si>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</si>
  <si>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</si>
  <si>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</si>
  <si>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</si>
  <si>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</si>
  <si>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</si>
  <si>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</si>
  <si>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</si>
  <si>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</si>
  <si>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</si>
  <si>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</si>
  <si>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</si>
  <si>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</si>
  <si>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</si>
  <si>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</si>
  <si>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</si>
  <si>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</si>
  <si>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</si>
  <si>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</si>
  <si>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</si>
  <si>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</si>
  <si>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</si>
  <si>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</si>
  <si>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</si>
  <si>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</si>
  <si>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</si>
  <si>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</si>
  <si>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</si>
  <si>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</si>
  <si>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</si>
  <si>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</si>
  <si>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</si>
  <si>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</si>
  <si>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</si>
  <si>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</si>
  <si>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</si>
  <si>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</si>
  <si>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</si>
  <si>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</si>
  <si>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</si>
  <si>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</si>
  <si>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</si>
  <si>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</si>
  <si>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</si>
  <si>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</si>
  <si>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</si>
  <si>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</si>
  <si>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</si>
  <si>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</si>
  <si>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</si>
  <si>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</si>
  <si>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</si>
  <si>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</si>
  <si>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</si>
  <si>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</si>
  <si>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</si>
  <si>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</si>
  <si>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</si>
  <si>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</si>
  <si>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</si>
  <si>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</si>
  <si>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</si>
  <si>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</si>
  <si>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</si>
  <si>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</si>
  <si>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</si>
  <si>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</si>
  <si>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</si>
  <si>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</si>
  <si>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</si>
  <si>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</si>
  <si>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</si>
  <si>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</si>
  <si>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</si>
  <si>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</si>
  <si>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</si>
  <si>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</si>
  <si>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</si>
  <si>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</si>
  <si>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</si>
  <si>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</si>
  <si>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</si>
  <si>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</si>
  <si>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</si>
  <si>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</si>
  <si>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</si>
  <si>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</si>
  <si>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</si>
  <si>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</si>
  <si>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</si>
  <si>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</si>
  <si>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</si>
  <si>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</si>
  <si>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</si>
  <si>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</si>
  <si>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</si>
  <si>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</si>
  <si>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</si>
  <si>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</si>
  <si>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</si>
  <si>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</si>
  <si>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</si>
  <si>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</si>
  <si>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</si>
  <si>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</si>
  <si>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</si>
  <si>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</si>
  <si>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</si>
  <si>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</si>
  <si>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</si>
  <si>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</si>
  <si>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</si>
  <si>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</si>
  <si>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</si>
  <si>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</si>
  <si>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</si>
  <si>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</si>
  <si>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</si>
  <si>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</si>
  <si>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</si>
  <si>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</si>
  <si>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</si>
  <si>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</si>
  <si>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</si>
  <si>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</si>
  <si>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</si>
  <si>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</si>
  <si>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</si>
  <si>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</si>
  <si>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</si>
  <si>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</si>
  <si>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</si>
  <si>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</si>
  <si>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</si>
  <si>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</si>
  <si>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</si>
  <si>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</si>
  <si>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</si>
  <si>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</si>
  <si>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</si>
  <si>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</si>
  <si>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</si>
  <si>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</si>
  <si>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</si>
  <si>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</si>
  <si>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</si>
  <si>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</si>
  <si>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</si>
  <si>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</si>
  <si>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</si>
  <si>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</si>
  <si>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</si>
  <si>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</si>
  <si>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</si>
  <si>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</si>
  <si>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</si>
  <si>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</si>
  <si>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</si>
  <si>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</si>
  <si>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</si>
  <si>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</si>
  <si>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</si>
  <si>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</si>
  <si>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</si>
  <si>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</si>
  <si>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</si>
  <si>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</si>
  <si>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</si>
  <si>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</si>
  <si>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</si>
  <si>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</si>
  <si>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</si>
  <si>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</si>
  <si>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</si>
  <si>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</si>
  <si>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</si>
  <si>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</si>
  <si>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</si>
  <si>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</si>
  <si>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</si>
  <si>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</si>
  <si>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</si>
  <si>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</si>
  <si>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</si>
  <si>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</si>
  <si>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</si>
  <si>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</si>
  <si>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</si>
  <si>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</si>
  <si>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</si>
  <si>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</si>
  <si>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</si>
  <si>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</si>
  <si>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</si>
  <si>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</si>
  <si>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</si>
  <si>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</si>
  <si>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</si>
  <si>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</si>
  <si>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</si>
  <si>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</si>
  <si>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</si>
  <si>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</si>
  <si>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</si>
  <si>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</si>
  <si>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</si>
  <si>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</si>
  <si>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</si>
  <si>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</si>
  <si>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</si>
  <si>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</si>
  <si>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</si>
  <si>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</si>
  <si>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</si>
  <si>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</si>
  <si>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</si>
  <si>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</si>
  <si>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</si>
  <si>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</si>
  <si>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</si>
  <si>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</si>
  <si>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</si>
  <si>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</si>
  <si>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</si>
  <si>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</si>
  <si>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</si>
  <si>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</si>
  <si>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</si>
  <si>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</si>
  <si>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</si>
  <si>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</si>
  <si>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</si>
  <si>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</si>
  <si>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</si>
  <si>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</si>
  <si>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</si>
  <si>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</si>
  <si>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</si>
  <si>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</si>
  <si>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</si>
  <si>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</si>
  <si>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</si>
  <si>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</si>
  <si>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</si>
  <si>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</si>
  <si>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</si>
  <si>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</si>
  <si>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</si>
  <si>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</si>
  <si>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</si>
  <si>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</si>
  <si>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</si>
  <si>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</si>
  <si>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</si>
  <si>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</si>
  <si>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</si>
  <si>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</si>
  <si>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</si>
  <si>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</si>
  <si>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</si>
  <si>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</si>
  <si>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</si>
  <si>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</si>
  <si>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</si>
  <si>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</si>
  <si>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</si>
  <si>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</si>
  <si>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</si>
  <si>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</si>
  <si>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</si>
  <si>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</si>
  <si>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</si>
  <si>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</si>
  <si>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</si>
  <si>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</si>
  <si>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</si>
  <si>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</si>
  <si>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</si>
  <si>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</si>
  <si>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</si>
  <si>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</si>
  <si>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</si>
  <si>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</si>
  <si>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</si>
  <si>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</si>
  <si>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</si>
  <si>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</si>
  <si>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</si>
  <si>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</si>
  <si>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</si>
  <si>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</si>
  <si>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</si>
  <si>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</si>
  <si>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</si>
  <si>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</si>
  <si>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</si>
  <si>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</si>
  <si>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</si>
  <si>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</si>
  <si>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</si>
  <si>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</si>
  <si>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</si>
  <si>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</si>
  <si>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</si>
  <si>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</si>
  <si>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</si>
  <si>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</si>
  <si>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</si>
  <si>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</si>
  <si>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</si>
  <si>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</si>
  <si>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</si>
  <si>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</si>
  <si>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</si>
  <si>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</si>
  <si>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</si>
  <si>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</si>
  <si>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</si>
  <si>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</si>
  <si>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</si>
  <si>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</si>
  <si>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</si>
  <si>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</si>
  <si>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</si>
  <si>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</si>
  <si>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</si>
  <si>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</si>
  <si>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</si>
  <si>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</si>
  <si>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</si>
  <si>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</si>
  <si>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</si>
  <si>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</si>
  <si>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</si>
  <si>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</si>
  <si>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</si>
  <si>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</si>
  <si>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</si>
  <si>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</si>
  <si>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</si>
  <si>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</si>
  <si>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</si>
  <si>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</si>
  <si>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</si>
  <si>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</si>
  <si>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</si>
  <si>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</si>
  <si>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</si>
  <si>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</si>
  <si>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</si>
  <si>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</si>
  <si>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</si>
  <si>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</si>
  <si>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</si>
  <si>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</si>
  <si>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</si>
  <si>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</si>
  <si>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</si>
  <si>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</si>
  <si>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</si>
  <si>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</si>
  <si>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</si>
  <si>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</si>
  <si>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</si>
  <si>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</si>
  <si>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</si>
  <si>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</si>
  <si>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</si>
  <si>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</si>
  <si>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</si>
  <si>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</si>
  <si>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</si>
  <si>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</si>
  <si>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</si>
  <si>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</si>
  <si>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</si>
  <si>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</si>
  <si>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</si>
  <si>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</si>
  <si>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</si>
  <si>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</si>
  <si>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</si>
  <si>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</si>
  <si>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</si>
  <si>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</si>
  <si>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</si>
  <si>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</si>
  <si>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</si>
  <si>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</si>
  <si>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</si>
  <si>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</si>
  <si>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</si>
  <si>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</si>
  <si>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</si>
  <si>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</si>
  <si>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</si>
  <si>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</si>
  <si>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</si>
  <si>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</si>
  <si>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</si>
  <si>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</si>
  <si>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</si>
  <si>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</si>
  <si>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</si>
  <si>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</si>
  <si>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</si>
  <si>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</si>
  <si>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</si>
  <si>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</si>
  <si>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</si>
  <si>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</si>
  <si>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</si>
  <si>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</si>
  <si>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</si>
  <si>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</si>
  <si>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</si>
  <si>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</si>
  <si>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</si>
  <si>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</si>
  <si>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</si>
  <si>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</si>
  <si>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</si>
  <si>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</si>
  <si>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</si>
  <si>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</si>
  <si>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</si>
  <si>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</si>
  <si>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</si>
  <si>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</si>
  <si>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</si>
  <si>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</si>
  <si>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</si>
  <si>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</si>
  <si>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</si>
  <si>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</si>
  <si>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</si>
  <si>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</si>
  <si>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</si>
  <si>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</si>
  <si>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</si>
  <si>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</si>
  <si>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</si>
  <si>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</si>
  <si>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</si>
  <si>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</si>
  <si>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</si>
  <si>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</si>
  <si>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</si>
  <si>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</si>
  <si>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</si>
  <si>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</si>
  <si>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</si>
  <si>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</si>
  <si>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</si>
  <si>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</si>
  <si>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</si>
  <si>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</si>
  <si>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</si>
  <si>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</si>
  <si>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</si>
  <si>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</si>
  <si>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</si>
  <si>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</si>
  <si>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</si>
  <si>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</si>
  <si>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</si>
  <si>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</si>
  <si>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</si>
  <si>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</si>
  <si>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</si>
  <si>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</si>
  <si>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</si>
  <si>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</si>
  <si>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</si>
  <si>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</si>
  <si>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</si>
  <si>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</si>
  <si>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</si>
  <si>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</si>
  <si>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</si>
  <si>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</si>
  <si>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</si>
  <si>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</si>
  <si>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</si>
  <si>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</si>
  <si>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</si>
  <si>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</si>
  <si>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</si>
  <si>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</si>
  <si>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</si>
  <si>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</si>
  <si>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</si>
  <si>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</si>
  <si>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</si>
  <si>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</si>
  <si>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</si>
  <si>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</si>
  <si>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</si>
  <si>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</si>
  <si>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</si>
  <si>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</si>
  <si>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</si>
  <si>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</si>
  <si>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</si>
  <si>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</si>
  <si>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</si>
  <si>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</si>
  <si>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</si>
  <si>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</si>
  <si>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</si>
  <si>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</si>
  <si>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</si>
  <si>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</si>
  <si>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</si>
  <si>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</si>
  <si>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</si>
  <si>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</si>
  <si>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</si>
  <si>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</si>
  <si>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</si>
  <si>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</si>
  <si>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</si>
  <si>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</si>
  <si>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</si>
  <si>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</si>
  <si>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</si>
  <si>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</si>
  <si>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</si>
  <si>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</si>
  <si>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</si>
  <si>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</si>
  <si>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</si>
  <si>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</si>
  <si>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</si>
  <si>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</si>
  <si>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</si>
  <si>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</si>
  <si>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</si>
  <si>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</si>
  <si>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</si>
  <si>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</si>
  <si>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</si>
  <si>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</si>
  <si>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</si>
  <si>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</si>
  <si>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</si>
  <si>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</si>
  <si>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</si>
  <si>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</si>
  <si>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</si>
  <si>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</si>
  <si>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</si>
  <si>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</si>
  <si>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</si>
  <si>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</si>
  <si>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</si>
  <si>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</si>
  <si>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</si>
  <si>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</si>
  <si>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</si>
  <si>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</si>
  <si>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</si>
  <si>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</si>
  <si>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</si>
  <si>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</si>
  <si>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</si>
  <si>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</si>
  <si>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</si>
  <si>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</si>
  <si>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</si>
  <si>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</si>
  <si>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</si>
  <si>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</si>
  <si>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</si>
  <si>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</si>
  <si>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</si>
  <si>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</si>
  <si>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</si>
  <si>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</si>
  <si>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</si>
  <si>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</si>
  <si>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</si>
  <si>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</si>
  <si>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</si>
  <si>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</si>
  <si>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</si>
  <si>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</si>
  <si>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</si>
  <si>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</si>
  <si>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</si>
  <si>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</si>
  <si>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</si>
  <si>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</si>
  <si>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</si>
  <si>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</si>
  <si>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</si>
  <si>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</si>
  <si>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</si>
  <si>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</si>
  <si>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</si>
  <si>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</si>
  <si>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</si>
  <si>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</si>
  <si>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</si>
  <si>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</si>
  <si>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</si>
  <si>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</si>
  <si>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</si>
  <si>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</si>
  <si>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</si>
  <si>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</si>
  <si>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</si>
  <si>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</si>
  <si>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</si>
  <si>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</si>
  <si>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</si>
  <si>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</si>
  <si>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</si>
  <si>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</si>
  <si>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</si>
  <si>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</si>
  <si>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</si>
  <si>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</si>
  <si>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</si>
  <si>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</si>
  <si>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</si>
  <si>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</si>
  <si>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</si>
  <si>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</si>
  <si>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</si>
  <si>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</si>
  <si>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</si>
  <si>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</si>
  <si>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</si>
  <si>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</si>
  <si>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</si>
  <si>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</si>
  <si>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</si>
  <si>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</si>
  <si>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</si>
  <si>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</si>
  <si>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</si>
  <si>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</si>
  <si>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</si>
  <si>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</si>
  <si>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</si>
  <si>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</si>
  <si>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</si>
  <si>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</si>
  <si>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</si>
  <si>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</si>
  <si>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</si>
  <si>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</si>
  <si>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</si>
  <si>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</si>
  <si>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</si>
  <si>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</si>
  <si>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</si>
  <si>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</si>
  <si>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</si>
  <si>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</si>
  <si>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</si>
  <si>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</si>
  <si>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</si>
  <si>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</si>
  <si>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</si>
  <si>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</si>
  <si>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</si>
  <si>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</si>
  <si>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</si>
  <si>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</si>
  <si>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</si>
  <si>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</si>
  <si>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</si>
  <si>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</si>
  <si>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</si>
  <si>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</si>
  <si>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</si>
  <si>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</si>
  <si>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</si>
  <si>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</si>
  <si>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</si>
  <si>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</si>
  <si>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</si>
  <si>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</si>
  <si>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</si>
  <si>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</si>
  <si>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</si>
  <si>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</si>
  <si>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</si>
  <si>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</si>
  <si>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</si>
  <si>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</si>
  <si>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</si>
  <si>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</si>
  <si>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</si>
  <si>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</si>
  <si>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</si>
  <si>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</si>
  <si>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</si>
  <si>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</si>
  <si>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</si>
  <si>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</si>
  <si>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</si>
  <si>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</si>
  <si>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</si>
  <si>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</si>
  <si>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</si>
  <si>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</si>
  <si>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</si>
  <si>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</si>
  <si>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</si>
  <si>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</si>
  <si>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</si>
  <si>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</si>
  <si>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</si>
  <si>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</si>
  <si>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</si>
  <si>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</si>
  <si>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</si>
  <si>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</si>
  <si>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</si>
  <si>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</si>
  <si>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</si>
  <si>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</si>
  <si>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</si>
  <si>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</si>
  <si>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</si>
  <si>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</si>
  <si>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</si>
  <si>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</si>
  <si>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</si>
  <si>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</si>
  <si>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</si>
  <si>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</si>
  <si>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</si>
  <si>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</si>
  <si>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</si>
  <si>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</si>
  <si>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</si>
  <si>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</si>
  <si>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</si>
  <si>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</si>
  <si>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</si>
  <si>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</si>
  <si>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</si>
  <si>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</si>
  <si>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</si>
  <si>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</si>
  <si>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</si>
  <si>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</si>
  <si>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</si>
  <si>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</si>
  <si>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</si>
  <si>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</si>
  <si>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</si>
  <si>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</si>
  <si>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</si>
  <si>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</si>
  <si>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</si>
  <si>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</si>
  <si>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</si>
  <si>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</si>
  <si>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</si>
  <si>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</si>
  <si>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</si>
  <si>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</si>
  <si>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</si>
  <si>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</si>
  <si>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</si>
  <si>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</si>
  <si>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</si>
  <si>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</si>
  <si>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</si>
  <si>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</si>
  <si>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</si>
  <si>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</si>
  <si>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</si>
  <si>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</si>
  <si>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</si>
  <si>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</si>
  <si>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</si>
  <si>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</si>
  <si>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</si>
  <si>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</si>
  <si>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</si>
  <si>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</si>
  <si>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</si>
  <si>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</si>
  <si>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</si>
  <si>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</si>
  <si>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</si>
  <si>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</si>
  <si>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</si>
  <si>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</si>
  <si>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</si>
  <si>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</si>
  <si>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</si>
  <si>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</si>
  <si>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</si>
  <si>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</si>
  <si>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</si>
  <si>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</si>
  <si>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</si>
  <si>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</si>
  <si>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</si>
  <si>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</si>
  <si>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</si>
  <si>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</si>
  <si>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</si>
  <si>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</si>
  <si>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</si>
  <si>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</si>
  <si>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</si>
  <si>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</si>
  <si>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</si>
  <si>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</si>
  <si>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</si>
  <si>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</si>
  <si>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</si>
  <si>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</si>
  <si>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</si>
  <si>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</si>
  <si>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</si>
  <si>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</si>
  <si>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</si>
  <si>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</si>
  <si>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</si>
  <si>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</si>
  <si>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</si>
  <si>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</si>
  <si>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</si>
  <si>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</si>
  <si>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</si>
  <si>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</si>
  <si>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</si>
  <si>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</si>
  <si>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</si>
  <si>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</si>
  <si>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</si>
  <si>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</si>
  <si>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</si>
  <si>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</si>
  <si>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</si>
  <si>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</si>
  <si>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</si>
  <si>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</si>
  <si>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</si>
  <si>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</si>
  <si>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</si>
  <si>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</si>
  <si>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</si>
  <si>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</si>
  <si>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</si>
  <si>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</si>
  <si>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</si>
  <si>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</si>
  <si>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</si>
  <si>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</si>
  <si>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</si>
  <si>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</si>
  <si>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</si>
  <si>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</si>
  <si>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</si>
  <si>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</si>
  <si>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</si>
  <si>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</si>
  <si>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</si>
  <si>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</si>
  <si>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</si>
  <si>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</si>
  <si>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</si>
  <si>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</si>
  <si>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</si>
  <si>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</si>
  <si>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</si>
  <si>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</si>
  <si>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</si>
  <si>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</si>
  <si>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</si>
  <si>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</si>
  <si>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</si>
  <si>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</si>
  <si>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</si>
  <si>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</si>
  <si>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</si>
  <si>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</si>
  <si>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</si>
  <si>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</si>
  <si>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</si>
  <si>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</si>
  <si>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</si>
  <si>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</si>
  <si>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</si>
  <si>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</si>
  <si>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</si>
  <si>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</si>
  <si>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</si>
  <si>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</si>
  <si>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</si>
  <si>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</si>
  <si>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</si>
  <si>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</si>
  <si>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</si>
  <si>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</si>
  <si>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</si>
  <si>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</si>
  <si>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</si>
  <si>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</si>
  <si>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</si>
  <si>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</si>
  <si>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</si>
  <si>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</si>
  <si>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</si>
  <si>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</si>
  <si>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</si>
  <si>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</si>
  <si>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</si>
  <si>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</si>
  <si>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</si>
  <si>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</si>
  <si>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</si>
  <si>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</si>
  <si>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</si>
  <si>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</si>
  <si>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</si>
  <si>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</si>
  <si>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</si>
  <si>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</si>
  <si>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</si>
  <si>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</si>
  <si>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</si>
  <si>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</si>
  <si>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</si>
  <si>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</si>
  <si>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</si>
  <si>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</si>
  <si>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</si>
  <si>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</si>
  <si>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</si>
  <si>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</si>
  <si>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</si>
  <si>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</si>
  <si>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</si>
  <si>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</si>
  <si>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</si>
  <si>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</si>
  <si>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</si>
  <si>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</si>
  <si>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</si>
  <si>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</si>
  <si>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</si>
  <si>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</si>
  <si>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</si>
  <si>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</si>
  <si>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</si>
  <si>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</si>
  <si>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</si>
  <si>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</si>
  <si>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</si>
  <si>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</si>
  <si>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</si>
  <si>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</si>
  <si>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</si>
  <si>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</si>
  <si>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</si>
  <si>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</si>
  <si>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</si>
  <si>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</si>
  <si>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</si>
  <si>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</si>
  <si>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</si>
  <si>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</si>
  <si>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</si>
  <si>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</si>
  <si>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</si>
  <si>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</si>
  <si>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</si>
  <si>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</si>
  <si>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</si>
  <si>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</si>
  <si>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</si>
  <si>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</si>
  <si>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</si>
  <si>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</si>
  <si>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</si>
  <si>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</si>
  <si>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</si>
  <si>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</si>
  <si>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</si>
  <si>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</si>
  <si>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</si>
  <si>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</si>
  <si>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</si>
  <si>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</si>
  <si>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</si>
  <si>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</si>
  <si>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</si>
  <si>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</si>
  <si>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</si>
  <si>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</si>
  <si>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</si>
  <si>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</si>
  <si>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</si>
  <si>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</si>
  <si>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</si>
  <si>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</si>
  <si>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</si>
  <si>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</si>
  <si>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</si>
  <si>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</si>
  <si>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</si>
  <si>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</si>
  <si>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</si>
  <si>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</si>
  <si>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</si>
  <si>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</si>
  <si>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</si>
  <si>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</si>
  <si>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</si>
  <si>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</si>
  <si>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</si>
  <si>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</si>
  <si>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</si>
  <si>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</si>
  <si>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</si>
  <si>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</si>
  <si>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</si>
  <si>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</si>
  <si>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</si>
  <si>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</si>
  <si>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</si>
  <si>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</si>
  <si>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</si>
  <si>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</si>
  <si>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</si>
  <si>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</si>
  <si>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</si>
  <si>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</si>
  <si>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</si>
  <si>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</si>
  <si>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</si>
  <si>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</si>
  <si>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</si>
  <si>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</si>
  <si>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</si>
  <si>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</si>
  <si>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</si>
  <si>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</si>
  <si>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</si>
  <si>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</si>
  <si>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</si>
  <si>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</si>
  <si>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</si>
  <si>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</si>
  <si>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</si>
  <si>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</si>
  <si>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</si>
  <si>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</si>
  <si>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</si>
  <si>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</si>
  <si>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</si>
  <si>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</si>
  <si>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</si>
  <si>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</si>
  <si>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</si>
  <si>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</si>
  <si>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</si>
  <si>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</si>
  <si>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</si>
  <si>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</si>
  <si>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</si>
  <si>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</si>
  <si>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</si>
  <si>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</si>
  <si>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</si>
  <si>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</si>
  <si>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</si>
  <si>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</si>
  <si>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</si>
  <si>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</si>
  <si>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</si>
  <si>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</si>
  <si>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</si>
  <si>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</si>
  <si>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</si>
  <si>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</si>
  <si>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</si>
  <si>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</si>
  <si>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</si>
  <si>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</si>
  <si>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</si>
  <si>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</si>
  <si>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</si>
  <si>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</si>
  <si>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</si>
  <si>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</si>
  <si>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</si>
  <si>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</si>
  <si>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</si>
  <si>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</si>
  <si>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</si>
  <si>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</si>
  <si>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</si>
  <si>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</si>
  <si>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</si>
  <si>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</si>
  <si>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</si>
  <si>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</si>
  <si>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</si>
  <si>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</si>
  <si>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</si>
  <si>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</si>
  <si>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</si>
  <si>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</si>
  <si>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</si>
  <si>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</si>
  <si>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</si>
  <si>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</si>
  <si>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</si>
  <si>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</si>
  <si>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</si>
  <si>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</si>
  <si>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</si>
  <si>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</si>
  <si>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</si>
  <si>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</si>
  <si>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</si>
  <si>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</si>
  <si>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</si>
  <si>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</si>
  <si>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</si>
  <si>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</si>
  <si>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</si>
  <si>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</si>
  <si>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</si>
  <si>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</si>
  <si>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</si>
  <si>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</si>
  <si>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</si>
  <si>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</si>
  <si>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</si>
  <si>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</si>
  <si>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</si>
  <si>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</si>
  <si>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</si>
  <si>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</si>
  <si>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</si>
  <si>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</si>
  <si>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</si>
  <si>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</si>
  <si>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</si>
  <si>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</si>
  <si>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</si>
  <si>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</si>
  <si>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</si>
  <si>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</si>
  <si>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</si>
  <si>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</si>
  <si>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</si>
  <si>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</si>
  <si>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</si>
  <si>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</si>
  <si>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</si>
  <si>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</si>
  <si>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</si>
  <si>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</si>
  <si>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</si>
  <si>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</si>
  <si>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</si>
  <si>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</si>
  <si>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</si>
  <si>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</si>
  <si>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</si>
  <si>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</si>
  <si>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</si>
  <si>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</si>
  <si>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</si>
  <si>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</si>
  <si>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</si>
  <si>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</si>
  <si>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</si>
  <si>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</si>
  <si>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</si>
  <si>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</si>
  <si>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</si>
  <si>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</si>
  <si>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</si>
  <si>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</si>
  <si>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</si>
  <si>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</si>
  <si>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</si>
  <si>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</si>
  <si>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</si>
  <si>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</si>
  <si>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</si>
  <si>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</si>
  <si>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</si>
  <si>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</si>
  <si>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</si>
  <si>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</si>
  <si>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</si>
  <si>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</si>
  <si>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</si>
  <si>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</si>
  <si>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</si>
  <si>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</si>
  <si>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</si>
  <si>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</si>
  <si>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</si>
  <si>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</si>
  <si>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</si>
  <si>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</si>
  <si>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</si>
  <si>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</si>
  <si>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</si>
  <si>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</si>
  <si>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</si>
  <si>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</si>
  <si>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</si>
  <si>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</si>
  <si>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</si>
  <si>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</si>
  <si>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</si>
  <si>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</si>
  <si>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</si>
  <si>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</si>
  <si>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</si>
  <si>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</si>
  <si>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</si>
  <si>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</si>
  <si>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</si>
  <si>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</si>
  <si>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</si>
  <si>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</si>
  <si>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</si>
  <si>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</si>
  <si>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</si>
  <si>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</si>
  <si>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</si>
  <si>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</si>
  <si>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</si>
  <si>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</si>
  <si>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</si>
  <si>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</si>
  <si>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</si>
  <si>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</si>
  <si>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</si>
  <si>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</si>
  <si>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</si>
  <si>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</si>
  <si>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</si>
  <si>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</si>
  <si>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</si>
  <si>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</si>
  <si>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</si>
  <si>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</si>
  <si>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</si>
  <si>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</si>
  <si>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</si>
  <si>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</si>
  <si>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</si>
  <si>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</si>
  <si>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</si>
  <si>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</si>
  <si>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</si>
  <si>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</si>
  <si>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</si>
  <si>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</si>
  <si>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</si>
  <si>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</si>
  <si>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</si>
  <si>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</si>
  <si>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</si>
  <si>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</si>
  <si>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</si>
  <si>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</si>
  <si>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</si>
  <si>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</si>
  <si>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</si>
  <si>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</si>
  <si>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</si>
  <si>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</si>
  <si>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</si>
  <si>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</si>
  <si>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</si>
  <si>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</si>
  <si>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</si>
  <si>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</si>
  <si>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</si>
  <si>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</si>
  <si>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</si>
  <si>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</si>
  <si>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</si>
  <si>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</si>
  <si>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</si>
  <si>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</si>
  <si>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</si>
  <si>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</si>
  <si>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</si>
  <si>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</si>
  <si>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</si>
  <si>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</si>
  <si>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</si>
  <si>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</si>
  <si>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</si>
  <si>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</si>
  <si>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</si>
  <si>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</si>
  <si>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</si>
  <si>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</si>
  <si>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</si>
  <si>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</si>
  <si>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</si>
  <si>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</si>
  <si>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</si>
  <si>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</si>
  <si>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</si>
  <si>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</si>
  <si>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</si>
  <si>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</si>
  <si>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</si>
  <si>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</si>
  <si>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</si>
  <si>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</si>
  <si>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</si>
  <si>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</si>
  <si>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</si>
  <si>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</si>
  <si>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</si>
  <si>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</si>
  <si>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</si>
  <si>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</si>
  <si>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</si>
  <si>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</si>
  <si>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</si>
  <si>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</si>
  <si>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</si>
  <si>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</si>
  <si>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</si>
  <si>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</si>
  <si>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</si>
  <si>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</si>
  <si>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</si>
  <si>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</si>
  <si>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</si>
  <si>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</si>
  <si>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</si>
  <si>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</si>
  <si>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</si>
  <si>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</si>
  <si>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</si>
  <si>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</si>
  <si>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</si>
  <si>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</si>
  <si>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</si>
  <si>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</si>
  <si>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</si>
  <si>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</si>
  <si>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</si>
  <si>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</si>
  <si>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</si>
  <si>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</si>
  <si>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</si>
  <si>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</si>
  <si>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</si>
  <si>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</si>
  <si>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</si>
  <si>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</si>
  <si>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</si>
  <si>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</si>
  <si>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</si>
  <si>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</si>
  <si>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</si>
  <si>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</si>
  <si>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</si>
  <si>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</si>
  <si>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</si>
  <si>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</si>
  <si>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</si>
  <si>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</si>
  <si>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</si>
  <si>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</si>
  <si>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</si>
  <si>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</si>
  <si>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</si>
  <si>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</si>
  <si>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</si>
  <si>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</si>
  <si>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</si>
  <si>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</si>
  <si>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</si>
  <si>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</si>
  <si>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</si>
  <si>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</si>
  <si>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</si>
  <si>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</si>
  <si>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</si>
  <si>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</si>
  <si>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</si>
  <si>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</si>
  <si>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</si>
  <si>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</si>
  <si>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</si>
  <si>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</si>
  <si>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</si>
  <si>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</si>
  <si>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</si>
  <si>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</si>
  <si>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</si>
  <si>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</si>
  <si>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</si>
  <si>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</si>
  <si>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</si>
  <si>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</si>
  <si>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</si>
  <si>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</si>
  <si>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</si>
  <si>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</si>
  <si>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</si>
  <si>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</si>
  <si>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</si>
  <si>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</si>
  <si>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</si>
  <si>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</si>
  <si>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</si>
  <si>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</si>
  <si>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</si>
  <si>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</si>
  <si>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</si>
  <si>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</si>
  <si>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</si>
  <si>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</si>
  <si>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</si>
  <si>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</si>
  <si>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</si>
  <si>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</si>
  <si>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</si>
  <si>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</si>
  <si>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</si>
  <si>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</si>
  <si>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</si>
  <si>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</si>
  <si>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</si>
  <si>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</si>
  <si>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</si>
  <si>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</si>
  <si>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</si>
  <si>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</si>
  <si>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</si>
  <si>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</si>
  <si>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</si>
  <si>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</si>
  <si>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</si>
  <si>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</si>
  <si>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</si>
  <si>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</si>
  <si>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</si>
  <si>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</si>
  <si>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</si>
  <si>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</si>
  <si>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</si>
  <si>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</si>
  <si>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</si>
  <si>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</si>
  <si>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</si>
  <si>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</si>
  <si>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</si>
  <si>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</si>
  <si>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</si>
  <si>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</si>
  <si>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</si>
  <si>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</si>
  <si>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</si>
  <si>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</si>
  <si>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</si>
  <si>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</si>
  <si>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</si>
  <si>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</si>
  <si>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</si>
  <si>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</si>
  <si>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</si>
  <si>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</si>
  <si>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</si>
  <si>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</si>
  <si>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</si>
  <si>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</si>
  <si>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</si>
  <si>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</si>
  <si>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</si>
  <si>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</si>
  <si>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</si>
  <si>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</si>
  <si>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</si>
  <si>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</si>
  <si>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</si>
  <si>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</si>
  <si>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</si>
  <si>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</si>
  <si>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</si>
  <si>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</si>
  <si>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</si>
  <si>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</si>
  <si>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</si>
  <si>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</si>
  <si>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</si>
  <si>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</si>
  <si>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</si>
  <si>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</si>
  <si>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</si>
  <si>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</si>
  <si>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</si>
  <si>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</si>
  <si>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</si>
  <si>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</si>
  <si>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</si>
  <si>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</si>
  <si>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</si>
  <si>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</si>
  <si>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</si>
  <si>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</si>
  <si>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</si>
  <si>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</si>
  <si>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</si>
  <si>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</si>
  <si>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</si>
  <si>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</si>
  <si>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</si>
  <si>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</si>
  <si>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</si>
  <si>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</si>
  <si>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</si>
  <si>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</si>
  <si>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</si>
  <si>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</si>
  <si>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</si>
  <si>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</si>
  <si>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</si>
  <si>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</si>
  <si>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</si>
  <si>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</si>
  <si>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</si>
  <si>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</si>
  <si>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</si>
  <si>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</si>
  <si>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</si>
  <si>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</si>
  <si>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</si>
  <si>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</si>
  <si>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</si>
  <si>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</si>
  <si>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</si>
  <si>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</si>
  <si>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</si>
  <si>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</si>
  <si>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</si>
  <si>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</si>
  <si>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</si>
  <si>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</si>
  <si>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</si>
  <si>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</si>
  <si>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</si>
  <si>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</si>
  <si>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</si>
  <si>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</si>
  <si>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</si>
  <si>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</si>
  <si>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</si>
  <si>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</si>
  <si>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</si>
  <si>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</si>
  <si>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</si>
  <si>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</si>
  <si>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</si>
  <si>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</si>
  <si>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</si>
  <si>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</si>
  <si>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</si>
  <si>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</si>
  <si>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</si>
  <si>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</si>
  <si>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</si>
  <si>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</si>
  <si>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</si>
  <si>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</si>
  <si>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</si>
  <si>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</si>
  <si>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</si>
  <si>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</si>
  <si>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</si>
  <si>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</si>
  <si>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</si>
  <si>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</si>
  <si>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</si>
  <si>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</si>
  <si>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</si>
  <si>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</si>
  <si>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</si>
  <si>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</si>
  <si>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</si>
  <si>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</si>
  <si>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</si>
  <si>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</si>
  <si>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</si>
  <si>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</si>
  <si>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</si>
  <si>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</si>
  <si>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</si>
  <si>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</si>
  <si>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</si>
  <si>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</si>
  <si>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</si>
  <si>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</si>
  <si>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</si>
  <si>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</si>
  <si>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</si>
  <si>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</si>
  <si>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</si>
  <si>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</si>
  <si>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</si>
  <si>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</si>
  <si>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</si>
  <si>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</si>
  <si>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</si>
  <si>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</si>
  <si>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</si>
  <si>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</si>
  <si>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</si>
  <si>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</si>
  <si>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</si>
  <si>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</si>
  <si>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</si>
  <si>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</si>
  <si>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</si>
  <si>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</si>
  <si>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</si>
  <si>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</si>
  <si>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</si>
  <si>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</si>
  <si>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</si>
  <si>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</si>
  <si>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</si>
  <si>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</si>
  <si>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</si>
  <si>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</si>
  <si>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</si>
  <si>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</si>
  <si>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</si>
  <si>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</si>
  <si>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</si>
  <si>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</si>
  <si>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</si>
  <si>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</si>
  <si>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</si>
  <si>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</si>
  <si>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</si>
  <si>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</si>
  <si>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</si>
  <si>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</si>
  <si>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</si>
  <si>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</si>
  <si>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</si>
  <si>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</si>
  <si>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</si>
  <si>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</si>
  <si>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</si>
  <si>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</si>
  <si>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</si>
  <si>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</si>
  <si>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</si>
  <si>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</si>
  <si>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</si>
  <si>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</si>
  <si>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</si>
  <si>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</si>
  <si>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</si>
  <si>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</si>
  <si>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</si>
  <si>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</si>
  <si>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</si>
  <si>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</si>
  <si>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</si>
  <si>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</si>
  <si>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</si>
  <si>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</si>
  <si>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</si>
  <si>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</si>
  <si>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</si>
  <si>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</si>
  <si>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</si>
  <si>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</si>
  <si>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</si>
  <si>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</si>
  <si>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</si>
  <si>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</si>
  <si>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</si>
  <si>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</si>
  <si>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</si>
  <si>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</si>
  <si>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</si>
  <si>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</si>
  <si>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</si>
  <si>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</si>
  <si>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</si>
  <si>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</si>
  <si>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</si>
  <si>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</si>
  <si>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</si>
  <si>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</si>
  <si>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</si>
  <si>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</si>
  <si>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</si>
  <si>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</si>
  <si>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</si>
  <si>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</si>
  <si>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</si>
  <si>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</si>
  <si>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</si>
  <si>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</si>
  <si>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</si>
  <si>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</si>
  <si>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</si>
  <si>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</si>
  <si>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</si>
  <si>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</si>
  <si>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</si>
  <si>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</si>
  <si>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</si>
  <si>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</si>
  <si>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</si>
  <si>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</si>
  <si>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</si>
  <si>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</si>
  <si>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</si>
  <si>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</si>
  <si>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</si>
  <si>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</si>
  <si>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</si>
  <si>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</si>
  <si>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</si>
  <si>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</si>
  <si>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</si>
  <si>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</si>
  <si>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</si>
  <si>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</si>
  <si>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</si>
  <si>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</si>
  <si>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</si>
  <si>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</si>
  <si>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</si>
  <si>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</si>
  <si>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</si>
  <si>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</si>
  <si>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</si>
  <si>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</si>
  <si>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</si>
  <si>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</si>
  <si>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</si>
  <si>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</si>
  <si>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</si>
  <si>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</si>
  <si>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</si>
  <si>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</si>
  <si>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</si>
  <si>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</si>
  <si>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</si>
  <si>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</si>
  <si>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</si>
  <si>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</si>
  <si>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</si>
  <si>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</si>
  <si>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</si>
  <si>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</si>
  <si>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</si>
  <si>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</si>
  <si>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</si>
  <si>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</si>
  <si>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</si>
  <si>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</si>
  <si>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</si>
  <si>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</si>
  <si>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</si>
  <si>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</si>
  <si>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</si>
  <si>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</si>
  <si>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</si>
  <si>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</si>
  <si>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</si>
  <si>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</si>
  <si>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</si>
  <si>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</si>
  <si>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</si>
  <si>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</si>
  <si>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</si>
  <si>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</si>
  <si>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</si>
  <si>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</si>
  <si>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</si>
  <si>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</si>
  <si>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</si>
  <si>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</si>
  <si>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</si>
  <si>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</si>
  <si>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</si>
  <si>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</si>
  <si>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</si>
  <si>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</si>
  <si>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</si>
  <si>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</si>
  <si>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</si>
  <si>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</si>
  <si>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</si>
  <si>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</si>
  <si>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</si>
  <si>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</si>
  <si>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</si>
  <si>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</si>
  <si>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</si>
  <si>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</si>
  <si>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</si>
  <si>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</si>
  <si>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</si>
  <si>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</si>
  <si>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</si>
  <si>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</si>
  <si>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</si>
  <si>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</si>
  <si>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</si>
  <si>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</si>
  <si>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</si>
  <si>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</si>
  <si>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</si>
  <si>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</si>
  <si>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</si>
  <si>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</si>
  <si>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</si>
  <si>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</si>
  <si>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</si>
  <si>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</si>
  <si>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</si>
  <si>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</si>
  <si>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</si>
  <si>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</si>
  <si>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</si>
  <si>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</si>
  <si>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</si>
  <si>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</si>
  <si>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</si>
  <si>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</si>
  <si>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</si>
  <si>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</si>
  <si>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</si>
  <si>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</si>
  <si>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</si>
  <si>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</si>
  <si>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</si>
  <si>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</si>
  <si>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</si>
  <si>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</si>
  <si>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</si>
  <si>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</si>
  <si>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</si>
  <si>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</si>
  <si>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</si>
  <si>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</si>
  <si>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</si>
  <si>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</si>
  <si>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</si>
  <si>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</si>
  <si>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</si>
  <si>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</si>
  <si>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</si>
  <si>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</si>
  <si>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</si>
  <si>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</si>
  <si>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</si>
  <si>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</si>
  <si>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</si>
  <si>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</si>
  <si>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</si>
  <si>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</si>
  <si>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</si>
  <si>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</si>
  <si>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</si>
  <si>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</si>
  <si>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</si>
  <si>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</si>
  <si>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</si>
  <si>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</si>
  <si>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</si>
  <si>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</si>
  <si>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</si>
  <si>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</si>
  <si>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</si>
  <si>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</si>
  <si>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</si>
  <si>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</si>
  <si>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</si>
  <si>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</si>
  <si>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</si>
  <si>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</si>
  <si>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</si>
  <si>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</si>
  <si>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</si>
  <si>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</si>
  <si>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</si>
  <si>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</si>
  <si>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</si>
  <si>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</si>
  <si>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</si>
  <si>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</si>
  <si>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</si>
  <si>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</si>
  <si>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</si>
  <si>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</si>
  <si>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</si>
  <si>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</si>
  <si>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</si>
  <si>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</si>
  <si>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</si>
  <si>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</si>
  <si>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</si>
  <si>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</si>
  <si>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</si>
  <si>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</si>
  <si>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</si>
  <si>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</si>
  <si>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</si>
  <si>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</si>
  <si>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</si>
  <si>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</si>
  <si>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</si>
  <si>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</si>
  <si>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</si>
  <si>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</si>
  <si>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</si>
  <si>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</si>
  <si>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</si>
  <si>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</si>
  <si>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</si>
  <si>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</si>
  <si>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</si>
  <si>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</si>
  <si>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</si>
  <si>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</si>
  <si>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</si>
  <si>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</si>
  <si>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</si>
  <si>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</si>
  <si>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</si>
  <si>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</si>
  <si>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</si>
  <si>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</si>
  <si>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</si>
  <si>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</si>
  <si>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</si>
  <si>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</si>
  <si>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</si>
  <si>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</si>
  <si>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</si>
  <si>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</si>
  <si>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</si>
  <si>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</si>
  <si>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</si>
  <si>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</si>
  <si>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</si>
  <si>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</si>
  <si>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</si>
  <si>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</si>
  <si>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</si>
  <si>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</si>
  <si>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</si>
  <si>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</si>
  <si>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</si>
  <si>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</si>
  <si>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</si>
  <si>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</si>
  <si>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</si>
  <si>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</si>
  <si>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</si>
  <si>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</si>
  <si>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</si>
  <si>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</si>
  <si>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</si>
  <si>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</si>
  <si>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</si>
  <si>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</si>
  <si>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</si>
  <si>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</si>
  <si>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</si>
  <si>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</si>
  <si>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</si>
  <si>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</si>
  <si>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</si>
  <si>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</si>
  <si>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</si>
  <si>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</si>
  <si>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</si>
  <si>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</si>
  <si>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</si>
  <si>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</si>
  <si>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</si>
  <si>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</si>
  <si>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</si>
  <si>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</si>
  <si>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</si>
  <si>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</si>
  <si>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</si>
  <si>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</si>
  <si>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</si>
  <si>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</si>
  <si>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</si>
  <si>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</si>
  <si>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</si>
  <si>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</si>
  <si>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</si>
  <si>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</si>
  <si>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</si>
  <si>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</si>
  <si>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</si>
  <si>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</si>
  <si>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</si>
  <si>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</si>
  <si>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</si>
  <si>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</si>
  <si>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</si>
  <si>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</si>
  <si>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</si>
  <si>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</si>
  <si>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</si>
  <si>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</si>
  <si>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</si>
  <si>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</si>
  <si>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</si>
  <si>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</si>
  <si>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</si>
  <si>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</si>
  <si>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</si>
  <si>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</si>
  <si>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</si>
  <si>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</si>
  <si>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</si>
  <si>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</si>
  <si>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</si>
  <si>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</si>
  <si>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</si>
  <si>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</si>
  <si>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</si>
  <si>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</si>
  <si>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</si>
  <si>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</si>
  <si>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</si>
  <si>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</si>
  <si>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</si>
  <si>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</si>
  <si>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</si>
  <si>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</si>
  <si>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</si>
  <si>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</si>
  <si>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</si>
  <si>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</si>
  <si>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</si>
  <si>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</si>
  <si>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</si>
  <si>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</si>
  <si>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</si>
  <si>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</si>
  <si>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</si>
  <si>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</si>
  <si>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</si>
  <si>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</si>
  <si>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</si>
  <si>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</si>
  <si>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</si>
  <si>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</si>
  <si>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</si>
  <si>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</si>
  <si>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</si>
  <si>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</si>
  <si>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</si>
  <si>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</si>
  <si>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</si>
  <si>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</si>
  <si>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</si>
  <si>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</si>
  <si>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</si>
  <si>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</si>
  <si>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</si>
  <si>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</si>
  <si>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</si>
  <si>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</si>
  <si>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</si>
  <si>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</si>
  <si>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</si>
  <si>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</si>
  <si>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</si>
  <si>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</si>
  <si>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</si>
  <si>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</si>
  <si>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</si>
  <si>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</si>
  <si>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</si>
  <si>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</si>
  <si>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</si>
  <si>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</si>
  <si>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</si>
  <si>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</si>
  <si>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</si>
  <si>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</si>
  <si>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</si>
  <si>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</si>
  <si>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</si>
  <si>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</si>
  <si>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</si>
  <si>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</si>
  <si>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</si>
  <si>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</si>
  <si>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</si>
  <si>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</si>
  <si>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</si>
  <si>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</si>
  <si>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</si>
  <si>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</si>
  <si>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</si>
  <si>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</si>
  <si>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</si>
  <si>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</si>
  <si>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</si>
  <si>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</si>
  <si>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</si>
  <si>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</si>
  <si>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</si>
  <si>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</si>
  <si>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</si>
  <si>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</si>
  <si>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</si>
  <si>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</si>
  <si>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</si>
  <si>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</si>
  <si>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</si>
  <si>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</si>
  <si>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</si>
  <si>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</si>
  <si>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</si>
  <si>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</si>
  <si>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</si>
  <si>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</si>
  <si>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</si>
  <si>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</si>
  <si>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</si>
  <si>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</si>
  <si>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</si>
  <si>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</si>
  <si>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</si>
  <si>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</si>
  <si>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</si>
  <si>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</si>
  <si>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</si>
  <si>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</si>
  <si>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</si>
  <si>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</si>
  <si>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</si>
  <si>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</si>
  <si>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</si>
  <si>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</si>
  <si>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</si>
  <si>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</si>
  <si>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</si>
  <si>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</si>
  <si>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</si>
  <si>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</si>
  <si>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</si>
  <si>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</si>
  <si>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</si>
  <si>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</si>
  <si>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</si>
  <si>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</si>
  <si>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</si>
  <si>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</si>
  <si>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</si>
  <si>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</si>
  <si>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</si>
  <si>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</si>
  <si>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</si>
  <si>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</si>
  <si>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</si>
  <si>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</si>
  <si>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</si>
  <si>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</si>
  <si>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</si>
  <si>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</si>
  <si>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</si>
  <si>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</si>
  <si>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</si>
  <si>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</si>
  <si>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</si>
  <si>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</si>
  <si>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</si>
  <si>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</si>
  <si>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</si>
  <si>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</si>
  <si>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</si>
  <si>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</si>
  <si>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</si>
  <si>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</si>
  <si>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</si>
  <si>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</si>
  <si>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</si>
  <si>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</si>
  <si>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</si>
  <si>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</si>
  <si>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</si>
  <si>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</si>
  <si>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</si>
  <si>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</si>
  <si>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</si>
  <si>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</si>
  <si>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</si>
  <si>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</si>
  <si>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</si>
  <si>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</si>
  <si>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</si>
  <si>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</si>
  <si>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</si>
  <si>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</si>
  <si>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</si>
  <si>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</si>
  <si>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</si>
  <si>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</si>
  <si>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</si>
  <si>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</si>
  <si>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</si>
  <si>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</si>
  <si>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</si>
  <si>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</si>
  <si>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</si>
  <si>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</si>
  <si>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</si>
  <si>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</si>
  <si>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</si>
  <si>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</si>
  <si>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</si>
  <si>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</si>
  <si>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</si>
  <si>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</si>
  <si>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</si>
  <si>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</si>
  <si>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</si>
  <si>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</si>
  <si>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</si>
  <si>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</si>
  <si>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</si>
  <si>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</si>
  <si>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</si>
  <si>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</si>
  <si>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</si>
  <si>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</si>
  <si>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</si>
  <si>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</si>
  <si>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</si>
  <si>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</si>
  <si>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</si>
  <si>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</si>
  <si>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</si>
  <si>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</si>
  <si>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</si>
  <si>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</si>
  <si>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</si>
  <si>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</si>
  <si>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</si>
  <si>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</si>
  <si>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</si>
  <si>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</si>
  <si>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</si>
  <si>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</si>
  <si>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</si>
  <si>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</si>
  <si>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</si>
  <si>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</si>
  <si>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</si>
  <si>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</si>
  <si>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</si>
  <si>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</si>
  <si>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</si>
  <si>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</si>
  <si>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</si>
  <si>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</si>
  <si>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</si>
  <si>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</si>
  <si>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</si>
  <si>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</si>
  <si>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</si>
  <si>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</si>
  <si>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</si>
  <si>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</si>
  <si>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</si>
  <si>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</si>
  <si>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</si>
  <si>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</si>
  <si>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</si>
  <si>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</si>
  <si>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</si>
  <si>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</si>
  <si>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</si>
  <si>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</si>
  <si>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</si>
  <si>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</si>
  <si>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</si>
  <si>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</si>
  <si>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</si>
  <si>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</si>
  <si>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</si>
  <si>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</si>
  <si>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</si>
  <si>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</si>
  <si>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</si>
  <si>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</si>
  <si>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</si>
  <si>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</si>
  <si>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</si>
  <si>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</si>
  <si>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</si>
  <si>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</si>
  <si>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</si>
  <si>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</si>
  <si>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</si>
  <si>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</si>
  <si>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</si>
  <si>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</si>
  <si>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</si>
  <si>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</si>
  <si>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</si>
  <si>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</si>
  <si>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</si>
  <si>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</si>
  <si>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</si>
  <si>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</si>
  <si>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</si>
  <si>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</si>
  <si>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</si>
  <si>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</si>
  <si>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</si>
  <si>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</si>
  <si>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</si>
  <si>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</si>
  <si>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</si>
  <si>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</si>
  <si>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</si>
  <si>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</si>
  <si>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</si>
  <si>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</si>
  <si>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</si>
  <si>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</si>
  <si>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</si>
  <si>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</si>
  <si>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</si>
  <si>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</si>
  <si>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</si>
  <si>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</si>
  <si>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</si>
  <si>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</si>
  <si>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</si>
  <si>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</si>
  <si>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</si>
  <si>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</si>
  <si>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</si>
  <si>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</si>
  <si>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</si>
  <si>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</si>
  <si>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</si>
  <si>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</si>
  <si>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</si>
  <si>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</si>
  <si>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</si>
  <si>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</si>
  <si>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</si>
  <si>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</si>
  <si>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</si>
  <si>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</si>
  <si>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</si>
  <si>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</si>
  <si>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</si>
  <si>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</si>
  <si>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</si>
  <si>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</si>
  <si>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</si>
  <si>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</si>
  <si>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</si>
  <si>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</si>
  <si>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</si>
  <si>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</si>
  <si>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</si>
  <si>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</si>
  <si>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</si>
  <si>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</si>
  <si>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</si>
  <si>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</si>
  <si>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</si>
  <si>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</si>
  <si>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</si>
  <si>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</si>
  <si>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</si>
  <si>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</si>
  <si>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</si>
  <si>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</si>
  <si>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</si>
  <si>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</si>
  <si>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</si>
  <si>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</si>
  <si>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</si>
  <si>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</si>
  <si>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</si>
  <si>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</si>
  <si>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</si>
  <si>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</si>
  <si>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</si>
  <si>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</si>
  <si>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</si>
  <si>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</si>
  <si>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</si>
  <si>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</si>
  <si>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</si>
  <si>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</si>
  <si>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</si>
  <si>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</si>
  <si>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</si>
  <si>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</si>
  <si>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</si>
  <si>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</si>
  <si>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</si>
  <si>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</si>
  <si>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</si>
  <si>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</si>
  <si>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</si>
  <si>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</si>
  <si>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</si>
  <si>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</si>
  <si>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</si>
  <si>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</si>
  <si>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</si>
  <si>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</si>
  <si>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</si>
  <si>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</si>
  <si>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</si>
  <si>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</si>
  <si>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</si>
  <si>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</si>
  <si>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</si>
  <si>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</si>
  <si>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</si>
  <si>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</si>
  <si>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</si>
  <si>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</si>
  <si>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</si>
  <si>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</si>
  <si>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</si>
  <si>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</si>
  <si>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</si>
  <si>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</si>
  <si>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</si>
  <si>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</si>
  <si>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</si>
  <si>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</si>
  <si>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</si>
  <si>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</si>
  <si>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</si>
  <si>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</si>
  <si>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</si>
  <si>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</si>
  <si>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</si>
  <si>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</si>
  <si>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</si>
  <si>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</si>
  <si>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</si>
  <si>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</si>
  <si>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</si>
  <si>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</si>
  <si>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</si>
  <si>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</si>
  <si>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</si>
  <si>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</si>
  <si>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</si>
  <si>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</si>
  <si>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</si>
  <si>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</si>
  <si>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</si>
  <si>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</si>
  <si>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</si>
  <si>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</si>
  <si>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</si>
  <si>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</si>
  <si>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</si>
  <si>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</si>
  <si>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</si>
  <si>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</si>
  <si>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</si>
  <si>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</si>
  <si>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</si>
  <si>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</si>
  <si>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</si>
  <si>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</si>
  <si>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</si>
  <si>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</si>
  <si>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</si>
  <si>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</si>
  <si>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</si>
  <si>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</si>
  <si>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</si>
  <si>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</si>
  <si>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</si>
  <si>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</si>
  <si>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</si>
  <si>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</si>
  <si>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</si>
  <si>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</si>
  <si>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</si>
  <si>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</si>
  <si>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</si>
  <si>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</si>
  <si>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</si>
  <si>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</si>
  <si>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</si>
  <si>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</si>
  <si>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</si>
  <si>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</si>
  <si>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</si>
  <si>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</si>
  <si>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</si>
  <si>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</si>
  <si>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</si>
  <si>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</si>
  <si>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</si>
  <si>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</si>
  <si>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</si>
  <si>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</si>
  <si>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</si>
  <si>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</si>
  <si>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</si>
  <si>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</si>
  <si>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</si>
  <si>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</si>
  <si>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</si>
  <si>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</si>
  <si>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</si>
  <si>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</si>
  <si>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</si>
  <si>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</si>
  <si>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</si>
  <si>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</si>
  <si>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</si>
  <si>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</si>
  <si>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</si>
  <si>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</si>
  <si>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</si>
  <si>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</si>
  <si>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</si>
  <si>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</si>
  <si>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</si>
  <si>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</si>
  <si>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</si>
  <si>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</si>
  <si>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</si>
  <si>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</si>
  <si>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</si>
  <si>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</si>
  <si>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</si>
  <si>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</si>
  <si>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</si>
  <si>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</si>
  <si>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</si>
  <si>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</si>
  <si>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</si>
  <si>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</si>
  <si>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</si>
  <si>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</si>
  <si>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</si>
  <si>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</si>
  <si>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</si>
  <si>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</si>
  <si>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</si>
  <si>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</si>
  <si>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</si>
  <si>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</si>
  <si>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</si>
  <si>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</si>
  <si>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</si>
  <si>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</si>
  <si>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</si>
  <si>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</si>
  <si>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</si>
  <si>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</si>
  <si>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</si>
  <si>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</si>
  <si>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</si>
  <si>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</si>
  <si>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</si>
  <si>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</si>
  <si>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</si>
  <si>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</si>
  <si>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</si>
  <si>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</si>
  <si>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</si>
  <si>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</si>
  <si>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</si>
  <si>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</si>
  <si>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</si>
  <si>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</si>
  <si>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</si>
  <si>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</si>
  <si>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</si>
  <si>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</si>
  <si>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</si>
  <si>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</si>
  <si>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</si>
  <si>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</si>
  <si>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</si>
  <si>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</si>
  <si>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</si>
  <si>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</si>
  <si>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</si>
  <si>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</si>
  <si>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</si>
  <si>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</si>
  <si>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</si>
  <si>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</si>
  <si>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</si>
  <si>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</si>
  <si>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</si>
  <si>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</si>
  <si>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</si>
  <si>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</si>
  <si>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</si>
  <si>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</si>
  <si>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</si>
  <si>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</si>
  <si>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</si>
  <si>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</si>
  <si>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</si>
  <si>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</si>
  <si>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</si>
  <si>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</si>
  <si>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</si>
  <si>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</si>
  <si>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</si>
  <si>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</si>
  <si>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</si>
  <si>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</si>
  <si>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</si>
  <si>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</si>
  <si>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</si>
  <si>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</si>
  <si>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</si>
  <si>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</si>
  <si>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</si>
  <si>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</si>
  <si>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</si>
  <si>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</si>
  <si>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</si>
  <si>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</si>
  <si>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</si>
  <si>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</si>
  <si>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</si>
  <si>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</si>
  <si>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</si>
  <si>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</si>
  <si>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</si>
  <si>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</si>
  <si>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</si>
  <si>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</si>
  <si>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</si>
  <si>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</si>
  <si>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</si>
  <si>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</si>
  <si>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</si>
  <si>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</si>
  <si>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</si>
  <si>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</si>
  <si>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</si>
  <si>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</si>
  <si>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</si>
  <si>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</si>
  <si>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</si>
  <si>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</si>
  <si>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</si>
  <si>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</si>
  <si>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</si>
  <si>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</si>
  <si>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</si>
  <si>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</si>
  <si>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</si>
  <si>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</si>
  <si>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</si>
  <si>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</si>
  <si>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</si>
  <si>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</si>
  <si>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</si>
  <si>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</si>
  <si>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</si>
  <si>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</si>
  <si>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</si>
  <si>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</si>
  <si>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</si>
  <si>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</si>
  <si>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</si>
  <si>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</si>
  <si>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</si>
  <si>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</si>
  <si>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</si>
  <si>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</si>
  <si>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</si>
  <si>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</si>
  <si>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</si>
  <si>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</si>
  <si>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</si>
  <si>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</si>
  <si>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</si>
  <si>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</si>
  <si>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</si>
  <si>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</si>
  <si>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</si>
  <si>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</si>
  <si>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</si>
  <si>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</si>
  <si>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</si>
  <si>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</si>
  <si>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</si>
  <si>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</si>
  <si>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</si>
  <si>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</si>
  <si>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</si>
  <si>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</si>
  <si>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</si>
  <si>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</si>
  <si>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</si>
  <si>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</si>
  <si>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</si>
  <si>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</si>
  <si>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</si>
  <si>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</si>
  <si>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</si>
  <si>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</si>
  <si>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</si>
  <si>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</si>
  <si>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</si>
  <si>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</si>
  <si>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</si>
  <si>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</si>
  <si>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</si>
  <si>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</si>
  <si>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</si>
  <si>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</si>
  <si>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</si>
  <si>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</si>
  <si>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</si>
  <si>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</si>
  <si>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</si>
  <si>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</si>
  <si>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</si>
  <si>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</si>
  <si>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</si>
  <si>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</si>
  <si>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</si>
  <si>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</si>
  <si>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</si>
  <si>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</si>
  <si>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</si>
  <si>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</si>
  <si>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</si>
  <si>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</si>
  <si>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</si>
  <si>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</si>
  <si>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</si>
  <si>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</si>
  <si>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</si>
  <si>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</si>
  <si>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</si>
  <si>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</si>
  <si>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</si>
  <si>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</si>
  <si>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</si>
  <si>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</si>
  <si>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</si>
  <si>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</si>
  <si>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</si>
  <si>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</si>
  <si>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</si>
  <si>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</si>
  <si>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</si>
  <si>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</si>
  <si>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</si>
  <si>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</si>
  <si>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</si>
  <si>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</si>
  <si>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</si>
  <si>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</si>
  <si>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</si>
  <si>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</si>
  <si>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</si>
  <si>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</si>
  <si>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</si>
  <si>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</si>
  <si>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</si>
  <si>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</si>
  <si>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</si>
  <si>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</si>
  <si>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</si>
  <si>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</si>
  <si>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</si>
  <si>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</si>
  <si>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</si>
  <si>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</si>
  <si>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</si>
  <si>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</si>
  <si>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</si>
  <si>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</si>
  <si>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</si>
  <si>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</si>
  <si>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</si>
  <si>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</si>
  <si>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</si>
  <si>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</si>
  <si>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</si>
  <si>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</si>
  <si>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</si>
  <si>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</si>
  <si>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</si>
  <si>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</si>
  <si>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</si>
  <si>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</si>
  <si>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</si>
  <si>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</si>
  <si>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</si>
  <si>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</si>
  <si>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</si>
  <si>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</si>
  <si>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</si>
  <si>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</si>
  <si>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</si>
  <si>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</si>
  <si>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</si>
  <si>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</si>
  <si>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</si>
  <si>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</si>
  <si>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</si>
  <si>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</si>
  <si>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</si>
  <si>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</si>
  <si>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</si>
  <si>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</si>
  <si>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</si>
  <si>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</si>
  <si>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</si>
  <si>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</si>
  <si>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</si>
  <si>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</si>
  <si>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</si>
  <si>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</si>
  <si>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</si>
  <si>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</si>
  <si>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</si>
  <si>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</si>
  <si>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</si>
  <si>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</si>
  <si>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</si>
  <si>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</si>
  <si>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</si>
  <si>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</si>
  <si>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</si>
  <si>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</si>
  <si>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</si>
  <si>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</si>
  <si>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</si>
  <si>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</si>
  <si>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</si>
  <si>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</si>
  <si>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</si>
  <si>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</si>
  <si>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</si>
  <si>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</si>
  <si>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</si>
  <si>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</si>
  <si>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</si>
  <si>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</si>
  <si>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</si>
  <si>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</si>
  <si>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</si>
  <si>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</si>
  <si>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</si>
  <si>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</si>
  <si>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</si>
  <si>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</si>
  <si>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</si>
  <si>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</si>
  <si>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</si>
  <si>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</si>
  <si>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</si>
  <si>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</si>
  <si>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</si>
  <si>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</si>
  <si>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</si>
  <si>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</si>
  <si>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</si>
  <si>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</si>
  <si>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</si>
  <si>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</si>
  <si>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</si>
  <si>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</si>
  <si>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</si>
  <si>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</si>
  <si>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</si>
  <si>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</si>
  <si>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</si>
  <si>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</si>
  <si>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</si>
  <si>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</si>
  <si>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</si>
  <si>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</si>
  <si>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</si>
  <si>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</si>
  <si>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</si>
  <si>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</si>
  <si>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</si>
  <si>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</si>
  <si>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</si>
  <si>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</si>
  <si>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</si>
  <si>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</si>
  <si>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</si>
  <si>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</si>
  <si>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</si>
  <si>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</si>
  <si>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</si>
  <si>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</si>
  <si>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</si>
  <si>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</si>
  <si>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</si>
  <si>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</si>
  <si>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</si>
  <si>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</si>
  <si>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</si>
  <si>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</si>
  <si>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</si>
  <si>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</si>
  <si>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</si>
  <si>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</si>
  <si>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</si>
  <si>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</si>
  <si>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</si>
  <si>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</si>
  <si>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</si>
  <si>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</si>
  <si>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</si>
  <si>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</si>
  <si>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</si>
  <si>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</si>
  <si>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</si>
  <si>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</si>
  <si>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</si>
  <si>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</si>
  <si>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</si>
  <si>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</si>
  <si>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</si>
  <si>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</si>
  <si>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</si>
  <si>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</si>
  <si>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</si>
  <si>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</si>
  <si>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</si>
  <si>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</si>
  <si>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</si>
  <si>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</si>
  <si>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</si>
  <si>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</si>
  <si>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</si>
  <si>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</si>
  <si>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</si>
  <si>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</si>
  <si>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</si>
  <si>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</si>
  <si>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</si>
  <si>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</si>
  <si>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</si>
  <si>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</si>
  <si>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</si>
  <si>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</si>
  <si>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</si>
  <si>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</si>
  <si>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</si>
  <si>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</si>
  <si>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</si>
  <si>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</si>
  <si>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</si>
  <si>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</si>
  <si>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</si>
  <si>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</si>
  <si>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</si>
  <si>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</si>
  <si>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</si>
  <si>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</si>
  <si>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</si>
  <si>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</si>
  <si>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</si>
  <si>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</si>
  <si>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</si>
  <si>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</si>
  <si>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</si>
  <si>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</si>
  <si>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</si>
  <si>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</si>
  <si>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</si>
  <si>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</si>
  <si>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</si>
  <si>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</si>
  <si>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</si>
  <si>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</si>
  <si>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</si>
  <si>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</si>
  <si>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</si>
  <si>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</si>
  <si>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</si>
  <si>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</si>
  <si>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</si>
  <si>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</si>
  <si>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</si>
  <si>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</si>
  <si>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</si>
  <si>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</si>
  <si>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</si>
  <si>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</si>
  <si>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</si>
  <si>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</si>
  <si>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</si>
  <si>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</si>
  <si>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</si>
  <si>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</si>
  <si>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</si>
  <si>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</si>
  <si>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</si>
  <si>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</si>
  <si>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</si>
  <si>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</si>
  <si>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</si>
  <si>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</si>
  <si>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</si>
  <si>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</si>
  <si>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</si>
  <si>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</si>
  <si>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</si>
  <si>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</si>
  <si>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</si>
  <si>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</si>
  <si>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</si>
  <si>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</si>
  <si>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</si>
  <si>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</si>
  <si>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</si>
  <si>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</si>
  <si>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</si>
  <si>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</si>
  <si>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</si>
  <si>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</si>
  <si>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</si>
  <si>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</si>
  <si>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</si>
  <si>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</si>
  <si>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</si>
  <si>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</si>
  <si>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</si>
  <si>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</si>
  <si>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</si>
  <si>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</si>
  <si>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</si>
  <si>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</si>
  <si>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</si>
  <si>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</si>
  <si>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</si>
  <si>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</si>
  <si>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</si>
  <si>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</si>
  <si>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</si>
  <si>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</si>
  <si>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</si>
  <si>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</si>
  <si>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</si>
  <si>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</si>
  <si>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</si>
  <si>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</si>
  <si>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</si>
  <si>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</si>
  <si>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</si>
  <si>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</si>
  <si>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</si>
  <si>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</si>
  <si>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</si>
  <si>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</si>
  <si>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</si>
  <si>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</si>
  <si>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</si>
  <si>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</si>
  <si>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</si>
  <si>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</si>
  <si>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</si>
  <si>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</si>
  <si>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</si>
  <si>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</si>
  <si>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</si>
  <si>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</si>
  <si>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</si>
  <si>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</si>
  <si>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</si>
  <si>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</si>
  <si>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</si>
  <si>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</si>
  <si>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</si>
  <si>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</si>
  <si>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</si>
  <si>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</si>
  <si>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</si>
  <si>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</si>
  <si>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</si>
  <si>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</si>
  <si>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</si>
  <si>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</si>
  <si>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</si>
  <si>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</si>
  <si>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</si>
  <si>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</si>
  <si>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</si>
  <si>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</si>
  <si>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</si>
  <si>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</si>
  <si>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</si>
  <si>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</si>
  <si>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</si>
  <si>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</si>
  <si>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</si>
  <si>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</si>
  <si>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</si>
  <si>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</si>
  <si>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</si>
  <si>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</si>
  <si>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</si>
  <si>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</si>
  <si>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</si>
  <si>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</si>
  <si>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</si>
  <si>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</si>
  <si>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</si>
  <si>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</si>
  <si>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</si>
  <si>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</si>
  <si>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</si>
  <si>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</si>
  <si>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</si>
  <si>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</si>
  <si>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</si>
  <si>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</si>
  <si>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</si>
  <si>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</si>
  <si>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</si>
  <si>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</si>
  <si>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</si>
  <si>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</si>
  <si>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</si>
  <si>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</si>
  <si>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</si>
  <si>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</si>
  <si>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</si>
  <si>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</si>
  <si>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</si>
  <si>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</si>
  <si>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</si>
  <si>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</si>
  <si>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</si>
  <si>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</si>
  <si>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</si>
  <si>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</si>
  <si>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</si>
  <si>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</si>
  <si>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</si>
  <si>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</si>
  <si>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</si>
  <si>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</si>
  <si>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</si>
  <si>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</si>
  <si>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</si>
  <si>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</si>
  <si>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</si>
  <si>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</si>
  <si>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</si>
  <si>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</si>
  <si>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</si>
  <si>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</si>
  <si>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</si>
  <si>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</si>
  <si>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</si>
  <si>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</si>
  <si>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</si>
  <si>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</si>
  <si>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</si>
  <si>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</si>
  <si>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</si>
  <si>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</si>
  <si>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</si>
  <si>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</si>
  <si>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</si>
  <si>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</si>
  <si>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</si>
  <si>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</si>
  <si>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</si>
  <si>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</si>
  <si>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</si>
  <si>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</si>
  <si>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</si>
  <si>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</si>
  <si>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</si>
  <si>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郑燚</t>
  </si>
  <si>
    <t>北京市</t>
  </si>
  <si>
    <t>企业</t>
  </si>
  <si>
    <t>Ⅶ-房1</t>
  </si>
  <si>
    <t>是</t>
  </si>
  <si>
    <t>地上</t>
  </si>
  <si>
    <t>底商</t>
  </si>
  <si>
    <t>中海京西荟</t>
  </si>
  <si>
    <t>中海京西荟</t>
    <phoneticPr fontId="7" type="noConversion"/>
  </si>
  <si>
    <t>利息：取LPR加浮动点数</t>
  </si>
  <si>
    <t>成新度</t>
  </si>
  <si>
    <t>收益法 (元)</t>
  </si>
  <si>
    <t>自定义容积率</t>
  </si>
  <si>
    <t>不临65条商业街</t>
  </si>
  <si>
    <t>通电</t>
  </si>
  <si>
    <t>通路</t>
  </si>
  <si>
    <t>通讯</t>
  </si>
  <si>
    <t>通上水</t>
  </si>
  <si>
    <t>通下水</t>
  </si>
  <si>
    <t>平整</t>
  </si>
  <si>
    <t>燃气</t>
  </si>
  <si>
    <t>中心城区以外</t>
  </si>
  <si>
    <t>楼层修正</t>
  </si>
  <si>
    <t>较好</t>
  </si>
  <si>
    <t>一般</t>
  </si>
  <si>
    <t>好</t>
  </si>
  <si>
    <t>未包含在土地购买价格中</t>
  </si>
  <si>
    <t>已包含在土地取得成本中</t>
  </si>
  <si>
    <t>单套模式</t>
  </si>
  <si>
    <t>售价</t>
  </si>
  <si>
    <t>正常</t>
  </si>
  <si>
    <t>商业</t>
    <phoneticPr fontId="30"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</si>
  <si>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</si>
  <si>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</si>
  <si>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</si>
  <si>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</si>
  <si>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t>挂牌</t>
  </si>
  <si>
    <t>挂牌</t>
    <phoneticPr fontId="30" type="noConversion"/>
  </si>
  <si>
    <t>多面</t>
    <phoneticPr fontId="30" type="noConversion"/>
  </si>
  <si>
    <t>双面</t>
    <phoneticPr fontId="30" type="noConversion"/>
  </si>
  <si>
    <t>单面</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</si>
  <si>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</si>
  <si>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</si>
  <si>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</si>
  <si>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</si>
  <si>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</si>
  <si>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</si>
  <si>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</si>
  <si>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</si>
  <si>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t>商业街</t>
    <phoneticPr fontId="30" type="noConversion"/>
  </si>
  <si>
    <t>独立商业</t>
  </si>
  <si>
    <t>独立商业</t>
    <phoneticPr fontId="30" type="noConversion"/>
  </si>
  <si>
    <t>办公配套</t>
    <phoneticPr fontId="30" type="noConversion"/>
  </si>
  <si>
    <t>住宅配套</t>
  </si>
  <si>
    <t>住宅配套</t>
    <phoneticPr fontId="30" type="noConversion"/>
  </si>
  <si>
    <t>钢混</t>
  </si>
  <si>
    <t>钢混</t>
    <phoneticPr fontId="30" type="noConversion"/>
  </si>
  <si>
    <t>精装</t>
  </si>
  <si>
    <t>精装</t>
    <phoneticPr fontId="30" type="noConversion"/>
  </si>
  <si>
    <t>普装</t>
  </si>
  <si>
    <t>普装</t>
    <phoneticPr fontId="30" type="noConversion"/>
  </si>
  <si>
    <t>简装</t>
  </si>
  <si>
    <t>简装</t>
    <phoneticPr fontId="30" type="noConversion"/>
  </si>
  <si>
    <t>毛坯</t>
    <phoneticPr fontId="30" type="noConversion"/>
  </si>
  <si>
    <t>可餐饮</t>
  </si>
  <si>
    <t>可餐饮</t>
    <phoneticPr fontId="30" type="noConversion"/>
  </si>
  <si>
    <t>不可餐饮</t>
  </si>
  <si>
    <t>不可餐饮</t>
    <phoneticPr fontId="30" type="noConversion"/>
  </si>
  <si>
    <t>超高</t>
    <phoneticPr fontId="30" type="noConversion"/>
  </si>
  <si>
    <t>标准</t>
  </si>
  <si>
    <t>标准</t>
    <phoneticPr fontId="30" type="noConversion"/>
  </si>
  <si>
    <r>
      <t>15-20</t>
    </r>
    <r>
      <rPr>
        <sz val="11"/>
        <rFont val="宋体"/>
        <family val="3"/>
        <charset val="134"/>
      </rPr>
      <t>（含）</t>
    </r>
    <phoneticPr fontId="30" type="noConversion"/>
  </si>
  <si>
    <r>
      <t>10-15</t>
    </r>
    <r>
      <rPr>
        <sz val="11"/>
        <rFont val="宋体"/>
        <family val="3"/>
        <charset val="134"/>
      </rPr>
      <t>（含）</t>
    </r>
    <phoneticPr fontId="30" type="noConversion"/>
  </si>
  <si>
    <r>
      <t>30-35</t>
    </r>
    <r>
      <rPr>
        <sz val="11"/>
        <color indexed="8"/>
        <rFont val="宋体"/>
        <family val="3"/>
        <charset val="134"/>
      </rPr>
      <t>（含）</t>
    </r>
    <phoneticPr fontId="30" type="noConversion"/>
  </si>
  <si>
    <t>七通</t>
  </si>
  <si>
    <t>伟业嘉园西里</t>
    <phoneticPr fontId="3" type="noConversion"/>
  </si>
  <si>
    <r>
      <t>15-20</t>
    </r>
    <r>
      <rPr>
        <sz val="11"/>
        <color indexed="8"/>
        <rFont val="宋体"/>
        <family val="3"/>
        <charset val="134"/>
      </rPr>
      <t>（含）</t>
    </r>
    <phoneticPr fontId="30" type="noConversion"/>
  </si>
  <si>
    <t>1-2层</t>
  </si>
  <si>
    <t>金隅畅和园</t>
    <phoneticPr fontId="3" type="noConversion"/>
  </si>
  <si>
    <t>金隅畅和园</t>
    <phoneticPr fontId="3" type="noConversion"/>
  </si>
  <si>
    <r>
      <t>25-30</t>
    </r>
    <r>
      <rPr>
        <sz val="11"/>
        <color indexed="8"/>
        <rFont val="宋体"/>
        <family val="3"/>
        <charset val="134"/>
      </rPr>
      <t>（含）</t>
    </r>
    <phoneticPr fontId="30" type="noConversion"/>
  </si>
  <si>
    <t>比较法-商业</t>
  </si>
  <si>
    <r>
      <t>25-30</t>
    </r>
    <r>
      <rPr>
        <sz val="11"/>
        <color indexed="8"/>
        <rFont val="宋体"/>
        <family val="3"/>
        <charset val="134"/>
      </rPr>
      <t>（含）</t>
    </r>
    <phoneticPr fontId="30" type="noConversion"/>
  </si>
  <si>
    <t>楼面单价</t>
  </si>
  <si>
    <t>收益比率</t>
  </si>
  <si>
    <t>押一</t>
  </si>
  <si>
    <t>非生产用房</t>
  </si>
  <si>
    <t>否</t>
  </si>
  <si>
    <t>租金</t>
  </si>
  <si>
    <r>
      <t>25-30</t>
    </r>
    <r>
      <rPr>
        <sz val="11"/>
        <color indexed="8"/>
        <rFont val="宋体"/>
        <family val="3"/>
        <charset val="134"/>
      </rPr>
      <t>（含）</t>
    </r>
    <phoneticPr fontId="134" type="noConversion"/>
  </si>
  <si>
    <t>西潞南大街</t>
    <phoneticPr fontId="3" type="noConversion"/>
  </si>
  <si>
    <r>
      <t>20-25</t>
    </r>
    <r>
      <rPr>
        <sz val="11"/>
        <color indexed="8"/>
        <rFont val="宋体"/>
        <family val="3"/>
        <charset val="134"/>
      </rPr>
      <t>（含）</t>
    </r>
    <phoneticPr fontId="134" type="noConversion"/>
  </si>
  <si>
    <t>嘉瑞通小区底商</t>
    <phoneticPr fontId="3" type="noConversion"/>
  </si>
  <si>
    <r>
      <t>15-20</t>
    </r>
    <r>
      <rPr>
        <sz val="11"/>
        <color indexed="8"/>
        <rFont val="宋体"/>
        <family val="3"/>
        <charset val="134"/>
      </rPr>
      <t>（含）</t>
    </r>
    <phoneticPr fontId="134" type="noConversion"/>
  </si>
  <si>
    <t>崔锴</t>
  </si>
  <si>
    <t>好</t>
    <phoneticPr fontId="134" type="noConversion"/>
  </si>
  <si>
    <t>较好</t>
    <phoneticPr fontId="134" type="noConversion"/>
  </si>
  <si>
    <t>一般</t>
    <phoneticPr fontId="134" type="noConversion"/>
  </si>
  <si>
    <t>较差</t>
    <phoneticPr fontId="134" type="noConversion"/>
  </si>
  <si>
    <t>差</t>
    <phoneticPr fontId="134" type="noConversion"/>
  </si>
  <si>
    <t>较好</t>
    <phoneticPr fontId="30" type="noConversion"/>
  </si>
  <si>
    <t>双面</t>
  </si>
  <si>
    <t>单面</t>
  </si>
  <si>
    <t>金隅糖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</si>
</sst>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104775</xdr:rowOff>
    </xdr:from>
    <xdr:to>
      <xdr:col>17</xdr:col>
      <xdr:colOff>331928</xdr:colOff>
      <xdr:row>33</xdr:row>
      <xdr:rowOff>75518</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276225"/>
          <a:ext cx="11580953" cy="5457143"/>
        </a:xfrm>
        <a:prstGeom prst="rect">
          <a:avLst/>
        </a:prstGeom>
      </xdr:spPr>
    </xdr:pic>
    <xdr:clientData/>
  </xdr:twoCellAnchor>
  <xdr:twoCellAnchor editAs="oneCell">
    <xdr:from>
      <xdr:col>1</xdr:col>
      <xdr:colOff>0</xdr:colOff>
      <xdr:row>36</xdr:row>
      <xdr:rowOff>0</xdr:rowOff>
    </xdr:from>
    <xdr:to>
      <xdr:col>5</xdr:col>
      <xdr:colOff>428229</xdr:colOff>
      <xdr:row>47</xdr:row>
      <xdr:rowOff>28336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172200"/>
          <a:ext cx="3171429" cy="1914286"/>
        </a:xfrm>
        <a:prstGeom prst="rect">
          <a:avLst/>
        </a:prstGeom>
      </xdr:spPr>
    </xdr:pic>
    <xdr:clientData/>
  </xdr:twoCellAnchor>
  <xdr:twoCellAnchor editAs="oneCell">
    <xdr:from>
      <xdr:col>7</xdr:col>
      <xdr:colOff>0</xdr:colOff>
      <xdr:row>36</xdr:row>
      <xdr:rowOff>0</xdr:rowOff>
    </xdr:from>
    <xdr:to>
      <xdr:col>16</xdr:col>
      <xdr:colOff>351610</xdr:colOff>
      <xdr:row>64</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6172200"/>
          <a:ext cx="6523810" cy="4914286"/>
        </a:xfrm>
        <a:prstGeom prst="rect">
          <a:avLst/>
        </a:prstGeom>
      </xdr:spPr>
    </xdr:pic>
    <xdr:clientData/>
  </xdr:twoCellAnchor>
  <xdr:twoCellAnchor editAs="oneCell">
    <xdr:from>
      <xdr:col>1</xdr:col>
      <xdr:colOff>0</xdr:colOff>
      <xdr:row>68</xdr:row>
      <xdr:rowOff>0</xdr:rowOff>
    </xdr:from>
    <xdr:to>
      <xdr:col>17</xdr:col>
      <xdr:colOff>189106</xdr:colOff>
      <xdr:row>96</xdr:row>
      <xdr:rowOff>123210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658600"/>
          <a:ext cx="11161906"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估价对象为北京市房地产，为所有。根据《国有土地使用证》[]，估价对象（分摊）出让国有建设用地使用权面积为0平方米，建筑面积为525.55平方米。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估价对象为北京市房地产,属开发建设的，该项目尚在开发建设中。根据《国有土地使用证》[]，估价对象（分摊）出让国有建设用地使用权面积为0平方米，规划建筑面积为525.55平方米。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1840</v>
      </c>
    </row>
    <row r="21" spans="1:2" s="1203" customFormat="1">
      <c r="A21" s="1201" t="s">
        <v>537</v>
      </c>
      <c r="B21" s="1202">
        <f ca="1">'预评函-2'!D7</f>
        <v>35008</v>
      </c>
    </row>
    <row r="22" spans="1:2" s="1203" customFormat="1">
      <c r="A22" s="1201" t="s">
        <v>538</v>
      </c>
      <c r="B22" s="1202" t="str">
        <f ca="1">'预评函-2'!D6</f>
        <v>壹仟捌佰肆拾万元整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1840</v>
      </c>
    </row>
    <row r="31" spans="1:2" s="1203" customFormat="1">
      <c r="A31" s="1201" t="s">
        <v>576</v>
      </c>
      <c r="B31" s="1202">
        <f ca="1">'预评函-2'!D15</f>
        <v>35008</v>
      </c>
    </row>
    <row r="32" spans="1:2" s="1203" customFormat="1">
      <c r="A32" s="1201" t="s">
        <v>543</v>
      </c>
      <c r="B32" s="1202" t="str">
        <f ca="1">'预评函-2'!D14</f>
        <v>壹仟捌佰肆拾万元整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525.54999999999995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1384</v>
      </c>
    </row>
    <row r="48" spans="1:2" s="1203" customFormat="1">
      <c r="A48" s="1201" t="s">
        <v>549</v>
      </c>
      <c r="B48" s="1202">
        <f ca="1">'预评函-3'!E4</f>
        <v>26326</v>
      </c>
    </row>
    <row r="49" spans="1:2" s="1203" customFormat="1">
      <c r="A49" s="1201" t="s">
        <v>550</v>
      </c>
      <c r="B49" s="1202" t="str">
        <f ca="1">'预评函-3'!D5</f>
        <v>壹仟叁佰捌拾肆万元整</v>
      </c>
    </row>
    <row r="50" spans="1:2" s="1203" customFormat="1">
      <c r="A50" s="1201" t="s">
        <v>574</v>
      </c>
      <c r="B50" s="1202" t="str">
        <f>'预评函-3'!F2</f>
        <v>在建建筑物价值</v>
      </c>
    </row>
    <row r="51" spans="1:2" s="1203" customFormat="1">
      <c r="A51" s="1201" t="s">
        <v>551</v>
      </c>
      <c r="B51" s="1202">
        <f ca="1">'预评函-3'!F4</f>
        <v>456</v>
      </c>
    </row>
    <row r="52" spans="1:2" s="1203" customFormat="1">
      <c r="A52" s="1201" t="s">
        <v>552</v>
      </c>
      <c r="B52" s="1202">
        <f ca="1">'预评函-3'!G4</f>
        <v>8682</v>
      </c>
    </row>
    <row r="53" spans="1:2" s="1203" customFormat="1">
      <c r="A53" s="1201" t="s">
        <v>580</v>
      </c>
      <c r="B53" s="1202" t="str">
        <f ca="1">'预评函-3'!F5</f>
        <v>肆佰伍拾陆万元整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5" sqref="B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45076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3472</v>
      </c>
      <c r="C4" s="2376">
        <f ca="1">SUMIF(注册房地产估价师,B4,估价师及机构信息!B3:B24)</f>
        <v>1120100036</v>
      </c>
      <c r="D4" s="2375" t="s">
        <v>3378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10"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511"/>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525.54999999999995</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525.54999999999995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525.54999999999995</v>
      </c>
      <c r="H5" s="13">
        <f t="shared" ref="H5:AT5" si="0">SUM(H13:H656)</f>
        <v>525.54999999999995</v>
      </c>
      <c r="I5" s="13">
        <f t="shared" si="0"/>
        <v>525.54999999999995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525.54999999999995</v>
      </c>
      <c r="BA5" s="15">
        <f t="shared" si="1"/>
        <v>525.54999999999995</v>
      </c>
      <c r="BB5" s="15">
        <f t="shared" si="1"/>
        <v>525.54999999999995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525.54999999999995</v>
      </c>
      <c r="H13" s="17">
        <f>SUMIF(I$12:AB$12,"总值",I13:AB13)</f>
        <v>525.54999999999995</v>
      </c>
      <c r="I13" s="1626">
        <v>525.54999999999995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525.54999999999995</v>
      </c>
      <c r="BA13" s="13">
        <f>SUM(BB13:BK13)</f>
        <v>525.54999999999995</v>
      </c>
      <c r="BB13" s="13">
        <f>IF($D13="是",I13-J13,0)</f>
        <v>525.54999999999995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525.54999999999995</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525.54999999999995</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525.54999999999995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525.54999999999995</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525.54999999999995</v>
      </c>
      <c r="F19" s="2795">
        <f>'数据-基础表'!I13</f>
        <v>525.54999999999995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525.54999999999995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525.54999999999995</v>
      </c>
      <c r="F27" s="1140">
        <f>IF(SUM(F19:F26)=E8,SUM(F19:F26),"地上面积有误")</f>
        <v>525.54999999999995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525.54999999999995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525.54999999999995</v>
      </c>
      <c r="F31" s="677">
        <f>F27+F30</f>
        <v>525.54999999999995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1" sqref="F31"/>
    </sheetView>
  </sheetViews>
  <sheetFormatPr defaultColWidth="13.75" defaultRowHeight="12.75"/>
  <cols>
    <col min="1" max="1" width="22.6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中海京西荟</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34.5</v>
      </c>
      <c r="G6" s="65">
        <f>IF(ISERROR(ROUND(POWER(1+H6,D6-F6)*(POWER(1+H6,F6)-1)/(POWER(1+H6,D6)-1),3)),0,ROUND(POWER(1+H6,D6-F6)*(POWER(1+H6,F6)-1)/(POWER(1+H6,D6)-1),3))</f>
        <v>0.94899999999999995</v>
      </c>
      <c r="H6" s="732">
        <v>0.05</v>
      </c>
      <c r="I6" s="732">
        <v>5.5E-2</v>
      </c>
      <c r="J6" s="66">
        <v>7.4999999999999997E-2</v>
      </c>
      <c r="K6" s="1030">
        <f>SUMIF('数据-汇总表'!C$19:C$33,A6,'数据-汇总表'!E$19:E$33)</f>
        <v>525.54999999999995</v>
      </c>
      <c r="L6" s="733">
        <v>3500</v>
      </c>
      <c r="M6" s="67">
        <f t="shared" ref="M6:M14" si="0">ROUND(K6*L6/10000,0)</f>
        <v>184</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'比较法-商业 (2)'!C48</f>
        <v>5.6</v>
      </c>
      <c r="V6" s="70">
        <v>2.5000000000000001E-2</v>
      </c>
      <c r="W6" s="70">
        <v>0.1</v>
      </c>
      <c r="X6" s="1040"/>
      <c r="Y6" s="71">
        <f>N6</f>
        <v>0.95</v>
      </c>
      <c r="Z6" s="72"/>
      <c r="AA6" s="66"/>
      <c r="AB6" s="66"/>
      <c r="AC6" s="1040"/>
      <c r="AD6" s="73"/>
      <c r="AE6" s="1041">
        <f ca="1">IF(AN6="",0,SUMIF(INDIRECT("'"&amp;AN6&amp;"'"&amp;"!E:E"),$AE$5,INDIRECT("'"&amp;AN6&amp;"'"&amp;"!F:F")))</f>
        <v>34.5</v>
      </c>
      <c r="AF6" s="1348"/>
      <c r="AG6" s="138">
        <f>IF(AF6="",0,AE6-AF6)</f>
        <v>0</v>
      </c>
      <c r="AH6" s="74"/>
      <c r="AI6" s="76">
        <v>365</v>
      </c>
      <c r="AJ6" s="77"/>
      <c r="AK6" s="78">
        <v>0.01</v>
      </c>
      <c r="AL6" s="79">
        <v>1.5E-3</v>
      </c>
      <c r="AM6" s="80">
        <v>0.01</v>
      </c>
      <c r="AN6" s="1715" t="s">
        <v>3389</v>
      </c>
      <c r="AO6" s="52">
        <f ca="1">SUMIF(INDIRECT("'"&amp;AN6&amp;"'"&amp;"!A:A"),"总价",INDIRECT("'"&amp;AN6&amp;"'"&amp;"!B:B"))</f>
        <v>1618.5746999999999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0.94899999999999995</v>
      </c>
      <c r="H16" s="90">
        <f>ROUND(SUMPRODUCT(H6:H13,K6:K13)/SUMPRODUCT((H6:H13&gt;0)*(K6:K13)),3)</f>
        <v>0.05</v>
      </c>
      <c r="I16" s="91"/>
      <c r="J16" s="91"/>
      <c r="K16" s="92">
        <f>SUM(K6:K15)</f>
        <v>525.54999999999995</v>
      </c>
      <c r="L16" s="93">
        <f>ROUND(M16*10000/SUM(K6:K14),0)</f>
        <v>3501</v>
      </c>
      <c r="M16" s="93">
        <f>SUM(M6:M14)</f>
        <v>184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525.54999999999995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1839.8453999999999</v>
      </c>
      <c r="C5" s="2512">
        <f ca="1">IF(B5=D14,结果表!H102,ROUND(B5*10000/$B$1,0))</f>
        <v>35008</v>
      </c>
      <c r="D5" s="2512" t="e">
        <f ca="1">ROUND(B5*10000/$B$2,0)</f>
        <v>#DIV/0!</v>
      </c>
      <c r="E5" s="2686"/>
      <c r="F5" s="2687"/>
      <c r="G5" s="2687"/>
      <c r="H5" s="2688"/>
      <c r="I5" s="2688"/>
      <c r="J5" s="2688"/>
      <c r="K5" s="2688"/>
    </row>
    <row r="6" spans="1:11" ht="16.5">
      <c r="A6" s="2512" t="s">
        <v>656</v>
      </c>
      <c r="B6" s="2512">
        <f ca="1">SUM(G14:G23)</f>
        <v>1839.8453999999999</v>
      </c>
      <c r="C6" s="2512">
        <f ca="1">IF(B6=G14,结果表!H108,ROUND(B6*10000/$B$1,0))</f>
        <v>35008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525.54999999999995</v>
      </c>
      <c r="C14" s="2518"/>
      <c r="D14" s="2518">
        <f ca="1">ROUND(B14*E14/10000,4)</f>
        <v>1839.8453999999999</v>
      </c>
      <c r="E14" s="2518">
        <f ca="1">结果表!G20</f>
        <v>35008</v>
      </c>
      <c r="F14" s="2518" t="e">
        <f ca="1">ROUND(D14*10000/C14,0)</f>
        <v>#DIV/0!</v>
      </c>
      <c r="G14" s="2518">
        <f ca="1">D14</f>
        <v>1839.8453999999999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3459</v>
      </c>
      <c r="D4" s="1756" t="s">
        <v>3389</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5</v>
      </c>
      <c r="D14" s="3615">
        <v>5</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6" t="s">
        <v>2131</v>
      </c>
      <c r="F18" s="3647"/>
      <c r="G18" s="3647"/>
      <c r="H18" s="3647"/>
      <c r="I18" s="3647"/>
      <c r="K18" s="302" t="s">
        <v>1289</v>
      </c>
      <c r="L18" s="302">
        <f>IF(C1="",'数据-汇总表'!E3,SUMIF(项目类型,C1,'数据-汇总表'!E17:E26)+SUMIF(项目类型,C1,'数据-汇总表'!I17:I26))</f>
        <v>525.54999999999995</v>
      </c>
      <c r="M18" s="302">
        <f>IF(C1="",'数据-汇总表'!E3,SUMIF(项目类型,C1,'数据-汇总表'!E17:E26))</f>
        <v>525.54999999999995</v>
      </c>
    </row>
    <row r="19" spans="1:36" ht="15">
      <c r="A19" s="1761" t="s">
        <v>1290</v>
      </c>
      <c r="B19" s="1762" t="s">
        <v>1291</v>
      </c>
      <c r="C19" s="134">
        <f ca="1">SUMIF(INDIRECT("'"&amp;C4&amp;"'"&amp;"!A:A"),结果表!B19,INDIRECT("'"&amp;C4&amp;"'"&amp;"!B:B"))</f>
        <v>2061.1019999999999</v>
      </c>
      <c r="D19" s="135">
        <f ca="1">SUMIF(INDIRECT("'"&amp;D4&amp;"'"&amp;"!A:A"),结果表!B19,INDIRECT("'"&amp;D4&amp;"'"&amp;"!B:B"))</f>
        <v>1618.5746999999999</v>
      </c>
      <c r="E19" s="1761" t="s">
        <v>1292</v>
      </c>
      <c r="F19" s="1762" t="s">
        <v>1291</v>
      </c>
      <c r="G19" s="136">
        <f ca="1">ROUND(C19*$C$18+D19*$D$18,0)</f>
        <v>1840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39218</v>
      </c>
      <c r="D20" s="138">
        <f ca="1">SUMIF(INDIRECT("'"&amp;D4&amp;"'"&amp;"!A:A"),结果表!B20,INDIRECT("'"&amp;D4&amp;"'"&amp;"!B:B"))</f>
        <v>30798</v>
      </c>
      <c r="E20" s="1764"/>
      <c r="F20" s="1026" t="s">
        <v>1295</v>
      </c>
      <c r="G20" s="139">
        <f ca="1">ROUND(C20*$C$18+D20*$D$18,0)</f>
        <v>35008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0.27340554625004332</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35008</v>
      </c>
      <c r="D32" s="1775" t="s">
        <v>3461</v>
      </c>
      <c r="E32" s="129"/>
      <c r="F32" s="129"/>
      <c r="G32" s="129"/>
      <c r="H32" s="129"/>
      <c r="I32" s="129"/>
    </row>
    <row r="33" spans="1:15" ht="15">
      <c r="A33" s="786" t="s">
        <v>1306</v>
      </c>
      <c r="B33" s="1776"/>
      <c r="C33" s="1777" t="s">
        <v>3462</v>
      </c>
      <c r="D33" s="1778" t="s">
        <v>3389</v>
      </c>
      <c r="E33" s="1779" t="s">
        <v>1307</v>
      </c>
      <c r="F33" s="1780" t="str">
        <f>IF(D32="楼面单价","取值（单价）","取值（总价）")</f>
        <v>取值（单价）</v>
      </c>
      <c r="G33" s="129"/>
      <c r="H33" s="129"/>
      <c r="I33" s="129"/>
    </row>
    <row r="34" spans="1:15" ht="15">
      <c r="A34" s="1781"/>
      <c r="B34" s="1782" t="s">
        <v>1308</v>
      </c>
      <c r="C34" s="148">
        <f ca="1">IF(C33="自定义",F34,C32-C35)</f>
        <v>26326</v>
      </c>
      <c r="D34" s="861">
        <f ca="1">IF(C33="自定义",ROUND(C34/C32,3),IF(C33="收益比率",SUMIF(INDIRECT("'"&amp;D33&amp;"'"&amp;"!b:b"),"土地收益比率",INDIRECT("'"&amp;D33&amp;"'"&amp;"!c:c")),SUMIF(INDIRECT("'"&amp;D33&amp;"'"&amp;"!b:b"),"土地成本比率",INDIRECT("'"&amp;D33&amp;"'"&amp;"!c:c"))))</f>
        <v>0.752</v>
      </c>
      <c r="E34" s="1783" t="s">
        <v>1309</v>
      </c>
      <c r="F34" s="1330"/>
      <c r="G34" s="129"/>
      <c r="H34" s="129"/>
      <c r="I34" s="129"/>
    </row>
    <row r="35" spans="1:15" ht="15.75" thickBot="1">
      <c r="A35" s="1784"/>
      <c r="B35" s="1785" t="s">
        <v>1310</v>
      </c>
      <c r="C35" s="1170">
        <f ca="1">IF(C33="自定义",F35,ROUND(C32*D35,0))</f>
        <v>8682</v>
      </c>
      <c r="D35" s="1171">
        <f ca="1">IF(C33="自定义",ROUND(C35/C32,3),IF(C33="收益比率",SUMIF(INDIRECT("'"&amp;D33&amp;"'"&amp;"!b:b"),"建筑物收益比率",INDIRECT("'"&amp;D33&amp;"'"&amp;"!c:c")),SUMIF(INDIRECT("'"&amp;D33&amp;"'"&amp;"!b:b"),"建筑物成本比率",INDIRECT("'"&amp;D33&amp;"'"&amp;"!c:c"))))</f>
        <v>0.248</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1840</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45076</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7" t="s">
        <v>1340</v>
      </c>
      <c r="L48" s="3557"/>
      <c r="M48" s="3560">
        <f ca="1">H101</f>
        <v>1840</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房地产抵押价值</v>
      </c>
      <c r="L49" s="3557"/>
      <c r="M49" s="3560">
        <f ca="1">IF(项目基本情况!E8="房地产抵押价值",H107,H109)</f>
        <v>1840</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f ca="1">ROUND(D45*'数据-取费表'!B41/(1+'数据-取费表'!C42),0)</f>
        <v>96</v>
      </c>
      <c r="E52" s="2334" t="s">
        <v>1354</v>
      </c>
      <c r="F52" s="2554">
        <f>'数据-取费表'!B41</f>
        <v>5.5000000000000007E-2</v>
      </c>
      <c r="G52" s="2555"/>
      <c r="H52" s="2544"/>
      <c r="I52" s="1807"/>
      <c r="J52" s="2523">
        <v>1</v>
      </c>
      <c r="K52" s="3582" t="s">
        <v>1355</v>
      </c>
      <c r="L52" s="3582"/>
      <c r="M52" s="2525" t="b">
        <f>D48</f>
        <v>0</v>
      </c>
      <c r="N52" s="2523" t="str">
        <f>E48</f>
        <v>销售额×税（费）率</v>
      </c>
      <c r="O52" s="2526">
        <f>F48</f>
        <v>5.5000000000000007E-2</v>
      </c>
    </row>
    <row r="53" spans="1:35" ht="12" customHeight="1">
      <c r="A53" s="2335" t="s">
        <v>1356</v>
      </c>
      <c r="B53" s="3606" t="s">
        <v>2291</v>
      </c>
      <c r="C53" s="3607"/>
      <c r="D53" s="1087">
        <f ca="1">ROUND(D45*'数据-取费表'!B41/(1+'数据-取费表'!C42),0)</f>
        <v>96</v>
      </c>
      <c r="E53" s="2334" t="s">
        <v>1354</v>
      </c>
      <c r="F53" s="2554">
        <f>'数据-取费表'!B41</f>
        <v>5.5000000000000007E-2</v>
      </c>
      <c r="G53" s="2555"/>
      <c r="H53" s="2544"/>
      <c r="I53" s="1807"/>
      <c r="J53" s="2523">
        <v>2</v>
      </c>
      <c r="K53" s="3582" t="s">
        <v>1357</v>
      </c>
      <c r="L53" s="3582"/>
      <c r="M53" s="2525">
        <f t="shared" ref="M53:O54" ca="1" si="0">D55</f>
        <v>1</v>
      </c>
      <c r="N53" s="2523" t="str">
        <f t="shared" si="0"/>
        <v>销售额×税（费）率</v>
      </c>
      <c r="O53" s="2526" t="str">
        <f t="shared" si="0"/>
        <v>免征</v>
      </c>
    </row>
    <row r="54" spans="1:35" ht="12" customHeight="1">
      <c r="A54" s="2335" t="s">
        <v>1358</v>
      </c>
      <c r="B54" s="3606" t="s">
        <v>2292</v>
      </c>
      <c r="C54" s="3607"/>
      <c r="D54" s="1087">
        <f ca="1">C68</f>
        <v>96</v>
      </c>
      <c r="E54" s="327" t="s">
        <v>1359</v>
      </c>
      <c r="F54" s="2554">
        <f>'数据-取费表'!B41</f>
        <v>5.5000000000000007E-2</v>
      </c>
      <c r="G54" s="2555"/>
      <c r="H54" s="2556"/>
      <c r="I54" s="1807"/>
      <c r="J54" s="2523">
        <v>3</v>
      </c>
      <c r="K54" s="3582" t="s">
        <v>1360</v>
      </c>
      <c r="L54" s="3582"/>
      <c r="M54" s="2525">
        <f t="shared" ca="1" si="0"/>
        <v>1043</v>
      </c>
      <c r="N54" s="2523" t="str">
        <f t="shared" si="0"/>
        <v>增值额×税（费）率</v>
      </c>
      <c r="O54" s="2527" t="str">
        <f t="shared" si="0"/>
        <v>免征</v>
      </c>
    </row>
    <row r="55" spans="1:35" ht="24" customHeight="1">
      <c r="A55" s="3642" t="s">
        <v>1361</v>
      </c>
      <c r="B55" s="3620"/>
      <c r="C55" s="3620"/>
      <c r="D55" s="2324">
        <f ca="1">IF(H55="个人住宅",0,ROUND(D45*I55,0))</f>
        <v>1</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f ca="1">D59</f>
        <v>18</v>
      </c>
      <c r="N55" s="2040" t="str">
        <f>E59</f>
        <v>差额计税</v>
      </c>
      <c r="O55" s="2529">
        <f>F59</f>
        <v>0.01</v>
      </c>
    </row>
    <row r="56" spans="1:35" ht="24.75">
      <c r="A56" s="3642" t="s">
        <v>1363</v>
      </c>
      <c r="B56" s="3620"/>
      <c r="C56" s="3620"/>
      <c r="D56" s="2324">
        <f ca="1">IF(H56="个人住宅",D57,D58)</f>
        <v>1043</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1062</v>
      </c>
      <c r="O57" s="2533"/>
      <c r="P57" s="2690">
        <f ca="1">N57/M49</f>
        <v>0.57717391304347831</v>
      </c>
    </row>
    <row r="58" spans="1:35" ht="24.75">
      <c r="A58" s="2335" t="s">
        <v>1352</v>
      </c>
      <c r="B58" s="3606" t="s">
        <v>1369</v>
      </c>
      <c r="C58" s="3605"/>
      <c r="D58" s="2324">
        <f ca="1">IF(H58="转让取得",C81,C97)</f>
        <v>1043</v>
      </c>
      <c r="E58" s="2334" t="s">
        <v>1364</v>
      </c>
      <c r="F58" s="302" t="s">
        <v>28</v>
      </c>
      <c r="G58" s="2555"/>
      <c r="H58" s="2558"/>
      <c r="I58" s="1808"/>
      <c r="J58" s="3582"/>
      <c r="K58" s="3582"/>
      <c r="L58" s="2530" t="s">
        <v>1370</v>
      </c>
      <c r="M58" s="2534"/>
      <c r="N58" s="2535" t="str">
        <f ca="1">NUMBERSTRING(INT(N57*10000),2)&amp;"元整"</f>
        <v>壹仟零陆拾贰万元整</v>
      </c>
      <c r="O58" s="2536"/>
    </row>
    <row r="59" spans="1:35" ht="24.75" thickBot="1">
      <c r="A59" s="3586" t="s">
        <v>1371</v>
      </c>
      <c r="B59" s="3587"/>
      <c r="C59" s="3587"/>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f ca="1">M49-N57</f>
        <v>778</v>
      </c>
      <c r="O59" s="2539"/>
    </row>
    <row r="60" spans="1:35" ht="12" customHeight="1">
      <c r="A60" s="1809"/>
      <c r="B60" s="1747"/>
      <c r="C60" s="1747"/>
      <c r="D60" s="1747"/>
      <c r="E60" s="1578"/>
      <c r="F60" s="1808"/>
      <c r="G60" s="1808"/>
      <c r="H60" s="1810"/>
      <c r="I60" s="129"/>
      <c r="J60" s="3585"/>
      <c r="K60" s="3582"/>
      <c r="L60" s="2530" t="s">
        <v>1370</v>
      </c>
      <c r="M60" s="2534"/>
      <c r="N60" s="2535" t="str">
        <f ca="1">NUMBERSTRING(INT(N59*10000),2)&amp;"元整"</f>
        <v>柒佰柒拾捌万元整</v>
      </c>
      <c r="O60" s="2536"/>
    </row>
    <row r="61" spans="1:35" ht="13.5" thickBot="1">
      <c r="A61" s="3641" t="s">
        <v>1373</v>
      </c>
      <c r="B61" s="3641"/>
      <c r="C61" s="3641"/>
      <c r="D61" s="3641"/>
      <c r="E61" s="3641"/>
      <c r="F61" s="1808"/>
      <c r="G61" s="1808"/>
      <c r="H61" s="1810"/>
      <c r="I61" s="129"/>
      <c r="J61" s="2523">
        <f>J59+1</f>
        <v>7</v>
      </c>
      <c r="K61" s="3582" t="s">
        <v>1374</v>
      </c>
      <c r="L61" s="3582"/>
      <c r="M61" s="2540"/>
      <c r="N61" s="2541">
        <f ca="1">ROUND(N59*10000/'数据-汇总表'!E3,0)</f>
        <v>14804</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1752</v>
      </c>
      <c r="D63" s="167"/>
      <c r="E63" s="168"/>
      <c r="F63" s="1808"/>
      <c r="G63" s="1808"/>
      <c r="H63" s="1810"/>
      <c r="I63" s="129"/>
      <c r="J63" s="3565" t="s">
        <v>1379</v>
      </c>
      <c r="K63" s="1332" t="s">
        <v>1380</v>
      </c>
      <c r="L63" s="1332">
        <f ca="1">IF(M49&gt;10000,M49*0.5%,IF(AND(M49&gt;1000,M49&lt;=10000),M49*1%,IF(AND(M49&gt;100,M49&lt;=1000),M49*3%,IF(AND(M49&gt;10,M49&lt;=100),M49*5%,M49*8%))))</f>
        <v>18.400000000000002</v>
      </c>
      <c r="M63" s="302">
        <f ca="1">ROUND(L63,1)</f>
        <v>18.399999999999999</v>
      </c>
      <c r="N63" s="2543"/>
      <c r="Z63" s="1752"/>
      <c r="AI63" s="1753"/>
    </row>
    <row r="64" spans="1:35" ht="14.25" customHeight="1">
      <c r="A64" s="169" t="s">
        <v>325</v>
      </c>
      <c r="B64" s="170" t="s">
        <v>1381</v>
      </c>
      <c r="C64" s="2565">
        <f ca="1">D45</f>
        <v>1840</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11.040000000000001</v>
      </c>
      <c r="M64" s="302">
        <f t="shared" ref="M64:M65" ca="1" si="1">ROUND(L64,1)</f>
        <v>11</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f ca="1">IF(M49&gt;1000,M49*0.1%,IF(AND(M49&gt;500,M49&lt;=1000),M49*0.5%,IF(AND(M49&gt;50,M49&lt;=500),M49*1%,IF(AND(M49&gt;1,M49&lt;=50),M49*1.5%))))</f>
        <v>1.84</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f ca="1">M49*0.5%</f>
        <v>9.2000000000000011</v>
      </c>
      <c r="M66" s="302">
        <f ca="1">IF(L66&gt;0.5,0.5,ROUND(L66,0))</f>
        <v>0.5</v>
      </c>
      <c r="N66" s="2544" t="s">
        <v>1388</v>
      </c>
      <c r="Z66" s="1752"/>
      <c r="AI66" s="1753"/>
    </row>
    <row r="67" spans="1:35" ht="14.25" customHeight="1">
      <c r="A67" s="173" t="s">
        <v>328</v>
      </c>
      <c r="B67" s="174" t="s">
        <v>1389</v>
      </c>
      <c r="C67" s="2568">
        <f ca="1">C63-C66</f>
        <v>1752</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4.01</v>
      </c>
      <c r="M67" s="302">
        <f ca="1">ROUND(L67*0.9,1)</f>
        <v>3.6</v>
      </c>
      <c r="N67" s="2543"/>
      <c r="Z67" s="1752"/>
      <c r="AI67" s="1753"/>
    </row>
    <row r="68" spans="1:35" ht="14.25" customHeight="1" thickBot="1">
      <c r="A68" s="176" t="s">
        <v>329</v>
      </c>
      <c r="B68" s="177" t="s">
        <v>1391</v>
      </c>
      <c r="C68" s="2569">
        <f ca="1">IF(C67&lt;=0,0,ROUND(C67*D68,0))</f>
        <v>96</v>
      </c>
      <c r="D68" s="2570">
        <f>'数据-取费表'!B41</f>
        <v>5.5000000000000007E-2</v>
      </c>
      <c r="E68" s="178"/>
      <c r="F68" s="1808"/>
      <c r="G68" s="1808"/>
      <c r="H68" s="1810"/>
      <c r="I68" s="129"/>
      <c r="J68" s="3565"/>
      <c r="K68" s="1332" t="s">
        <v>1392</v>
      </c>
      <c r="L68" s="1332">
        <f ca="1">IF(M49&gt;10000,M49*0.5%,IF(AND(M49&gt;5000,M49&lt;=10000),M49*1%,IF(AND(M49&gt;1000,M49&lt;=5000),M49*2%,IF(AND(M49&gt;200,M49&lt;=1000),M49*3%,M49*5%))))</f>
        <v>36.800000000000004</v>
      </c>
      <c r="M68" s="302">
        <f ca="1">ROUND(L68,1)</f>
        <v>36.799999999999997</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72</v>
      </c>
      <c r="N69" s="2545">
        <f ca="1">M69/M49</f>
        <v>3.9130434782608699E-2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1752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1043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1043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比较法-商业</v>
      </c>
      <c r="D101" s="2586" t="str">
        <f>D4</f>
        <v>收益法 (元)</v>
      </c>
      <c r="E101" s="3561" t="s">
        <v>1431</v>
      </c>
      <c r="F101" s="3562"/>
      <c r="G101" s="1827" t="s">
        <v>1432</v>
      </c>
      <c r="H101" s="2595">
        <f ca="1">H118</f>
        <v>1840</v>
      </c>
      <c r="I101" s="129"/>
    </row>
    <row r="102" spans="1:35" ht="18.75" customHeight="1">
      <c r="A102" s="3593" t="s">
        <v>1433</v>
      </c>
      <c r="B102" s="2584" t="s">
        <v>1432</v>
      </c>
      <c r="C102" s="2585">
        <f ca="1">IF(D32="楼面单价",ROUND(C19,0),C19)</f>
        <v>2061</v>
      </c>
      <c r="D102" s="2586">
        <f ca="1">IF(D32="楼面单价",ROUND(D19,0),D19)</f>
        <v>1619</v>
      </c>
      <c r="E102" s="3561"/>
      <c r="F102" s="3562"/>
      <c r="G102" s="1827" t="s">
        <v>1434</v>
      </c>
      <c r="H102" s="2555">
        <f ca="1">I118</f>
        <v>35008</v>
      </c>
      <c r="I102" s="129"/>
    </row>
    <row r="103" spans="1:35" ht="42.75" customHeight="1">
      <c r="A103" s="3593"/>
      <c r="B103" s="2584" t="s">
        <v>1434</v>
      </c>
      <c r="C103" s="2587">
        <f ca="1">C20</f>
        <v>39218</v>
      </c>
      <c r="D103" s="2588">
        <f ca="1">D20</f>
        <v>30798</v>
      </c>
      <c r="E103" s="3554" t="s">
        <v>1435</v>
      </c>
      <c r="F103" s="3555"/>
      <c r="G103" s="1828" t="s">
        <v>1436</v>
      </c>
      <c r="H103" s="2595">
        <f>IF(D36="正常操作",H104+H105+H106,H105+H106)</f>
        <v>0</v>
      </c>
      <c r="I103" s="129"/>
    </row>
    <row r="104" spans="1:35" ht="18.75" customHeight="1">
      <c r="A104" s="3593" t="s">
        <v>1437</v>
      </c>
      <c r="B104" s="2589" t="s">
        <v>1432</v>
      </c>
      <c r="C104" s="2590">
        <f ca="1">H118</f>
        <v>1840</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35008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f ca="1">IF(E107="——","——",H101-H103)</f>
        <v>1840</v>
      </c>
      <c r="I107" s="129"/>
    </row>
    <row r="108" spans="1:35" ht="18.75" customHeight="1">
      <c r="A108" s="129"/>
      <c r="B108" s="129"/>
      <c r="C108" s="129"/>
      <c r="D108" s="129"/>
      <c r="E108" s="3594"/>
      <c r="F108" s="3562"/>
      <c r="G108" s="1827" t="s">
        <v>1434</v>
      </c>
      <c r="H108" s="2555">
        <f ca="1">IF(H107=H101,H102,ROUND(H107*10000/'数据-汇总表'!E3,0))</f>
        <v>35008</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525.54999999999995</v>
      </c>
      <c r="C118" s="2329">
        <f>M19</f>
        <v>0</v>
      </c>
      <c r="D118" s="2329">
        <f ca="1">ROUND(IF(D32="总价",C34,E118*B118/10000),0)</f>
        <v>1384</v>
      </c>
      <c r="E118" s="2329">
        <f ca="1">ROUND(IF(C33="自定义",IF(D32="楼面单价",C34,D118*10000/B118),I118-G118),0)</f>
        <v>26326</v>
      </c>
      <c r="F118" s="2329">
        <f ca="1">ROUND(IF(D32="总价",C35,G118*B118/10000),0)</f>
        <v>456</v>
      </c>
      <c r="G118" s="2329">
        <f ca="1">ROUND(IF(D32="楼面单价",C35,F118*10000/B118),0)</f>
        <v>8682</v>
      </c>
      <c r="H118" s="2329">
        <f ca="1">ROUND(IF(D32="总价",C32,I118*B118/10000),0)</f>
        <v>1840</v>
      </c>
      <c r="I118" s="2329">
        <f ca="1">ROUND(IF(D32="楼面单价",C32,H118*10000/B118),0)</f>
        <v>35008</v>
      </c>
    </row>
    <row r="119" spans="1:27" ht="18.75" customHeight="1">
      <c r="A119" s="3569" t="s">
        <v>1452</v>
      </c>
      <c r="B119" s="3569"/>
      <c r="C119" s="3569"/>
      <c r="D119" s="3575" t="str">
        <f ca="1">NUMBERSTRING(INT(D118*10000),2)&amp;"元整"</f>
        <v>壹仟叁佰捌拾肆万元整</v>
      </c>
      <c r="E119" s="3576"/>
      <c r="F119" s="3575" t="str">
        <f ca="1">NUMBERSTRING(INT(F118*10000),2)&amp;"元整"</f>
        <v>肆佰伍拾陆万元整</v>
      </c>
      <c r="G119" s="3576"/>
      <c r="H119" s="3575" t="str">
        <f ca="1">NUMBERSTRING(INT(H118*10000),2)&amp;"元整"</f>
        <v>壹仟捌佰肆拾万元整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1840</v>
      </c>
      <c r="E122" s="3571"/>
      <c r="F122" s="3571"/>
      <c r="G122" s="3571"/>
      <c r="H122" s="3571"/>
      <c r="I122" s="3572"/>
      <c r="AA122" s="725"/>
    </row>
    <row r="123" spans="1:27" ht="18.75" customHeight="1">
      <c r="A123" s="3569" t="s">
        <v>1452</v>
      </c>
      <c r="B123" s="3569"/>
      <c r="C123" s="3569"/>
      <c r="D123" s="3575" t="str">
        <f ca="1">NUMBERSTRING(INT(D122*10000),2)&amp;"元整"</f>
        <v>壹仟捌佰肆拾万元整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525.54999999999995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525.54999999999995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184</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525.54999999999995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80" t="s">
        <v>346</v>
      </c>
      <c r="B46" s="248" t="s">
        <v>1549</v>
      </c>
      <c r="C46" s="249">
        <f ca="1">ROUND((C33+C39)*F27,0)</f>
        <v>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254</v>
      </c>
      <c r="D51" s="232"/>
      <c r="E51" s="232"/>
      <c r="F51" s="264"/>
      <c r="G51" s="234" t="s">
        <v>1560</v>
      </c>
    </row>
    <row r="52" spans="1:7" s="208" customFormat="1" ht="16.5" thickBot="1">
      <c r="A52" s="265" t="s">
        <v>1561</v>
      </c>
      <c r="B52" s="266"/>
      <c r="C52" s="267">
        <f ca="1">C31+C51</f>
        <v>269</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O49" sqref="O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2061.1019999999999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39218</v>
      </c>
      <c r="C3" s="354" t="s">
        <v>1768</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4" t="s">
        <v>1772</v>
      </c>
      <c r="AC4" s="3651" t="s">
        <v>1773</v>
      </c>
    </row>
    <row r="5" spans="1:29" ht="15">
      <c r="A5" s="358"/>
      <c r="B5" s="359"/>
      <c r="C5" s="3663" t="s">
        <v>1673</v>
      </c>
      <c r="D5" s="3664"/>
      <c r="E5" s="3661" t="s">
        <v>3453</v>
      </c>
      <c r="F5" s="3662"/>
      <c r="G5" s="3667" t="s">
        <v>3481</v>
      </c>
      <c r="H5" s="3664"/>
      <c r="I5" s="3667" t="s">
        <v>3457</v>
      </c>
      <c r="J5" s="3664"/>
      <c r="K5" s="559"/>
      <c r="L5" s="2715"/>
      <c r="M5" s="2716"/>
      <c r="N5" s="2716"/>
      <c r="O5" s="2716"/>
      <c r="P5" s="3677"/>
      <c r="Q5" s="3678"/>
      <c r="R5" s="3659"/>
      <c r="S5" s="3660"/>
      <c r="T5" s="3659"/>
      <c r="U5" s="3660"/>
      <c r="V5" s="3654"/>
      <c r="W5" s="3654"/>
      <c r="X5" s="1355"/>
      <c r="Y5" s="3659"/>
      <c r="Z5" s="3660"/>
      <c r="AA5" s="3652"/>
      <c r="AB5" s="3654"/>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4"/>
      <c r="AC6" s="3653"/>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55" t="s">
        <v>1680</v>
      </c>
      <c r="Q7" s="3683"/>
      <c r="R7" s="701" t="s">
        <v>14</v>
      </c>
      <c r="S7" s="702">
        <f t="shared" ref="S7:S15" si="0">F7</f>
        <v>100</v>
      </c>
      <c r="T7" s="701" t="s">
        <v>14</v>
      </c>
      <c r="U7" s="702">
        <f t="shared" ref="U7:U15" si="1">H7</f>
        <v>100</v>
      </c>
      <c r="V7" s="701" t="s">
        <v>14</v>
      </c>
      <c r="W7" s="702">
        <f t="shared" ref="W7:W15" si="2">J7</f>
        <v>100</v>
      </c>
      <c r="X7" s="703"/>
      <c r="Y7" s="3655" t="s">
        <v>1680</v>
      </c>
      <c r="Z7" s="3656"/>
      <c r="AA7" s="704">
        <f>D7/F7</f>
        <v>1</v>
      </c>
      <c r="AB7" s="704">
        <f>D7/H7</f>
        <v>1</v>
      </c>
      <c r="AC7" s="704">
        <f>D7/J7</f>
        <v>1</v>
      </c>
    </row>
    <row r="8" spans="1:29" s="108" customFormat="1" ht="15.75" thickBot="1">
      <c r="A8" s="362" t="s">
        <v>1681</v>
      </c>
      <c r="B8" s="363"/>
      <c r="C8" s="368" t="s">
        <v>3408</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55" t="s">
        <v>1683</v>
      </c>
      <c r="Q8" s="3656"/>
      <c r="R8" s="701" t="s">
        <v>14</v>
      </c>
      <c r="S8" s="702">
        <f t="shared" si="0"/>
        <v>102</v>
      </c>
      <c r="T8" s="701" t="s">
        <v>14</v>
      </c>
      <c r="U8" s="702">
        <f t="shared" si="1"/>
        <v>102</v>
      </c>
      <c r="V8" s="701" t="s">
        <v>14</v>
      </c>
      <c r="W8" s="702">
        <f t="shared" si="2"/>
        <v>102</v>
      </c>
      <c r="X8" s="703"/>
      <c r="Y8" s="3655" t="s">
        <v>1683</v>
      </c>
      <c r="Z8" s="3656"/>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3454</v>
      </c>
      <c r="F10" s="376">
        <f>SUMIF(65:65,E10,66:66)-SUMIF(65:65,C10,66:66)+100</f>
        <v>94</v>
      </c>
      <c r="G10" s="3434" t="s">
        <v>3460</v>
      </c>
      <c r="H10" s="127">
        <f>SUMIF(65:65,G10,66:66)-SUMIF(65:65,C10,66:66)+100</f>
        <v>98</v>
      </c>
      <c r="I10" s="3434" t="s">
        <v>3458</v>
      </c>
      <c r="J10" s="127">
        <f>SUMIF(65:65,I10,66:66)-SUMIF(65:65,C10,66:66)+100</f>
        <v>98</v>
      </c>
      <c r="K10" s="560"/>
      <c r="L10" s="2719"/>
      <c r="M10" s="2720"/>
      <c r="N10" s="2720"/>
      <c r="O10" s="2720"/>
      <c r="P10" s="3670"/>
      <c r="Q10" s="1343" t="str">
        <f t="shared" si="6"/>
        <v>土地使用年限（年）</v>
      </c>
      <c r="R10" s="701" t="s">
        <v>14</v>
      </c>
      <c r="S10" s="702">
        <f t="shared" si="0"/>
        <v>94</v>
      </c>
      <c r="T10" s="701" t="s">
        <v>14</v>
      </c>
      <c r="U10" s="702">
        <f t="shared" si="1"/>
        <v>98</v>
      </c>
      <c r="V10" s="701" t="s">
        <v>14</v>
      </c>
      <c r="W10" s="702">
        <f t="shared" si="2"/>
        <v>98</v>
      </c>
      <c r="X10" s="703"/>
      <c r="Y10" s="3624"/>
      <c r="Z10" s="52" t="str">
        <f t="shared" si="7"/>
        <v>土地使用年限（年）</v>
      </c>
      <c r="AA10" s="704">
        <f t="shared" si="3"/>
        <v>1.0638297872340425</v>
      </c>
      <c r="AB10" s="704">
        <f t="shared" si="4"/>
        <v>1.0204081632653061</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0"/>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97</v>
      </c>
      <c r="G15" s="395"/>
      <c r="H15" s="392">
        <f>SUMIF(76:76,G16,77:77)-SUMIF(76:76,C16,77:77)+100</f>
        <v>100</v>
      </c>
      <c r="I15" s="393"/>
      <c r="J15" s="392">
        <f>SUMIF(76:76,I16,77:77)-SUMIF(76:76,C16,77:77)+100</f>
        <v>100</v>
      </c>
      <c r="K15" s="563">
        <v>3</v>
      </c>
      <c r="L15" s="2722"/>
      <c r="M15" s="2716"/>
      <c r="N15" s="2716"/>
      <c r="O15" s="2716"/>
      <c r="P15" s="3684" t="s">
        <v>1691</v>
      </c>
      <c r="Q15" s="1352" t="str">
        <f t="shared" si="6"/>
        <v>商业繁华度</v>
      </c>
      <c r="R15" s="705" t="s">
        <v>14</v>
      </c>
      <c r="S15" s="706">
        <f t="shared" si="0"/>
        <v>97</v>
      </c>
      <c r="T15" s="705" t="s">
        <v>14</v>
      </c>
      <c r="U15" s="706">
        <f t="shared" si="1"/>
        <v>100</v>
      </c>
      <c r="V15" s="705" t="s">
        <v>14</v>
      </c>
      <c r="W15" s="706">
        <f t="shared" si="2"/>
        <v>100</v>
      </c>
      <c r="X15" s="1355"/>
      <c r="Y15" s="3686" t="s">
        <v>1691</v>
      </c>
      <c r="Z15" s="1356" t="str">
        <f t="shared" si="7"/>
        <v>商业繁华度</v>
      </c>
      <c r="AA15" s="1353">
        <f t="shared" si="3"/>
        <v>1.0309278350515463</v>
      </c>
      <c r="AB15" s="1353">
        <f t="shared" si="4"/>
        <v>1</v>
      </c>
      <c r="AC15" s="1353">
        <f t="shared" si="5"/>
        <v>1</v>
      </c>
    </row>
    <row r="16" spans="1:29" ht="15">
      <c r="A16" s="379"/>
      <c r="B16" s="397"/>
      <c r="C16" s="398" t="s">
        <v>3401</v>
      </c>
      <c r="D16" s="399"/>
      <c r="E16" s="398" t="s">
        <v>3402</v>
      </c>
      <c r="F16" s="400"/>
      <c r="G16" s="398" t="s">
        <v>3401</v>
      </c>
      <c r="H16" s="401"/>
      <c r="I16" s="398" t="s">
        <v>3401</v>
      </c>
      <c r="J16" s="399"/>
      <c r="K16" s="564"/>
      <c r="L16" s="2722"/>
      <c r="M16" s="2716"/>
      <c r="N16" s="2716"/>
      <c r="O16" s="2716"/>
      <c r="P16" s="3685"/>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85"/>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5"/>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1780</v>
      </c>
      <c r="C25" s="565" t="s">
        <v>3479</v>
      </c>
      <c r="D25" s="386">
        <v>100</v>
      </c>
      <c r="E25" s="565" t="s">
        <v>3480</v>
      </c>
      <c r="F25" s="412">
        <f>SUMIF(86:86,E25,87:87)-SUMIF(86:86,C25,87:87)+100</f>
        <v>97</v>
      </c>
      <c r="G25" s="565" t="s">
        <v>3480</v>
      </c>
      <c r="H25" s="386">
        <f>SUMIF(86:86,G25,87:87)-SUMIF(86:86,C25,87:87)+100</f>
        <v>97</v>
      </c>
      <c r="I25" s="565" t="s">
        <v>3480</v>
      </c>
      <c r="J25" s="386">
        <f>SUMIF(86:86,I25,87:87)-SUMIF(86:86,C25,87:87)+100</f>
        <v>97</v>
      </c>
      <c r="K25" s="561">
        <v>3</v>
      </c>
      <c r="L25" s="2722"/>
      <c r="M25" s="2716"/>
      <c r="N25" s="2716"/>
      <c r="O25" s="2716"/>
      <c r="P25" s="3685"/>
      <c r="Q25" s="1352" t="str">
        <f t="shared" ref="Q25:Q46" si="11">B25</f>
        <v>临街状况</v>
      </c>
      <c r="R25" s="705" t="s">
        <v>14</v>
      </c>
      <c r="S25" s="706">
        <f>F25</f>
        <v>97</v>
      </c>
      <c r="T25" s="705" t="s">
        <v>14</v>
      </c>
      <c r="U25" s="706">
        <f>H25</f>
        <v>97</v>
      </c>
      <c r="V25" s="705" t="s">
        <v>14</v>
      </c>
      <c r="W25" s="706">
        <f>J25</f>
        <v>97</v>
      </c>
      <c r="X25" s="1355"/>
      <c r="Y25" s="3687"/>
      <c r="Z25" s="1356" t="str">
        <f>Q25</f>
        <v>临街状况</v>
      </c>
      <c r="AA25" s="1353">
        <f t="shared" si="3"/>
        <v>1.0309278350515463</v>
      </c>
      <c r="AB25" s="1353">
        <f t="shared" si="4"/>
        <v>1.0309278350515463</v>
      </c>
      <c r="AC25" s="1353">
        <f t="shared" si="5"/>
        <v>1.0309278350515463</v>
      </c>
    </row>
    <row r="26" spans="1:29" ht="15">
      <c r="A26" s="379"/>
      <c r="B26" s="1133" t="s">
        <v>1781</v>
      </c>
      <c r="C26" s="3464" t="s">
        <v>3478</v>
      </c>
      <c r="D26" s="386">
        <v>100</v>
      </c>
      <c r="E26" s="3464" t="s">
        <v>3478</v>
      </c>
      <c r="F26" s="412">
        <f>SUMIF(88:88,E26,89:89)-SUMIF(88:88,C26,89:89)+100</f>
        <v>100</v>
      </c>
      <c r="G26" s="3464" t="s">
        <v>3478</v>
      </c>
      <c r="H26" s="386">
        <f>SUMIF(88:88,G26,89:89)-SUMIF(88:88,C26,89:89)+100</f>
        <v>100</v>
      </c>
      <c r="I26" s="3464" t="s">
        <v>3478</v>
      </c>
      <c r="J26" s="386">
        <f>SUMIF(88:88,I26,89:89)-SUMIF(88:88,C26,89:89)+100</f>
        <v>100</v>
      </c>
      <c r="K26" s="562"/>
      <c r="L26" s="2722"/>
      <c r="M26" s="2716"/>
      <c r="N26" s="2716"/>
      <c r="O26" s="2716"/>
      <c r="P26" s="3685"/>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t="s">
        <v>3421</v>
      </c>
      <c r="D27" s="413">
        <v>100</v>
      </c>
      <c r="E27" s="1956" t="s">
        <v>3402</v>
      </c>
      <c r="F27" s="415">
        <f>SUMIF(90:90,E27,91:91)-SUMIF(90:90,C27,91:91)+100</f>
        <v>95</v>
      </c>
      <c r="G27" s="1956" t="s">
        <v>3421</v>
      </c>
      <c r="H27" s="413">
        <f>SUMIF(90:90,G27,91:91)-SUMIF(90:90,C27,91:91)+100</f>
        <v>100</v>
      </c>
      <c r="I27" s="1956" t="s">
        <v>3421</v>
      </c>
      <c r="J27" s="413">
        <f>SUMIF(90:90,I27,91:91)-SUMIF(90:90,C27,91:91)+100</f>
        <v>100</v>
      </c>
      <c r="K27" s="561">
        <v>5</v>
      </c>
      <c r="L27" s="2717"/>
      <c r="M27" s="2718"/>
      <c r="N27" s="2718"/>
      <c r="O27" s="2718"/>
      <c r="P27" s="3685"/>
      <c r="Q27" s="1343" t="str">
        <f t="shared" si="11"/>
        <v>人流量</v>
      </c>
      <c r="R27" s="701" t="s">
        <v>14</v>
      </c>
      <c r="S27" s="702">
        <f>F27</f>
        <v>95</v>
      </c>
      <c r="T27" s="701" t="s">
        <v>14</v>
      </c>
      <c r="U27" s="702">
        <f>H27</f>
        <v>100</v>
      </c>
      <c r="V27" s="701" t="s">
        <v>14</v>
      </c>
      <c r="W27" s="702">
        <f>J27</f>
        <v>100</v>
      </c>
      <c r="X27" s="703"/>
      <c r="Y27" s="3687"/>
      <c r="Z27" s="52" t="str">
        <f>Q27</f>
        <v>人流量</v>
      </c>
      <c r="AA27" s="1353">
        <f>D27/F27</f>
        <v>1.0526315789473684</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t="s">
        <v>3428</v>
      </c>
      <c r="D32" s="418">
        <v>100</v>
      </c>
      <c r="E32" s="1910" t="s">
        <v>3431</v>
      </c>
      <c r="F32" s="412">
        <f>SUMIF(100:100,E32,101:101)-SUMIF(100:100,C32,101:101)+100</f>
        <v>94</v>
      </c>
      <c r="G32" s="1910" t="s">
        <v>3431</v>
      </c>
      <c r="H32" s="386">
        <f>SUMIF(100:100,G32,101:101)-SUMIF(100:100,C32,101:101)+100</f>
        <v>94</v>
      </c>
      <c r="I32" s="1910" t="s">
        <v>3431</v>
      </c>
      <c r="J32" s="418">
        <f>SUMIF(100:100,I32,101:101)-SUMIF(100:100,C32,101:101)+100</f>
        <v>94</v>
      </c>
      <c r="K32" s="561">
        <v>3</v>
      </c>
      <c r="L32" s="2722"/>
      <c r="M32" s="2716"/>
      <c r="N32" s="2716"/>
      <c r="O32" s="2716"/>
      <c r="P32" s="3688" t="s">
        <v>1696</v>
      </c>
      <c r="Q32" s="1352" t="str">
        <f t="shared" si="11"/>
        <v>商业类型</v>
      </c>
      <c r="R32" s="705" t="s">
        <v>14</v>
      </c>
      <c r="S32" s="706">
        <f t="shared" si="12"/>
        <v>94</v>
      </c>
      <c r="T32" s="705" t="s">
        <v>14</v>
      </c>
      <c r="U32" s="706">
        <f t="shared" si="13"/>
        <v>94</v>
      </c>
      <c r="V32" s="705" t="s">
        <v>14</v>
      </c>
      <c r="W32" s="706">
        <f t="shared" si="14"/>
        <v>94</v>
      </c>
      <c r="X32" s="1355"/>
      <c r="Y32" s="3691" t="s">
        <v>1696</v>
      </c>
      <c r="Z32" s="1356" t="str">
        <f t="shared" si="15"/>
        <v>商业类型</v>
      </c>
      <c r="AA32" s="1353">
        <f t="shared" si="3"/>
        <v>1.0638297872340425</v>
      </c>
      <c r="AB32" s="1353">
        <f t="shared" si="4"/>
        <v>1.0638297872340425</v>
      </c>
      <c r="AC32" s="1353">
        <f t="shared" si="5"/>
        <v>1.0638297872340425</v>
      </c>
    </row>
    <row r="33" spans="1:29" s="422" customFormat="1" ht="15">
      <c r="A33" s="419"/>
      <c r="B33" s="375" t="s">
        <v>1697</v>
      </c>
      <c r="C33" s="420">
        <f>'数据-基础表'!I13</f>
        <v>525.54999999999995</v>
      </c>
      <c r="D33" s="127">
        <v>100</v>
      </c>
      <c r="E33" s="381">
        <v>36.14</v>
      </c>
      <c r="F33" s="376">
        <f>LOOKUP(E33,103:103,104:104)-LOOKUP(C33,103:103,104:104)+100</f>
        <v>103</v>
      </c>
      <c r="G33" s="380">
        <v>115.6</v>
      </c>
      <c r="H33" s="127">
        <f>LOOKUP(G33,103:103,104:104)-LOOKUP(C33,103:103,104:104)+100</f>
        <v>102</v>
      </c>
      <c r="I33" s="380">
        <v>66</v>
      </c>
      <c r="J33" s="127">
        <f>LOOKUP(I33,103:103,104:104)-LOOKUP(C33,103:103,104:104)+100</f>
        <v>103</v>
      </c>
      <c r="K33" s="562"/>
      <c r="L33" s="2721"/>
      <c r="M33" s="2723"/>
      <c r="N33" s="2723"/>
      <c r="O33" s="2723"/>
      <c r="P33" s="3689"/>
      <c r="Q33" s="707" t="str">
        <f t="shared" si="11"/>
        <v>项目建筑规模</v>
      </c>
      <c r="R33" s="708" t="s">
        <v>14</v>
      </c>
      <c r="S33" s="709">
        <f t="shared" si="12"/>
        <v>103</v>
      </c>
      <c r="T33" s="708" t="s">
        <v>14</v>
      </c>
      <c r="U33" s="709">
        <f t="shared" si="13"/>
        <v>102</v>
      </c>
      <c r="V33" s="708" t="s">
        <v>14</v>
      </c>
      <c r="W33" s="709">
        <f t="shared" si="14"/>
        <v>103</v>
      </c>
      <c r="X33" s="710"/>
      <c r="Y33" s="3691"/>
      <c r="Z33" s="711" t="str">
        <f t="shared" si="15"/>
        <v>项目建筑规模</v>
      </c>
      <c r="AA33" s="1353">
        <f t="shared" si="3"/>
        <v>0.970873786407767</v>
      </c>
      <c r="AB33" s="1353">
        <f t="shared" si="4"/>
        <v>0.98039215686274506</v>
      </c>
      <c r="AC33" s="1353">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v>0.9</v>
      </c>
      <c r="D36" s="386">
        <v>100</v>
      </c>
      <c r="E36" s="425">
        <f>1-(2023-E50)/60</f>
        <v>0.68333333333333335</v>
      </c>
      <c r="F36" s="412">
        <f>LOOKUP(E36,110:110,111:111)-LOOKUP(C36,110:110,111:111)+100</f>
        <v>94</v>
      </c>
      <c r="G36" s="425">
        <v>0.87</v>
      </c>
      <c r="H36" s="412">
        <f>LOOKUP(G36,110:110,111:111)-LOOKUP(C36,110:110,111:111)+100</f>
        <v>98</v>
      </c>
      <c r="I36" s="425">
        <f>1-(2023-I50)/60</f>
        <v>0.8666666666666667</v>
      </c>
      <c r="J36" s="386">
        <f>LOOKUP(I36,110:110,111:111)-LOOKUP(C36,110:110,111:111)+100</f>
        <v>98</v>
      </c>
      <c r="K36" s="561">
        <v>2</v>
      </c>
      <c r="L36" s="2722"/>
      <c r="M36" s="2716"/>
      <c r="N36" s="2716"/>
      <c r="O36" s="2716"/>
      <c r="P36" s="3689"/>
      <c r="Q36" s="1352" t="str">
        <f t="shared" si="11"/>
        <v>成新度</v>
      </c>
      <c r="R36" s="705" t="s">
        <v>14</v>
      </c>
      <c r="S36" s="706">
        <f t="shared" si="12"/>
        <v>94</v>
      </c>
      <c r="T36" s="705" t="s">
        <v>14</v>
      </c>
      <c r="U36" s="706">
        <f t="shared" si="13"/>
        <v>98</v>
      </c>
      <c r="V36" s="705" t="s">
        <v>14</v>
      </c>
      <c r="W36" s="706">
        <f t="shared" si="14"/>
        <v>98</v>
      </c>
      <c r="X36" s="1355"/>
      <c r="Y36" s="3691"/>
      <c r="Z36" s="1356" t="str">
        <f t="shared" si="15"/>
        <v>成新度</v>
      </c>
      <c r="AA36" s="1353">
        <f t="shared" si="3"/>
        <v>1.0638297872340425</v>
      </c>
      <c r="AB36" s="1353">
        <f t="shared" si="4"/>
        <v>1.0204081632653061</v>
      </c>
      <c r="AC36" s="1353">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3442</v>
      </c>
      <c r="H38" s="386">
        <f>SUMIF(114:114,G38,115:115)-SUMIF(114:114,C38,115:115)+100</f>
        <v>100</v>
      </c>
      <c r="I38" s="1906" t="s">
        <v>3442</v>
      </c>
      <c r="J38" s="386">
        <f>SUMIF(114:114,I38,115:115)-SUMIF(114:114,C38,115:115)+100</f>
        <v>100</v>
      </c>
      <c r="K38" s="561">
        <v>5</v>
      </c>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t="s">
        <v>3437</v>
      </c>
      <c r="D42" s="386">
        <v>100</v>
      </c>
      <c r="E42" s="1906" t="s">
        <v>3437</v>
      </c>
      <c r="F42" s="412">
        <f>SUMIF(122:122,E42,123:123)-SUMIF(122:122,C42,123:123)+100</f>
        <v>100</v>
      </c>
      <c r="G42" s="1906" t="s">
        <v>3439</v>
      </c>
      <c r="H42" s="386">
        <f>SUMIF(122:122,G42,123:123)-SUMIF(122:122,C42,123:123)+100</f>
        <v>98</v>
      </c>
      <c r="I42" s="1906" t="s">
        <v>3437</v>
      </c>
      <c r="J42" s="386">
        <f>SUMIF(122:122,I42,123:123)-SUMIF(122:122,C42,123:123)+100</f>
        <v>100</v>
      </c>
      <c r="K42" s="561">
        <v>2</v>
      </c>
      <c r="L42" s="2722"/>
      <c r="M42" s="2716"/>
      <c r="N42" s="2716"/>
      <c r="O42" s="2716"/>
      <c r="P42" s="3689"/>
      <c r="Q42" s="1352" t="str">
        <f t="shared" si="11"/>
        <v>内部装修</v>
      </c>
      <c r="R42" s="705" t="s">
        <v>14</v>
      </c>
      <c r="S42" s="706">
        <f t="shared" si="12"/>
        <v>100</v>
      </c>
      <c r="T42" s="705" t="s">
        <v>14</v>
      </c>
      <c r="U42" s="706">
        <f t="shared" si="13"/>
        <v>98</v>
      </c>
      <c r="V42" s="705" t="s">
        <v>14</v>
      </c>
      <c r="W42" s="706">
        <f t="shared" si="14"/>
        <v>100</v>
      </c>
      <c r="X42" s="1355"/>
      <c r="Y42" s="3691"/>
      <c r="Z42" s="1356" t="str">
        <f t="shared" si="15"/>
        <v>内部装修</v>
      </c>
      <c r="AA42" s="1353">
        <f t="shared" si="3"/>
        <v>1</v>
      </c>
      <c r="AB42" s="1353">
        <f t="shared" si="4"/>
        <v>1.0204081632653061</v>
      </c>
      <c r="AC42" s="1353">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v>33205</v>
      </c>
      <c r="F47" s="1157"/>
      <c r="G47" s="1158">
        <v>30277</v>
      </c>
      <c r="H47" s="1159"/>
      <c r="I47" s="1156">
        <v>37879</v>
      </c>
      <c r="J47" s="1159"/>
      <c r="K47" s="714"/>
      <c r="L47" s="2724"/>
      <c r="M47" s="2725"/>
      <c r="N47" s="2716"/>
      <c r="O47" s="2725"/>
      <c r="P47" s="3693" t="str">
        <f>A47</f>
        <v>成交单价（元/平方米）</v>
      </c>
      <c r="Q47" s="3693"/>
      <c r="R47" s="3654">
        <f>E47</f>
        <v>33205</v>
      </c>
      <c r="S47" s="3654"/>
      <c r="T47" s="3654">
        <f>G47</f>
        <v>30277</v>
      </c>
      <c r="U47" s="3654"/>
      <c r="V47" s="3654">
        <f>I47</f>
        <v>37879</v>
      </c>
      <c r="W47" s="3654"/>
      <c r="X47" s="690"/>
      <c r="Y47" s="712"/>
      <c r="Z47" s="690"/>
      <c r="AA47" s="690"/>
      <c r="AB47" s="690"/>
      <c r="AC47" s="690"/>
    </row>
    <row r="48" spans="1:29" ht="15.75" thickBot="1">
      <c r="A48" s="437" t="s">
        <v>1793</v>
      </c>
      <c r="B48" s="438"/>
      <c r="C48" s="1160">
        <f>R49</f>
        <v>39218</v>
      </c>
      <c r="D48" s="2317" t="s">
        <v>2138</v>
      </c>
      <c r="E48" s="1161">
        <f>R48</f>
        <v>42571</v>
      </c>
      <c r="F48" s="2318"/>
      <c r="G48" s="1160">
        <f>T48</f>
        <v>33911</v>
      </c>
      <c r="H48" s="2318"/>
      <c r="I48" s="1161">
        <f>V48</f>
        <v>41173</v>
      </c>
      <c r="J48" s="2318"/>
      <c r="K48" s="2320">
        <f>F48+H48+J48</f>
        <v>0</v>
      </c>
      <c r="L48" s="2724"/>
      <c r="M48" s="2725"/>
      <c r="N48" s="2716"/>
      <c r="O48" s="2725"/>
      <c r="P48" s="3693" t="str">
        <f>A48</f>
        <v>比较价值（元/平方米）</v>
      </c>
      <c r="Q48" s="3693"/>
      <c r="R48" s="3694">
        <f>IF(F1="售价",ROUND(PRODUCT(R47,AA7:AA46),0),ROUND(PRODUCT(R47,AA7:AA46),1))</f>
        <v>42571</v>
      </c>
      <c r="S48" s="3694"/>
      <c r="T48" s="3694">
        <f>IF(F1="售价",ROUND(PRODUCT(T47,AB7:AB46),0),ROUND(PRODUCT(T47,AB7:AB46),1))</f>
        <v>33911</v>
      </c>
      <c r="U48" s="3694"/>
      <c r="V48" s="3694">
        <f>IF(F1="售价",ROUND(PRODUCT(V47,AC7:AC46),0),ROUND(PRODUCT(V47,AC7:AC46),1))</f>
        <v>41173</v>
      </c>
      <c r="W48" s="3694"/>
      <c r="X48" s="690"/>
      <c r="Y48" s="690"/>
      <c r="Z48" s="690"/>
      <c r="AA48" s="690"/>
      <c r="AB48" s="690"/>
      <c r="AC48" s="690"/>
    </row>
    <row r="49" spans="1:29" ht="15.75" thickBot="1">
      <c r="A49" s="441" t="s">
        <v>1794</v>
      </c>
      <c r="B49" s="442"/>
      <c r="C49" s="1163">
        <f>R49</f>
        <v>39218</v>
      </c>
      <c r="D49" s="1163"/>
      <c r="E49" s="1163"/>
      <c r="F49" s="1163"/>
      <c r="G49" s="1163"/>
      <c r="H49" s="1163"/>
      <c r="I49" s="1163"/>
      <c r="J49" s="1163"/>
      <c r="K49" s="715"/>
      <c r="L49" s="2724"/>
      <c r="M49" s="2725"/>
      <c r="N49" s="2716"/>
      <c r="O49" s="2725"/>
      <c r="P49" s="3695" t="str">
        <f>A49</f>
        <v>估价对象XX用房的比较价值（楼面单价，元/平方米）</v>
      </c>
      <c r="Q49" s="3696"/>
      <c r="R49" s="3697">
        <f>IF(F1="售价",ROUND(IF(D48="简单平均",AVERAGE(R48:V48),R48*F48+T48*H48+V48*J48),0),ROUND(IF(D48="简单平均",AVERAGE(R48:V48),R48*F48+T48*H48+V48*J48),1))</f>
        <v>39218</v>
      </c>
      <c r="S49" s="3697"/>
      <c r="T49" s="3697"/>
      <c r="U49" s="3697"/>
      <c r="V49" s="3697"/>
      <c r="W49" s="3697"/>
      <c r="X49" s="690"/>
      <c r="Y49" s="690"/>
      <c r="Z49" s="690"/>
      <c r="AA49" s="690"/>
      <c r="AB49" s="690"/>
      <c r="AC49" s="690"/>
    </row>
    <row r="50" spans="1:29">
      <c r="A50" s="2725"/>
      <c r="B50" s="2725"/>
      <c r="C50" s="2725"/>
      <c r="D50" s="2725"/>
      <c r="E50" s="2725">
        <v>2004</v>
      </c>
      <c r="F50" s="2725"/>
      <c r="G50" s="3462">
        <v>2014</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0.28206595392260203</v>
      </c>
      <c r="F52" s="449" t="str">
        <f>IF(OR(E52&gt;=0.3,E52&lt;=-0.3),"超过30%","")</f>
        <v/>
      </c>
      <c r="G52" s="448">
        <f>IF(G47&lt;G48,G48/G47-1,G47/G48-1)</f>
        <v>0.120025101562242</v>
      </c>
      <c r="H52" s="449" t="str">
        <f>IF(OR(G52&gt;=0.3,G52&lt;=-0.3),"超过30%","")</f>
        <v/>
      </c>
      <c r="I52" s="448">
        <f>IF(I47&lt;I48,I48/I47-1,I47/I48-1)</f>
        <v>8.6961113017767211E-2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0.25537436230131805</v>
      </c>
      <c r="F53" s="449" t="str">
        <f>IF(OR(E53&gt;=0.2,E53&lt;=-0.2),"超过20%","")</f>
        <v>超过20%</v>
      </c>
      <c r="G53" s="448">
        <f>IF(G48&lt;I48,I48/G48-1,G48/I48-1)</f>
        <v>0.214148801273923</v>
      </c>
      <c r="H53" s="449" t="str">
        <f>IF(OR(G53&gt;=0.2,G53&lt;=-0.2),"超过20%","")</f>
        <v>超过20%</v>
      </c>
      <c r="I53" s="448">
        <f>IF(I48&lt;E48,E48/I48-1,I48/E48-1)</f>
        <v>3.395429043305076E-2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9.670707137431056E-2</v>
      </c>
      <c r="F54" s="449" t="str">
        <f>IF(OR(E54&gt;=0.3,E54&lt;=-0.3),"超过30%","")</f>
        <v/>
      </c>
      <c r="G54" s="448">
        <f>IF(G47&lt;I47,I47/G47-1,G47/I47-1)</f>
        <v>0.25108167916240043</v>
      </c>
      <c r="H54" s="449" t="str">
        <f>IF(OR(G54&gt;=0.3,G54&lt;=-0.3),"超过30%","")</f>
        <v/>
      </c>
      <c r="I54" s="448">
        <f>IF(I47&lt;E47,E47/I47-1,I47/E47-1)</f>
        <v>0.14076193344375842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2</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98</v>
      </c>
      <c r="E66" s="485">
        <f t="shared" ref="E66:H66" si="18">D66-$K$65</f>
        <v>96</v>
      </c>
      <c r="F66" s="485">
        <f t="shared" si="18"/>
        <v>94</v>
      </c>
      <c r="G66" s="485">
        <f t="shared" si="18"/>
        <v>92</v>
      </c>
      <c r="H66" s="485">
        <f t="shared" si="18"/>
        <v>90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97</v>
      </c>
      <c r="E87" s="493">
        <f t="shared" si="22"/>
        <v>94</v>
      </c>
      <c r="F87" s="493">
        <f t="shared" si="22"/>
        <v>91</v>
      </c>
      <c r="G87" s="493">
        <f t="shared" si="22"/>
        <v>88</v>
      </c>
      <c r="H87" s="493">
        <f t="shared" si="22"/>
        <v>85</v>
      </c>
      <c r="I87" s="493">
        <f t="shared" si="22"/>
        <v>82</v>
      </c>
      <c r="J87" s="493">
        <f t="shared" si="22"/>
        <v>79</v>
      </c>
      <c r="K87" s="493">
        <f t="shared" si="22"/>
        <v>76</v>
      </c>
      <c r="L87" s="493">
        <f t="shared" si="22"/>
        <v>73</v>
      </c>
      <c r="M87" s="493">
        <f t="shared" si="22"/>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463"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4">D91-$K27</f>
        <v>90</v>
      </c>
      <c r="F91" s="493">
        <f t="shared" si="24"/>
        <v>85</v>
      </c>
      <c r="G91" s="493">
        <f t="shared" si="24"/>
        <v>80</v>
      </c>
      <c r="H91" s="493">
        <f t="shared" si="24"/>
        <v>75</v>
      </c>
      <c r="I91" s="493">
        <f t="shared" si="24"/>
        <v>70</v>
      </c>
      <c r="J91" s="493">
        <f t="shared" si="24"/>
        <v>65</v>
      </c>
      <c r="K91" s="493">
        <f t="shared" si="24"/>
        <v>60</v>
      </c>
      <c r="L91" s="493">
        <f t="shared" si="24"/>
        <v>55</v>
      </c>
      <c r="M91" s="493">
        <f t="shared" si="24"/>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4">
        <f t="shared" si="25"/>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34.5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1618.5746999999999</v>
      </c>
      <c r="C2" s="1387" t="s">
        <v>879</v>
      </c>
      <c r="D2" s="1471">
        <f ca="1">C40+J29+L46</f>
        <v>16185747</v>
      </c>
      <c r="E2" s="1388" t="s">
        <v>880</v>
      </c>
      <c r="F2" s="1389"/>
      <c r="G2" s="2706"/>
      <c r="H2" s="2695"/>
      <c r="I2" s="2695"/>
      <c r="J2" s="2695"/>
      <c r="K2" s="2696"/>
      <c r="L2" s="2695"/>
      <c r="M2" s="2695"/>
    </row>
    <row r="3" spans="1:37" ht="18" customHeight="1" thickBot="1">
      <c r="A3" s="1390" t="s">
        <v>881</v>
      </c>
      <c r="B3" s="1391">
        <f ca="1">IF(ISERROR(D2/F43),0,ROUND(D2/F43,0))</f>
        <v>30798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968011</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966802</v>
      </c>
      <c r="D6" s="155" t="s">
        <v>2106</v>
      </c>
      <c r="E6" s="302" t="s">
        <v>696</v>
      </c>
      <c r="F6" s="303">
        <f ca="1">INDIRECT("'数据-取费表'!u"&amp;$G$1)</f>
        <v>5.6</v>
      </c>
      <c r="G6" s="1384"/>
      <c r="H6" s="1069" t="s">
        <v>398</v>
      </c>
      <c r="I6" s="3698" t="s">
        <v>694</v>
      </c>
      <c r="J6" s="301">
        <f ca="1">ROUND(M6*M8*M7*(1-M9),0)</f>
        <v>0</v>
      </c>
      <c r="K6" s="1376"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525.54999999999995</v>
      </c>
      <c r="G7" s="1384"/>
      <c r="H7" s="304"/>
      <c r="I7" s="3699"/>
      <c r="J7" s="306"/>
      <c r="K7" s="307"/>
      <c r="L7" s="302" t="s">
        <v>697</v>
      </c>
      <c r="M7" s="303">
        <f ca="1">F7</f>
        <v>525.54999999999995</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1209</v>
      </c>
      <c r="D10" s="1366" t="s">
        <v>2116</v>
      </c>
      <c r="E10" s="313" t="s">
        <v>701</v>
      </c>
      <c r="F10" s="1116" t="s">
        <v>3463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2533727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1839425</v>
      </c>
      <c r="D14" s="1345" t="s">
        <v>708</v>
      </c>
      <c r="E14" s="1342"/>
      <c r="F14" s="319"/>
      <c r="G14" s="1384"/>
      <c r="H14" s="982" t="s">
        <v>398</v>
      </c>
      <c r="I14" s="302" t="s">
        <v>709</v>
      </c>
      <c r="J14" s="21">
        <f ca="1">C29</f>
        <v>2667081</v>
      </c>
      <c r="K14" s="12"/>
      <c r="L14" s="807"/>
      <c r="M14" s="808"/>
    </row>
    <row r="15" spans="1:37" s="1397" customFormat="1" ht="18" customHeight="1" thickBot="1">
      <c r="A15" s="982" t="s">
        <v>399</v>
      </c>
      <c r="B15" s="302" t="s">
        <v>710</v>
      </c>
      <c r="C15" s="21">
        <f ca="1">ROUND(C14*F15,0)</f>
        <v>55183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26671</v>
      </c>
      <c r="K16" s="1087" t="s">
        <v>715</v>
      </c>
      <c r="L16" s="1088"/>
      <c r="M16" s="1072"/>
    </row>
    <row r="17" spans="1:37" s="1397" customFormat="1" ht="18" customHeight="1">
      <c r="A17" s="982" t="s">
        <v>681</v>
      </c>
      <c r="B17" s="302" t="s">
        <v>716</v>
      </c>
      <c r="C17" s="21">
        <f ca="1">ROUND(F17*(F43+INDIRECT("'数据-取费表'!S"&amp;$G$1)),0)</f>
        <v>105110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27591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2027309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40546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26671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85816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-26671</v>
      </c>
      <c r="K25" s="1095" t="s">
        <v>753</v>
      </c>
      <c r="L25" s="1096"/>
      <c r="M25" s="1097"/>
    </row>
    <row r="26" spans="1:37" ht="18" customHeight="1">
      <c r="A26" s="982" t="s">
        <v>397</v>
      </c>
      <c r="B26" s="302" t="s">
        <v>754</v>
      </c>
      <c r="C26" s="21">
        <f ca="1">ROUND((C19+C20)*F26,0)</f>
        <v>310178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2667081</v>
      </c>
      <c r="D29" s="1092"/>
      <c r="E29" s="1090"/>
      <c r="F29" s="1093"/>
      <c r="G29" s="1396"/>
      <c r="H29" s="334" t="s">
        <v>396</v>
      </c>
      <c r="I29" s="335" t="s">
        <v>768</v>
      </c>
      <c r="J29" s="336">
        <f ca="1">ROUND(J26/(1+F40)^F41,0)</f>
        <v>0</v>
      </c>
      <c r="K29" s="337" t="s">
        <v>769</v>
      </c>
      <c r="L29" s="338"/>
      <c r="M29" s="339">
        <f ca="1">INDIRECT("'数据-取费表'!k"&amp;$G$1)</f>
        <v>525.54999999999995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201286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161134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50642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110492</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26671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3801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9680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766725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16110762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30655</v>
      </c>
      <c r="D43" s="337" t="s">
        <v>777</v>
      </c>
      <c r="E43" s="338" t="s">
        <v>778</v>
      </c>
      <c r="F43" s="339">
        <f ca="1">INDIRECT("'数据-取费表'!k"&amp;$G$1)</f>
        <v>525.54999999999995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-1657.7435</v>
      </c>
      <c r="D45" s="3432" t="s">
        <v>3356</v>
      </c>
      <c r="E45" s="1400"/>
      <c r="F45" s="1400"/>
      <c r="O45" s="1403" t="s">
        <v>808</v>
      </c>
      <c r="P45" s="1461"/>
      <c r="Q45" s="1461"/>
      <c r="R45" s="1461"/>
    </row>
    <row r="46" spans="1:18" s="1384" customFormat="1" ht="13.5" thickBot="1">
      <c r="A46" s="1404" t="s">
        <v>809</v>
      </c>
      <c r="C46" s="1405">
        <f ca="1">ROUND(C45,0)</f>
        <v>-1658</v>
      </c>
      <c r="D46" s="1406" t="str">
        <f>C2</f>
        <v>万元</v>
      </c>
      <c r="I46" s="1407" t="s">
        <v>810</v>
      </c>
      <c r="J46" s="1408"/>
      <c r="K46" s="1409"/>
      <c r="L46" s="1410">
        <f ca="1">IF(M47="住宅",0,IF(L48&gt;J51,L60,J60))</f>
        <v>74985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40</v>
      </c>
      <c r="M47" s="1380" t="str">
        <f>IF(ISNUMBER(FIND("住宅",C1)),"住宅","非住宅")</f>
        <v>非住宅</v>
      </c>
      <c r="O47" s="1418" t="s">
        <v>403</v>
      </c>
      <c r="P47" s="1419" t="s">
        <v>817</v>
      </c>
      <c r="Q47" s="1420">
        <f ca="1">C40+J29</f>
        <v>16110762</v>
      </c>
      <c r="R47" s="1420" t="s">
        <v>818</v>
      </c>
    </row>
    <row r="48" spans="1:18" s="1384" customFormat="1" ht="28.5" thickBot="1">
      <c r="A48" s="1110" t="s">
        <v>438</v>
      </c>
      <c r="B48" s="300" t="s">
        <v>692</v>
      </c>
      <c r="C48" s="1359">
        <f ca="1">C49+C53+C55</f>
        <v>0</v>
      </c>
      <c r="D48" s="1112"/>
      <c r="E48" s="1113"/>
      <c r="F48" s="962"/>
      <c r="G48" s="722"/>
      <c r="H48" s="723"/>
      <c r="I48" s="1421" t="s">
        <v>819</v>
      </c>
      <c r="J48" s="1422" t="s">
        <v>3464</v>
      </c>
      <c r="K48" s="1423" t="s">
        <v>820</v>
      </c>
      <c r="L48" s="1424">
        <f ca="1">INDIRECT("'数据-取费表'!f"&amp;$G$1)</f>
        <v>34.5</v>
      </c>
      <c r="O48" s="1418" t="s">
        <v>404</v>
      </c>
      <c r="P48" s="1419" t="s">
        <v>821</v>
      </c>
      <c r="Q48" s="1420">
        <f ca="1">J60</f>
        <v>74985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2667081</v>
      </c>
      <c r="R49" s="1420" t="s">
        <v>818</v>
      </c>
    </row>
    <row r="50" spans="1:18" s="1384" customFormat="1" ht="13.5" thickBot="1">
      <c r="A50" s="976"/>
      <c r="B50" s="979"/>
      <c r="C50" s="980"/>
      <c r="D50" s="953"/>
      <c r="E50" s="1056" t="s">
        <v>697</v>
      </c>
      <c r="F50" s="1057">
        <f ca="1">F7</f>
        <v>525.54999999999995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10819106</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v>
      </c>
      <c r="K53" s="3701" t="s">
        <v>837</v>
      </c>
      <c r="L53" s="3702"/>
      <c r="O53" s="1418" t="s">
        <v>409</v>
      </c>
      <c r="P53" s="1419" t="s">
        <v>838</v>
      </c>
      <c r="Q53" s="1420">
        <f ca="1">Q47+Q48</f>
        <v>16185747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2533727</v>
      </c>
      <c r="D56" s="1447"/>
      <c r="E56" s="1448"/>
      <c r="F56" s="1440"/>
      <c r="I56" s="1449" t="s">
        <v>842</v>
      </c>
      <c r="J56" s="1450" t="s">
        <v>3465</v>
      </c>
      <c r="K56" s="1421" t="s">
        <v>843</v>
      </c>
      <c r="L56" s="1424" t="str">
        <f ca="1">IF(L48&lt;J51,"——",L48-J51)</f>
        <v>——</v>
      </c>
      <c r="O56" s="1418" t="s">
        <v>403</v>
      </c>
      <c r="P56" s="1419" t="s">
        <v>817</v>
      </c>
      <c r="Q56" s="1420">
        <f ca="1">C40+J29</f>
        <v>16110762</v>
      </c>
      <c r="R56" s="1420" t="s">
        <v>818</v>
      </c>
    </row>
    <row r="57" spans="1:18" s="1384" customFormat="1" ht="24.75" thickBot="1">
      <c r="A57" s="1451"/>
      <c r="B57" s="950" t="s">
        <v>767</v>
      </c>
      <c r="C57" s="238">
        <f ca="1">C29</f>
        <v>2667081</v>
      </c>
      <c r="D57" s="1452"/>
      <c r="E57" s="1453"/>
      <c r="F57" s="1454"/>
      <c r="I57" s="1455" t="s">
        <v>844</v>
      </c>
      <c r="J57" s="1456">
        <f ca="1">IF(OR(M47="住宅",J51&lt;L48,J56="是"),"——",J51-L48)</f>
        <v>22.5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30472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1066832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74985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16110762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26671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3801</v>
      </c>
      <c r="D65" s="964" t="s">
        <v>743</v>
      </c>
      <c r="E65" s="950" t="s">
        <v>744</v>
      </c>
      <c r="F65" s="330">
        <f t="shared" ca="1" si="0"/>
        <v>1.5E-3</v>
      </c>
      <c r="I65" s="1462" t="s">
        <v>867</v>
      </c>
      <c r="J65" s="1463">
        <v>40</v>
      </c>
      <c r="K65" s="1463">
        <v>30</v>
      </c>
      <c r="L65" s="1463">
        <v>50</v>
      </c>
      <c r="M65" s="1465">
        <v>0.02</v>
      </c>
      <c r="O65" s="1418" t="s">
        <v>403</v>
      </c>
      <c r="P65" s="1419" t="s">
        <v>868</v>
      </c>
      <c r="Q65" s="1420">
        <f ca="1">C40+J29</f>
        <v>16110762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-30472</v>
      </c>
      <c r="D67" s="963" t="s">
        <v>753</v>
      </c>
      <c r="E67" s="968"/>
      <c r="F67" s="969"/>
      <c r="O67" s="1428" t="s">
        <v>405</v>
      </c>
      <c r="P67" s="1419" t="s">
        <v>850</v>
      </c>
      <c r="Q67" s="1466">
        <f ca="1">L51</f>
        <v>10819106</v>
      </c>
      <c r="R67" s="1420" t="s">
        <v>870</v>
      </c>
    </row>
    <row r="68" spans="1:18" s="1384" customFormat="1" ht="16.5" thickBot="1">
      <c r="A68" s="947" t="s">
        <v>395</v>
      </c>
      <c r="B68" s="948" t="s">
        <v>774</v>
      </c>
      <c r="C68" s="301">
        <f ca="1">ROUND(C67*(1-((1+F70)/(1+F68))^F69)/(F68-F70),0)</f>
        <v>-466673</v>
      </c>
      <c r="D68" s="965" t="s">
        <v>758</v>
      </c>
      <c r="E68" s="950" t="s">
        <v>759</v>
      </c>
      <c r="F68" s="312">
        <f ca="1">F40</f>
        <v>5.5E-2</v>
      </c>
      <c r="O68" s="1428" t="s">
        <v>406</v>
      </c>
      <c r="P68" s="1467" t="s">
        <v>871</v>
      </c>
      <c r="Q68" s="1420">
        <f ca="1">ROUND(Q69-Q70*Q71,0)</f>
        <v>576695</v>
      </c>
      <c r="R68" s="1420" t="s">
        <v>414</v>
      </c>
    </row>
    <row r="69" spans="1:18" s="1384" customFormat="1" ht="13.5" thickBot="1">
      <c r="A69" s="951"/>
      <c r="B69" s="952"/>
      <c r="C69" s="306"/>
      <c r="D69" s="970" t="s">
        <v>762</v>
      </c>
      <c r="E69" s="950" t="s">
        <v>763</v>
      </c>
      <c r="F69" s="333">
        <f ca="1">F41</f>
        <v>34.5</v>
      </c>
      <c r="O69" s="1428" t="s">
        <v>411</v>
      </c>
      <c r="P69" s="1467" t="s">
        <v>872</v>
      </c>
      <c r="Q69" s="1420">
        <f ca="1">C39</f>
        <v>766725</v>
      </c>
      <c r="R69" s="1420" t="s">
        <v>818</v>
      </c>
    </row>
    <row r="70" spans="1:18" s="1384" customFormat="1" ht="13.5" thickBot="1">
      <c r="A70" s="954"/>
      <c r="B70" s="955"/>
      <c r="C70" s="310"/>
      <c r="D70" s="966"/>
      <c r="E70" s="950" t="s">
        <v>766</v>
      </c>
      <c r="F70" s="1054"/>
      <c r="O70" s="1428" t="s">
        <v>412</v>
      </c>
      <c r="P70" s="1467" t="s">
        <v>873</v>
      </c>
      <c r="Q70" s="1420">
        <f ca="1">C13</f>
        <v>2533727</v>
      </c>
      <c r="R70" s="1420" t="s">
        <v>818</v>
      </c>
    </row>
    <row r="71" spans="1:18" s="1384" customFormat="1" ht="13.5" thickBot="1">
      <c r="A71" s="971" t="s">
        <v>396</v>
      </c>
      <c r="B71" s="972" t="s">
        <v>776</v>
      </c>
      <c r="C71" s="336">
        <f ca="1">ROUND(C68/F71,0)</f>
        <v>-888</v>
      </c>
      <c r="D71" s="973" t="s">
        <v>777</v>
      </c>
      <c r="E71" s="974" t="s">
        <v>778</v>
      </c>
      <c r="F71" s="339">
        <f ca="1">F43</f>
        <v>525.54999999999995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190030</v>
      </c>
      <c r="D75" s="1384"/>
      <c r="E75" s="1384"/>
      <c r="F75" s="1384"/>
      <c r="K75" s="1402"/>
      <c r="L75" s="1384"/>
      <c r="O75" s="1418" t="s">
        <v>409</v>
      </c>
      <c r="P75" s="1419" t="s">
        <v>838</v>
      </c>
      <c r="Q75" s="1420">
        <f ca="1">Q65+Q66</f>
        <v>16110762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K39" sqref="K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3385</v>
      </c>
      <c r="E1" s="3426" t="s">
        <v>3406</v>
      </c>
      <c r="F1" s="1879" t="s">
        <v>3466</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0.29430000000000001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5.6</v>
      </c>
      <c r="C3" s="354" t="s">
        <v>1665</v>
      </c>
      <c r="D3" s="353">
        <f>IF(D1="",'数据-汇总表'!E3,SUMIF('数据-汇总表'!$C19:$C33,D1,'数据-汇总表'!$E19:$E33))</f>
        <v>525.54999999999995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1" t="s">
        <v>1667</v>
      </c>
      <c r="D4" s="3672"/>
      <c r="E4" s="3673" t="s">
        <v>1668</v>
      </c>
      <c r="F4" s="3674"/>
      <c r="G4" s="3671" t="s">
        <v>1669</v>
      </c>
      <c r="H4" s="3672"/>
      <c r="I4" s="3671" t="s">
        <v>1670</v>
      </c>
      <c r="J4" s="3672"/>
      <c r="K4" s="559" t="s">
        <v>1671</v>
      </c>
      <c r="L4" s="2715"/>
      <c r="M4" s="2716"/>
      <c r="N4" s="2716"/>
      <c r="O4" s="2716"/>
      <c r="P4" s="3675" t="s">
        <v>1672</v>
      </c>
      <c r="Q4" s="3676"/>
      <c r="R4" s="3657" t="s">
        <v>1668</v>
      </c>
      <c r="S4" s="3658"/>
      <c r="T4" s="3657" t="s">
        <v>1669</v>
      </c>
      <c r="U4" s="3658"/>
      <c r="V4" s="3654" t="s">
        <v>1670</v>
      </c>
      <c r="W4" s="3654"/>
      <c r="X4" s="3452"/>
      <c r="Y4" s="3657" t="s">
        <v>1672</v>
      </c>
      <c r="Z4" s="3658"/>
      <c r="AA4" s="3651" t="s">
        <v>1668</v>
      </c>
      <c r="AB4" s="3654" t="s">
        <v>1669</v>
      </c>
      <c r="AC4" s="3651" t="s">
        <v>1670</v>
      </c>
    </row>
    <row r="5" spans="1:29" ht="15">
      <c r="A5" s="358"/>
      <c r="B5" s="359"/>
      <c r="C5" s="3663" t="s">
        <v>1673</v>
      </c>
      <c r="D5" s="3664"/>
      <c r="E5" s="3661" t="s">
        <v>3468</v>
      </c>
      <c r="F5" s="3662"/>
      <c r="G5" s="3667" t="s">
        <v>3470</v>
      </c>
      <c r="H5" s="3664"/>
      <c r="I5" s="3667" t="s">
        <v>3456</v>
      </c>
      <c r="J5" s="3664"/>
      <c r="K5" s="559"/>
      <c r="L5" s="2715"/>
      <c r="M5" s="2716"/>
      <c r="N5" s="2716"/>
      <c r="O5" s="2716"/>
      <c r="P5" s="3677"/>
      <c r="Q5" s="3678"/>
      <c r="R5" s="3659"/>
      <c r="S5" s="3660"/>
      <c r="T5" s="3659"/>
      <c r="U5" s="3660"/>
      <c r="V5" s="3654"/>
      <c r="W5" s="3654"/>
      <c r="X5" s="3452"/>
      <c r="Y5" s="3659"/>
      <c r="Z5" s="3660"/>
      <c r="AA5" s="3652"/>
      <c r="AB5" s="3654"/>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3452"/>
      <c r="Y6" s="3681"/>
      <c r="Z6" s="3682"/>
      <c r="AA6" s="3653"/>
      <c r="AB6" s="3654"/>
      <c r="AC6" s="3653"/>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60"/>
      <c r="L7" s="2717"/>
      <c r="M7" s="2718"/>
      <c r="N7" s="2718"/>
      <c r="O7" s="2718"/>
      <c r="P7" s="3655" t="s">
        <v>1680</v>
      </c>
      <c r="Q7" s="3683"/>
      <c r="R7" s="701" t="s">
        <v>14</v>
      </c>
      <c r="S7" s="702">
        <f t="shared" ref="S7:S15" si="0">F7</f>
        <v>100</v>
      </c>
      <c r="T7" s="701" t="s">
        <v>14</v>
      </c>
      <c r="U7" s="702">
        <f t="shared" ref="U7:U15" si="1">H7</f>
        <v>100</v>
      </c>
      <c r="V7" s="701" t="s">
        <v>14</v>
      </c>
      <c r="W7" s="702">
        <f t="shared" ref="W7:W15" si="2">J7</f>
        <v>100</v>
      </c>
      <c r="X7" s="703"/>
      <c r="Y7" s="3655" t="s">
        <v>1680</v>
      </c>
      <c r="Z7" s="3656"/>
      <c r="AA7" s="704">
        <f>D7/F7</f>
        <v>1</v>
      </c>
      <c r="AB7" s="704">
        <f>D7/H7</f>
        <v>1</v>
      </c>
      <c r="AC7" s="704">
        <f>D7/J7</f>
        <v>1</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560"/>
      <c r="L8" s="2717"/>
      <c r="M8" s="2718"/>
      <c r="N8" s="2718"/>
      <c r="O8" s="2718"/>
      <c r="P8" s="3655" t="s">
        <v>1683</v>
      </c>
      <c r="Q8" s="3656"/>
      <c r="R8" s="701" t="s">
        <v>14</v>
      </c>
      <c r="S8" s="702">
        <f t="shared" si="0"/>
        <v>100</v>
      </c>
      <c r="T8" s="701" t="s">
        <v>14</v>
      </c>
      <c r="U8" s="702">
        <f t="shared" si="1"/>
        <v>100</v>
      </c>
      <c r="V8" s="701" t="s">
        <v>14</v>
      </c>
      <c r="W8" s="702">
        <f t="shared" si="2"/>
        <v>100</v>
      </c>
      <c r="X8" s="703"/>
      <c r="Y8" s="3655" t="s">
        <v>1683</v>
      </c>
      <c r="Z8" s="3656"/>
      <c r="AA8" s="704">
        <f t="shared" ref="AA8:AA46" si="3">D8/F8</f>
        <v>1</v>
      </c>
      <c r="AB8" s="704">
        <f t="shared" ref="AB8:AB46" si="4">D8/H8</f>
        <v>1</v>
      </c>
      <c r="AC8" s="704">
        <f t="shared" ref="AC8:AC46" si="5">D8/J8</f>
        <v>1</v>
      </c>
    </row>
    <row r="9" spans="1:29" s="108" customFormat="1">
      <c r="A9" s="369" t="s">
        <v>1684</v>
      </c>
      <c r="B9" s="63" t="s">
        <v>1685</v>
      </c>
      <c r="C9" s="3457"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0" t="s">
        <v>1686</v>
      </c>
      <c r="Q9" s="3451" t="str">
        <f t="shared" ref="Q9:Q15" si="6">B9</f>
        <v>用途</v>
      </c>
      <c r="R9" s="701" t="s">
        <v>14</v>
      </c>
      <c r="S9" s="702">
        <f t="shared" si="0"/>
        <v>100</v>
      </c>
      <c r="T9" s="701" t="s">
        <v>14</v>
      </c>
      <c r="U9" s="702">
        <f t="shared" si="1"/>
        <v>100</v>
      </c>
      <c r="V9" s="701" t="s">
        <v>14</v>
      </c>
      <c r="W9" s="702">
        <f t="shared" si="2"/>
        <v>100</v>
      </c>
      <c r="X9" s="703"/>
      <c r="Y9" s="3624" t="s">
        <v>1687</v>
      </c>
      <c r="Z9" s="3450" t="str">
        <f t="shared" ref="Z9:Z15" si="7">Q9</f>
        <v>用途</v>
      </c>
      <c r="AA9" s="704">
        <f t="shared" si="3"/>
        <v>1</v>
      </c>
      <c r="AB9" s="704">
        <f t="shared" si="4"/>
        <v>1</v>
      </c>
      <c r="AC9" s="704">
        <f t="shared" si="5"/>
        <v>1</v>
      </c>
    </row>
    <row r="10" spans="1:29" s="378" customFormat="1" ht="27">
      <c r="A10" s="374"/>
      <c r="B10" s="375" t="s">
        <v>1688</v>
      </c>
      <c r="C10" s="3434" t="s">
        <v>3451</v>
      </c>
      <c r="D10" s="127">
        <v>100</v>
      </c>
      <c r="E10" s="3435" t="s">
        <v>3469</v>
      </c>
      <c r="F10" s="376">
        <f>SUMIF(65:65,E10,66:66)-SUMIF(65:65,C10,66:66)+100</f>
        <v>96</v>
      </c>
      <c r="G10" s="3434" t="s">
        <v>3471</v>
      </c>
      <c r="H10" s="127">
        <f>SUMIF(65:65,G10,66:66)-SUMIF(65:65,C10,66:66)+100</f>
        <v>94</v>
      </c>
      <c r="I10" s="3434" t="s">
        <v>3467</v>
      </c>
      <c r="J10" s="127">
        <f>SUMIF(65:65,I10,66:66)-SUMIF(65:65,C10,66:66)+100</f>
        <v>98</v>
      </c>
      <c r="K10" s="560"/>
      <c r="L10" s="2719"/>
      <c r="M10" s="2720"/>
      <c r="N10" s="2720"/>
      <c r="O10" s="2720"/>
      <c r="P10" s="3670"/>
      <c r="Q10" s="3451" t="str">
        <f t="shared" si="6"/>
        <v>土地使用年限（年）</v>
      </c>
      <c r="R10" s="701" t="s">
        <v>14</v>
      </c>
      <c r="S10" s="702">
        <f t="shared" si="0"/>
        <v>96</v>
      </c>
      <c r="T10" s="701" t="s">
        <v>14</v>
      </c>
      <c r="U10" s="702">
        <f t="shared" si="1"/>
        <v>94</v>
      </c>
      <c r="V10" s="701" t="s">
        <v>14</v>
      </c>
      <c r="W10" s="702">
        <f t="shared" si="2"/>
        <v>98</v>
      </c>
      <c r="X10" s="703"/>
      <c r="Y10" s="3624"/>
      <c r="Z10" s="3450" t="str">
        <f t="shared" si="7"/>
        <v>土地使用年限（年）</v>
      </c>
      <c r="AA10" s="704">
        <f t="shared" si="3"/>
        <v>1.0416666666666667</v>
      </c>
      <c r="AB10" s="704">
        <f t="shared" si="4"/>
        <v>1.0638297872340425</v>
      </c>
      <c r="AC10" s="704">
        <f t="shared" si="5"/>
        <v>1.0204081632653061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0"/>
      <c r="Q11" s="3451" t="str">
        <f t="shared" si="6"/>
        <v>容积率</v>
      </c>
      <c r="R11" s="701" t="s">
        <v>14</v>
      </c>
      <c r="S11" s="702">
        <f t="shared" si="0"/>
        <v>100</v>
      </c>
      <c r="T11" s="701" t="s">
        <v>14</v>
      </c>
      <c r="U11" s="702">
        <f t="shared" si="1"/>
        <v>100</v>
      </c>
      <c r="V11" s="701" t="s">
        <v>14</v>
      </c>
      <c r="W11" s="702">
        <f t="shared" si="2"/>
        <v>100</v>
      </c>
      <c r="X11" s="703"/>
      <c r="Y11" s="3624"/>
      <c r="Z11" s="3450"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0"/>
      <c r="Q12" s="3451">
        <f t="shared" si="6"/>
        <v>111</v>
      </c>
      <c r="R12" s="701" t="s">
        <v>14</v>
      </c>
      <c r="S12" s="702">
        <f t="shared" si="0"/>
        <v>100</v>
      </c>
      <c r="T12" s="701" t="s">
        <v>14</v>
      </c>
      <c r="U12" s="702">
        <f t="shared" si="1"/>
        <v>100</v>
      </c>
      <c r="V12" s="701" t="s">
        <v>14</v>
      </c>
      <c r="W12" s="702">
        <f t="shared" si="2"/>
        <v>100</v>
      </c>
      <c r="X12" s="703"/>
      <c r="Y12" s="3624"/>
      <c r="Z12" s="345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0"/>
      <c r="Q13" s="3451">
        <f t="shared" si="6"/>
        <v>111</v>
      </c>
      <c r="R13" s="701" t="s">
        <v>14</v>
      </c>
      <c r="S13" s="702">
        <f t="shared" si="0"/>
        <v>100</v>
      </c>
      <c r="T13" s="701" t="s">
        <v>14</v>
      </c>
      <c r="U13" s="702">
        <f t="shared" si="1"/>
        <v>100</v>
      </c>
      <c r="V13" s="701" t="s">
        <v>14</v>
      </c>
      <c r="W13" s="702">
        <f t="shared" si="2"/>
        <v>100</v>
      </c>
      <c r="X13" s="703"/>
      <c r="Y13" s="3624"/>
      <c r="Z13" s="3450">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0"/>
      <c r="Q14" s="3451">
        <f t="shared" si="6"/>
        <v>111</v>
      </c>
      <c r="R14" s="701" t="s">
        <v>14</v>
      </c>
      <c r="S14" s="702">
        <f t="shared" si="0"/>
        <v>100</v>
      </c>
      <c r="T14" s="701" t="s">
        <v>14</v>
      </c>
      <c r="U14" s="702">
        <f t="shared" si="1"/>
        <v>100</v>
      </c>
      <c r="V14" s="701" t="s">
        <v>14</v>
      </c>
      <c r="W14" s="702">
        <f t="shared" si="2"/>
        <v>100</v>
      </c>
      <c r="X14" s="703"/>
      <c r="Y14" s="3624"/>
      <c r="Z14" s="3450">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84" t="s">
        <v>1691</v>
      </c>
      <c r="Q15" s="3455" t="str">
        <f t="shared" si="6"/>
        <v>商业繁华度</v>
      </c>
      <c r="R15" s="705" t="s">
        <v>14</v>
      </c>
      <c r="S15" s="706">
        <f t="shared" si="0"/>
        <v>100</v>
      </c>
      <c r="T15" s="705" t="s">
        <v>14</v>
      </c>
      <c r="U15" s="706">
        <f t="shared" si="1"/>
        <v>100</v>
      </c>
      <c r="V15" s="705" t="s">
        <v>14</v>
      </c>
      <c r="W15" s="706">
        <f t="shared" si="2"/>
        <v>100</v>
      </c>
      <c r="X15" s="3452"/>
      <c r="Y15" s="3686" t="s">
        <v>1691</v>
      </c>
      <c r="Z15" s="3453" t="str">
        <f t="shared" si="7"/>
        <v>商业繁华度</v>
      </c>
      <c r="AA15" s="3456">
        <f t="shared" si="3"/>
        <v>1</v>
      </c>
      <c r="AB15" s="3456">
        <f t="shared" si="4"/>
        <v>1</v>
      </c>
      <c r="AC15" s="3456">
        <f t="shared" si="5"/>
        <v>1</v>
      </c>
    </row>
    <row r="16" spans="1:29" ht="15">
      <c r="A16" s="379"/>
      <c r="B16" s="397"/>
      <c r="C16" s="398" t="s">
        <v>3401</v>
      </c>
      <c r="D16" s="399"/>
      <c r="E16" s="398" t="s">
        <v>3401</v>
      </c>
      <c r="F16" s="400"/>
      <c r="G16" s="398" t="s">
        <v>3401</v>
      </c>
      <c r="H16" s="401"/>
      <c r="I16" s="398" t="s">
        <v>3401</v>
      </c>
      <c r="J16" s="399"/>
      <c r="K16" s="564"/>
      <c r="L16" s="2722"/>
      <c r="M16" s="2716"/>
      <c r="N16" s="2716"/>
      <c r="O16" s="2716"/>
      <c r="P16" s="3685"/>
      <c r="Q16" s="3455"/>
      <c r="R16" s="705"/>
      <c r="S16" s="706"/>
      <c r="T16" s="705"/>
      <c r="U16" s="706"/>
      <c r="V16" s="705"/>
      <c r="W16" s="706"/>
      <c r="X16" s="3452"/>
      <c r="Y16" s="3687"/>
      <c r="Z16" s="3453"/>
      <c r="AA16" s="3456">
        <v>1</v>
      </c>
      <c r="AB16" s="3456">
        <v>1</v>
      </c>
      <c r="AC16" s="3456">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85"/>
      <c r="Q17" s="3455" t="str">
        <f>B17</f>
        <v>交通便捷度</v>
      </c>
      <c r="R17" s="705" t="s">
        <v>14</v>
      </c>
      <c r="S17" s="706">
        <f>F17</f>
        <v>100</v>
      </c>
      <c r="T17" s="705" t="s">
        <v>14</v>
      </c>
      <c r="U17" s="706">
        <f>H17</f>
        <v>100</v>
      </c>
      <c r="V17" s="705" t="s">
        <v>14</v>
      </c>
      <c r="W17" s="706">
        <f>J17</f>
        <v>100</v>
      </c>
      <c r="X17" s="3452"/>
      <c r="Y17" s="3687"/>
      <c r="Z17" s="3453" t="str">
        <f>Q17</f>
        <v>交通便捷度</v>
      </c>
      <c r="AA17" s="3456">
        <f t="shared" si="3"/>
        <v>1</v>
      </c>
      <c r="AB17" s="3456">
        <f t="shared" si="4"/>
        <v>1</v>
      </c>
      <c r="AC17" s="3456">
        <f t="shared" si="5"/>
        <v>1</v>
      </c>
    </row>
    <row r="18" spans="1:29" ht="15">
      <c r="A18" s="379"/>
      <c r="B18" s="407"/>
      <c r="C18" s="1901" t="s">
        <v>3401</v>
      </c>
      <c r="D18" s="401"/>
      <c r="E18" s="1903" t="s">
        <v>3401</v>
      </c>
      <c r="F18" s="404"/>
      <c r="G18" s="1902" t="s">
        <v>3401</v>
      </c>
      <c r="H18" s="399"/>
      <c r="I18" s="1903" t="s">
        <v>3401</v>
      </c>
      <c r="J18" s="399"/>
      <c r="K18" s="564"/>
      <c r="L18" s="2722"/>
      <c r="M18" s="2716"/>
      <c r="N18" s="2716"/>
      <c r="O18" s="2716"/>
      <c r="P18" s="3685"/>
      <c r="Q18" s="3455"/>
      <c r="R18" s="705"/>
      <c r="S18" s="706"/>
      <c r="T18" s="705"/>
      <c r="U18" s="706"/>
      <c r="V18" s="705"/>
      <c r="W18" s="706"/>
      <c r="X18" s="3452"/>
      <c r="Y18" s="3687"/>
      <c r="Z18" s="3453"/>
      <c r="AA18" s="3456">
        <v>1</v>
      </c>
      <c r="AB18" s="3456">
        <v>1</v>
      </c>
      <c r="AC18" s="3456">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85"/>
      <c r="Q19" s="3455" t="str">
        <f>B19</f>
        <v>公共配套设施</v>
      </c>
      <c r="R19" s="705" t="s">
        <v>14</v>
      </c>
      <c r="S19" s="706">
        <f>F19</f>
        <v>100</v>
      </c>
      <c r="T19" s="705" t="s">
        <v>14</v>
      </c>
      <c r="U19" s="706">
        <f>H19</f>
        <v>100</v>
      </c>
      <c r="V19" s="705" t="s">
        <v>14</v>
      </c>
      <c r="W19" s="706">
        <f>J19</f>
        <v>100</v>
      </c>
      <c r="X19" s="3452"/>
      <c r="Y19" s="3687"/>
      <c r="Z19" s="3453" t="str">
        <f>Q19</f>
        <v>公共配套设施</v>
      </c>
      <c r="AA19" s="3456">
        <f t="shared" si="3"/>
        <v>1</v>
      </c>
      <c r="AB19" s="3456">
        <f t="shared" si="4"/>
        <v>1</v>
      </c>
      <c r="AC19" s="3456">
        <f t="shared" si="5"/>
        <v>1</v>
      </c>
    </row>
    <row r="20" spans="1:29" ht="15">
      <c r="A20" s="379"/>
      <c r="B20" s="407"/>
      <c r="C20" s="398" t="s">
        <v>3401</v>
      </c>
      <c r="D20" s="399"/>
      <c r="E20" s="1898" t="s">
        <v>3401</v>
      </c>
      <c r="F20" s="400"/>
      <c r="G20" s="1897" t="s">
        <v>3401</v>
      </c>
      <c r="H20" s="399"/>
      <c r="I20" s="1898" t="s">
        <v>3401</v>
      </c>
      <c r="J20" s="399"/>
      <c r="K20" s="564"/>
      <c r="L20" s="2722"/>
      <c r="M20" s="2716"/>
      <c r="N20" s="2716"/>
      <c r="O20" s="2716"/>
      <c r="P20" s="3685"/>
      <c r="Q20" s="3455"/>
      <c r="R20" s="705"/>
      <c r="S20" s="706"/>
      <c r="T20" s="705"/>
      <c r="U20" s="706"/>
      <c r="V20" s="705"/>
      <c r="W20" s="706"/>
      <c r="X20" s="3452"/>
      <c r="Y20" s="3687"/>
      <c r="Z20" s="3453"/>
      <c r="AA20" s="3456">
        <v>1</v>
      </c>
      <c r="AB20" s="3456">
        <v>1</v>
      </c>
      <c r="AC20" s="3456">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5"/>
      <c r="Q21" s="3455" t="str">
        <f>B21</f>
        <v>基础设施水平</v>
      </c>
      <c r="R21" s="705" t="s">
        <v>14</v>
      </c>
      <c r="S21" s="706">
        <f>F21</f>
        <v>100</v>
      </c>
      <c r="T21" s="705" t="s">
        <v>14</v>
      </c>
      <c r="U21" s="706">
        <f>H21</f>
        <v>100</v>
      </c>
      <c r="V21" s="705" t="s">
        <v>14</v>
      </c>
      <c r="W21" s="706">
        <f>J21</f>
        <v>100</v>
      </c>
      <c r="X21" s="3452"/>
      <c r="Y21" s="3687"/>
      <c r="Z21" s="3453" t="str">
        <f>Q21</f>
        <v>基础设施水平</v>
      </c>
      <c r="AA21" s="3456">
        <f t="shared" ref="AA21" si="8">D21/F21</f>
        <v>1</v>
      </c>
      <c r="AB21" s="3456">
        <f t="shared" ref="AB21" si="9">D21/H21</f>
        <v>1</v>
      </c>
      <c r="AC21" s="3456">
        <f t="shared" ref="AC21" si="10">D21/J21</f>
        <v>1</v>
      </c>
    </row>
    <row r="22" spans="1:29" ht="15">
      <c r="A22" s="379"/>
      <c r="B22" s="1131"/>
      <c r="C22" s="1901" t="s">
        <v>3452</v>
      </c>
      <c r="D22" s="399"/>
      <c r="E22" s="1901" t="s">
        <v>3452</v>
      </c>
      <c r="F22" s="400"/>
      <c r="G22" s="1901" t="s">
        <v>3452</v>
      </c>
      <c r="H22" s="399"/>
      <c r="I22" s="1901" t="s">
        <v>3452</v>
      </c>
      <c r="J22" s="399"/>
      <c r="K22" s="1130"/>
      <c r="L22" s="2722"/>
      <c r="M22" s="2716"/>
      <c r="N22" s="2716"/>
      <c r="O22" s="2716"/>
      <c r="P22" s="3685"/>
      <c r="Q22" s="3455"/>
      <c r="R22" s="705"/>
      <c r="S22" s="706"/>
      <c r="T22" s="705"/>
      <c r="U22" s="706"/>
      <c r="V22" s="705"/>
      <c r="W22" s="706"/>
      <c r="X22" s="3452"/>
      <c r="Y22" s="3687"/>
      <c r="Z22" s="3453"/>
      <c r="AA22" s="3456">
        <v>1</v>
      </c>
      <c r="AB22" s="3456">
        <v>1</v>
      </c>
      <c r="AC22" s="3456">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5"/>
      <c r="Q23" s="3455" t="str">
        <f>B23</f>
        <v>自然及人文环境</v>
      </c>
      <c r="R23" s="705" t="s">
        <v>14</v>
      </c>
      <c r="S23" s="706">
        <f>F23</f>
        <v>100</v>
      </c>
      <c r="T23" s="705" t="s">
        <v>14</v>
      </c>
      <c r="U23" s="706">
        <f>H23</f>
        <v>100</v>
      </c>
      <c r="V23" s="705" t="s">
        <v>14</v>
      </c>
      <c r="W23" s="706">
        <f>J23</f>
        <v>100</v>
      </c>
      <c r="X23" s="3452"/>
      <c r="Y23" s="3687"/>
      <c r="Z23" s="3453" t="str">
        <f>Q23</f>
        <v>自然及人文环境</v>
      </c>
      <c r="AA23" s="3456">
        <f t="shared" si="3"/>
        <v>1</v>
      </c>
      <c r="AB23" s="3456">
        <f t="shared" si="4"/>
        <v>1</v>
      </c>
      <c r="AC23" s="3456">
        <f t="shared" si="5"/>
        <v>1</v>
      </c>
    </row>
    <row r="24" spans="1:29" ht="15">
      <c r="A24" s="379"/>
      <c r="B24" s="407"/>
      <c r="C24" s="398" t="s">
        <v>3402</v>
      </c>
      <c r="D24" s="399"/>
      <c r="E24" s="1898" t="s">
        <v>3402</v>
      </c>
      <c r="F24" s="400"/>
      <c r="G24" s="1897" t="s">
        <v>3402</v>
      </c>
      <c r="H24" s="399"/>
      <c r="I24" s="1897" t="s">
        <v>3402</v>
      </c>
      <c r="J24" s="399"/>
      <c r="K24" s="564"/>
      <c r="L24" s="2722"/>
      <c r="M24" s="2716"/>
      <c r="N24" s="2716"/>
      <c r="O24" s="2716"/>
      <c r="P24" s="3685"/>
      <c r="Q24" s="3455"/>
      <c r="R24" s="705"/>
      <c r="S24" s="706"/>
      <c r="T24" s="705"/>
      <c r="U24" s="706"/>
      <c r="V24" s="705"/>
      <c r="W24" s="706"/>
      <c r="X24" s="3452"/>
      <c r="Y24" s="3687"/>
      <c r="Z24" s="3453"/>
      <c r="AA24" s="3456">
        <v>1</v>
      </c>
      <c r="AB24" s="3456">
        <v>1</v>
      </c>
      <c r="AC24" s="345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5"/>
      <c r="Q25" s="3455" t="str">
        <f t="shared" ref="Q25:Q46" si="11">B25</f>
        <v>临街状况</v>
      </c>
      <c r="R25" s="705" t="s">
        <v>14</v>
      </c>
      <c r="S25" s="706">
        <f>F25</f>
        <v>100</v>
      </c>
      <c r="T25" s="705" t="s">
        <v>14</v>
      </c>
      <c r="U25" s="706">
        <f>H25</f>
        <v>100</v>
      </c>
      <c r="V25" s="705" t="s">
        <v>14</v>
      </c>
      <c r="W25" s="706">
        <f>J25</f>
        <v>100</v>
      </c>
      <c r="X25" s="3452"/>
      <c r="Y25" s="3687"/>
      <c r="Z25" s="3453" t="str">
        <f>Q25</f>
        <v>临街状况</v>
      </c>
      <c r="AA25" s="3456">
        <f t="shared" si="3"/>
        <v>1</v>
      </c>
      <c r="AB25" s="3456">
        <f t="shared" si="4"/>
        <v>1</v>
      </c>
      <c r="AC25" s="3456">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5"/>
      <c r="Q26" s="3455" t="str">
        <f t="shared" si="11"/>
        <v>平面位置/可视性</v>
      </c>
      <c r="R26" s="705" t="s">
        <v>14</v>
      </c>
      <c r="S26" s="706">
        <f>F26</f>
        <v>100</v>
      </c>
      <c r="T26" s="705" t="s">
        <v>14</v>
      </c>
      <c r="U26" s="706">
        <f>H26</f>
        <v>100</v>
      </c>
      <c r="V26" s="705" t="s">
        <v>14</v>
      </c>
      <c r="W26" s="706">
        <f>J26</f>
        <v>100</v>
      </c>
      <c r="X26" s="3452"/>
      <c r="Y26" s="3687"/>
      <c r="Z26" s="3453" t="str">
        <f>Q26</f>
        <v>平面位置/可视性</v>
      </c>
      <c r="AA26" s="3456">
        <f t="shared" si="3"/>
        <v>1</v>
      </c>
      <c r="AB26" s="3456">
        <f t="shared" si="4"/>
        <v>1</v>
      </c>
      <c r="AC26" s="3456">
        <f t="shared" si="5"/>
        <v>1</v>
      </c>
    </row>
    <row r="27" spans="1:29" s="108" customFormat="1" ht="15">
      <c r="A27" s="382"/>
      <c r="B27" s="402" t="s">
        <v>1782</v>
      </c>
      <c r="C27" s="1956" t="s">
        <v>3421</v>
      </c>
      <c r="D27" s="413">
        <v>100</v>
      </c>
      <c r="E27" s="1956" t="s">
        <v>3421</v>
      </c>
      <c r="F27" s="415">
        <f>SUMIF(90:90,E27,91:91)-SUMIF(90:90,C27,91:91)+100</f>
        <v>100</v>
      </c>
      <c r="G27" s="1956" t="s">
        <v>3421</v>
      </c>
      <c r="H27" s="413">
        <f>SUMIF(90:90,G27,91:91)-SUMIF(90:90,C27,91:91)+100</f>
        <v>100</v>
      </c>
      <c r="I27" s="1956" t="s">
        <v>3421</v>
      </c>
      <c r="J27" s="413">
        <f>SUMIF(90:90,I27,91:91)-SUMIF(90:90,C27,91:91)+100</f>
        <v>100</v>
      </c>
      <c r="K27" s="561"/>
      <c r="L27" s="2717"/>
      <c r="M27" s="2718"/>
      <c r="N27" s="2718"/>
      <c r="O27" s="2718"/>
      <c r="P27" s="3685"/>
      <c r="Q27" s="3451" t="str">
        <f t="shared" si="11"/>
        <v>人流量</v>
      </c>
      <c r="R27" s="701" t="s">
        <v>14</v>
      </c>
      <c r="S27" s="702">
        <f>F27</f>
        <v>100</v>
      </c>
      <c r="T27" s="701" t="s">
        <v>14</v>
      </c>
      <c r="U27" s="702">
        <f>H27</f>
        <v>100</v>
      </c>
      <c r="V27" s="701" t="s">
        <v>14</v>
      </c>
      <c r="W27" s="702">
        <f>J27</f>
        <v>100</v>
      </c>
      <c r="X27" s="703"/>
      <c r="Y27" s="3687"/>
      <c r="Z27" s="3450" t="str">
        <f>Q27</f>
        <v>人流量</v>
      </c>
      <c r="AA27" s="3456">
        <f>D27/F27</f>
        <v>1</v>
      </c>
      <c r="AB27" s="3456">
        <f>D27/H27</f>
        <v>1</v>
      </c>
      <c r="AC27" s="3456">
        <f>D27/J27</f>
        <v>1</v>
      </c>
    </row>
    <row r="28" spans="1:29" ht="15">
      <c r="A28" s="379"/>
      <c r="B28" s="375" t="s">
        <v>1783</v>
      </c>
      <c r="C28" s="565">
        <v>1</v>
      </c>
      <c r="D28" s="386">
        <v>100</v>
      </c>
      <c r="E28" s="565">
        <v>1</v>
      </c>
      <c r="F28" s="412">
        <f>SUMIF(92:92,E28,93:93)-SUMIF(92:92,C28,93:93)+100</f>
        <v>100</v>
      </c>
      <c r="G28" s="565" t="s">
        <v>3455</v>
      </c>
      <c r="H28" s="386">
        <f>SUMIF(92:92,G28,93:93)-SUMIF(92:92,C28,93:93)+100</f>
        <v>82</v>
      </c>
      <c r="I28" s="565">
        <v>1</v>
      </c>
      <c r="J28" s="386">
        <f>SUMIF(92:92,I28,93:93)-SUMIF(92:92,C28,93:93)+100</f>
        <v>100</v>
      </c>
      <c r="K28" s="562"/>
      <c r="L28" s="2722"/>
      <c r="M28" s="2716"/>
      <c r="N28" s="2716"/>
      <c r="O28" s="2716"/>
      <c r="P28" s="3685"/>
      <c r="Q28" s="3455" t="str">
        <f t="shared" si="11"/>
        <v>楼层</v>
      </c>
      <c r="R28" s="705" t="s">
        <v>14</v>
      </c>
      <c r="S28" s="706">
        <f t="shared" ref="S28:S46" si="12">F28</f>
        <v>100</v>
      </c>
      <c r="T28" s="705" t="s">
        <v>14</v>
      </c>
      <c r="U28" s="706">
        <f t="shared" ref="U28:U46" si="13">H28</f>
        <v>82</v>
      </c>
      <c r="V28" s="705" t="s">
        <v>14</v>
      </c>
      <c r="W28" s="706">
        <f t="shared" ref="W28:W46" si="14">J28</f>
        <v>100</v>
      </c>
      <c r="X28" s="3452"/>
      <c r="Y28" s="3687"/>
      <c r="Z28" s="3453" t="str">
        <f t="shared" ref="Z28:Z46" si="15">Q28</f>
        <v>楼层</v>
      </c>
      <c r="AA28" s="3456">
        <f t="shared" si="3"/>
        <v>1</v>
      </c>
      <c r="AB28" s="3456">
        <f t="shared" si="4"/>
        <v>1.2195121951219512</v>
      </c>
      <c r="AC28" s="3456">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5"/>
      <c r="Q29" s="3455">
        <f t="shared" si="11"/>
        <v>111</v>
      </c>
      <c r="R29" s="705" t="s">
        <v>14</v>
      </c>
      <c r="S29" s="706">
        <f t="shared" si="12"/>
        <v>100</v>
      </c>
      <c r="T29" s="705" t="s">
        <v>14</v>
      </c>
      <c r="U29" s="706">
        <f t="shared" si="13"/>
        <v>100</v>
      </c>
      <c r="V29" s="705" t="s">
        <v>14</v>
      </c>
      <c r="W29" s="706">
        <f t="shared" si="14"/>
        <v>100</v>
      </c>
      <c r="X29" s="3452"/>
      <c r="Y29" s="3687"/>
      <c r="Z29" s="3453">
        <f t="shared" si="15"/>
        <v>111</v>
      </c>
      <c r="AA29" s="3456">
        <f t="shared" si="3"/>
        <v>1</v>
      </c>
      <c r="AB29" s="3456">
        <f t="shared" si="4"/>
        <v>1</v>
      </c>
      <c r="AC29" s="3456">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5"/>
      <c r="Q30" s="3455">
        <f t="shared" si="11"/>
        <v>111</v>
      </c>
      <c r="R30" s="705" t="s">
        <v>14</v>
      </c>
      <c r="S30" s="706">
        <f t="shared" si="12"/>
        <v>100</v>
      </c>
      <c r="T30" s="705" t="s">
        <v>14</v>
      </c>
      <c r="U30" s="706">
        <f t="shared" si="13"/>
        <v>100</v>
      </c>
      <c r="V30" s="705" t="s">
        <v>14</v>
      </c>
      <c r="W30" s="706">
        <f t="shared" si="14"/>
        <v>100</v>
      </c>
      <c r="X30" s="3452"/>
      <c r="Y30" s="3687"/>
      <c r="Z30" s="3453">
        <f t="shared" si="15"/>
        <v>111</v>
      </c>
      <c r="AA30" s="3456">
        <f t="shared" si="3"/>
        <v>1</v>
      </c>
      <c r="AB30" s="3456">
        <f t="shared" si="4"/>
        <v>1</v>
      </c>
      <c r="AC30" s="3456">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5"/>
      <c r="Q31" s="3455">
        <f t="shared" si="11"/>
        <v>111</v>
      </c>
      <c r="R31" s="705" t="s">
        <v>14</v>
      </c>
      <c r="S31" s="706">
        <f t="shared" si="12"/>
        <v>100</v>
      </c>
      <c r="T31" s="705" t="s">
        <v>14</v>
      </c>
      <c r="U31" s="706">
        <f t="shared" si="13"/>
        <v>100</v>
      </c>
      <c r="V31" s="705" t="s">
        <v>14</v>
      </c>
      <c r="W31" s="706">
        <f t="shared" si="14"/>
        <v>100</v>
      </c>
      <c r="X31" s="3452"/>
      <c r="Y31" s="3687"/>
      <c r="Z31" s="3453">
        <f t="shared" si="15"/>
        <v>111</v>
      </c>
      <c r="AA31" s="3456">
        <f t="shared" si="3"/>
        <v>1</v>
      </c>
      <c r="AB31" s="3456">
        <f t="shared" si="4"/>
        <v>1</v>
      </c>
      <c r="AC31" s="3456">
        <f t="shared" si="5"/>
        <v>1</v>
      </c>
    </row>
    <row r="32" spans="1:29" ht="15">
      <c r="A32" s="391" t="s">
        <v>1694</v>
      </c>
      <c r="B32" s="63" t="s">
        <v>1784</v>
      </c>
      <c r="C32" s="1910" t="s">
        <v>3428</v>
      </c>
      <c r="D32" s="418">
        <v>100</v>
      </c>
      <c r="E32" s="1910" t="s">
        <v>3428</v>
      </c>
      <c r="F32" s="412">
        <f>SUMIF(100:100,E32,101:101)-SUMIF(100:100,C32,101:101)+100</f>
        <v>100</v>
      </c>
      <c r="G32" s="1910" t="s">
        <v>3431</v>
      </c>
      <c r="H32" s="386">
        <f>SUMIF(100:100,G32,101:101)-SUMIF(100:100,C32,101:101)+100</f>
        <v>94</v>
      </c>
      <c r="I32" s="1910" t="s">
        <v>3431</v>
      </c>
      <c r="J32" s="418">
        <f>SUMIF(100:100,I32,101:101)-SUMIF(100:100,C32,101:101)+100</f>
        <v>94</v>
      </c>
      <c r="K32" s="561">
        <v>3</v>
      </c>
      <c r="L32" s="2722"/>
      <c r="M32" s="2716"/>
      <c r="N32" s="2716"/>
      <c r="O32" s="2716"/>
      <c r="P32" s="3688" t="s">
        <v>1696</v>
      </c>
      <c r="Q32" s="3455" t="str">
        <f t="shared" si="11"/>
        <v>商业类型</v>
      </c>
      <c r="R32" s="705" t="s">
        <v>14</v>
      </c>
      <c r="S32" s="706">
        <f t="shared" si="12"/>
        <v>100</v>
      </c>
      <c r="T32" s="705" t="s">
        <v>14</v>
      </c>
      <c r="U32" s="706">
        <f t="shared" si="13"/>
        <v>94</v>
      </c>
      <c r="V32" s="705" t="s">
        <v>14</v>
      </c>
      <c r="W32" s="706">
        <f t="shared" si="14"/>
        <v>94</v>
      </c>
      <c r="X32" s="3452"/>
      <c r="Y32" s="3691" t="s">
        <v>1696</v>
      </c>
      <c r="Z32" s="3453" t="str">
        <f t="shared" si="15"/>
        <v>商业类型</v>
      </c>
      <c r="AA32" s="3456">
        <f t="shared" si="3"/>
        <v>1</v>
      </c>
      <c r="AB32" s="3456">
        <f t="shared" si="4"/>
        <v>1.0638297872340425</v>
      </c>
      <c r="AC32" s="3456">
        <f t="shared" si="5"/>
        <v>1.0638297872340425</v>
      </c>
    </row>
    <row r="33" spans="1:29" s="422" customFormat="1" ht="15">
      <c r="A33" s="419"/>
      <c r="B33" s="375" t="s">
        <v>1697</v>
      </c>
      <c r="C33" s="420">
        <f>'数据-基础表'!I13</f>
        <v>525.54999999999995</v>
      </c>
      <c r="D33" s="127">
        <v>100</v>
      </c>
      <c r="E33" s="381">
        <v>200</v>
      </c>
      <c r="F33" s="376">
        <f>LOOKUP(E33,103:103,104:104)-LOOKUP(C33,103:103,104:104)+100</f>
        <v>102</v>
      </c>
      <c r="G33" s="380">
        <v>580</v>
      </c>
      <c r="H33" s="127">
        <f>LOOKUP(G33,103:103,104:104)-LOOKUP(C33,103:103,104:104)+100</f>
        <v>100</v>
      </c>
      <c r="I33" s="380">
        <v>66</v>
      </c>
      <c r="J33" s="127">
        <f>LOOKUP(I33,103:103,104:104)-LOOKUP(C33,103:103,104:104)+100</f>
        <v>103</v>
      </c>
      <c r="K33" s="562"/>
      <c r="L33" s="2721"/>
      <c r="M33" s="2723"/>
      <c r="N33" s="2723"/>
      <c r="O33" s="2723"/>
      <c r="P33" s="3689"/>
      <c r="Q33" s="707" t="str">
        <f t="shared" si="11"/>
        <v>项目建筑规模</v>
      </c>
      <c r="R33" s="708" t="s">
        <v>14</v>
      </c>
      <c r="S33" s="709">
        <f t="shared" si="12"/>
        <v>102</v>
      </c>
      <c r="T33" s="708" t="s">
        <v>14</v>
      </c>
      <c r="U33" s="709">
        <f t="shared" si="13"/>
        <v>100</v>
      </c>
      <c r="V33" s="708" t="s">
        <v>14</v>
      </c>
      <c r="W33" s="709">
        <f t="shared" si="14"/>
        <v>103</v>
      </c>
      <c r="X33" s="710"/>
      <c r="Y33" s="3691"/>
      <c r="Z33" s="711" t="str">
        <f t="shared" si="15"/>
        <v>项目建筑规模</v>
      </c>
      <c r="AA33" s="3456">
        <f t="shared" si="3"/>
        <v>0.98039215686274506</v>
      </c>
      <c r="AB33" s="3456">
        <f t="shared" si="4"/>
        <v>1</v>
      </c>
      <c r="AC33" s="3456">
        <f t="shared" si="5"/>
        <v>0.970873786407767</v>
      </c>
    </row>
    <row r="34" spans="1:29" ht="15">
      <c r="A34" s="423"/>
      <c r="B34" s="375" t="s">
        <v>1698</v>
      </c>
      <c r="C34" s="1912" t="s">
        <v>3433</v>
      </c>
      <c r="D34" s="386">
        <v>100</v>
      </c>
      <c r="E34" s="1912" t="s">
        <v>3433</v>
      </c>
      <c r="F34" s="412">
        <f>SUMIF(105:105,E34,106:106)-SUMIF(105:105,C34,106:106)+100</f>
        <v>100</v>
      </c>
      <c r="G34" s="1912" t="s">
        <v>3433</v>
      </c>
      <c r="H34" s="386">
        <f>SUMIF(105:105,G34,106:106)-SUMIF(105:105,C34,106:106)+100</f>
        <v>100</v>
      </c>
      <c r="I34" s="1912" t="s">
        <v>3433</v>
      </c>
      <c r="J34" s="386">
        <f>SUMIF(105:105,I34,106:106)-SUMIF(105:105,C34,106:106)+100</f>
        <v>100</v>
      </c>
      <c r="K34" s="561">
        <v>2</v>
      </c>
      <c r="L34" s="2722"/>
      <c r="M34" s="2716"/>
      <c r="N34" s="2716"/>
      <c r="O34" s="2716"/>
      <c r="P34" s="3689"/>
      <c r="Q34" s="3455" t="str">
        <f t="shared" si="11"/>
        <v>建筑结构</v>
      </c>
      <c r="R34" s="705" t="s">
        <v>14</v>
      </c>
      <c r="S34" s="706">
        <f t="shared" si="12"/>
        <v>100</v>
      </c>
      <c r="T34" s="705" t="s">
        <v>14</v>
      </c>
      <c r="U34" s="706">
        <f t="shared" si="13"/>
        <v>100</v>
      </c>
      <c r="V34" s="705" t="s">
        <v>14</v>
      </c>
      <c r="W34" s="706">
        <f t="shared" si="14"/>
        <v>100</v>
      </c>
      <c r="X34" s="3452"/>
      <c r="Y34" s="3691"/>
      <c r="Z34" s="3453" t="str">
        <f t="shared" si="15"/>
        <v>建筑结构</v>
      </c>
      <c r="AA34" s="3456">
        <f t="shared" si="3"/>
        <v>1</v>
      </c>
      <c r="AB34" s="3456">
        <f t="shared" si="4"/>
        <v>1</v>
      </c>
      <c r="AC34" s="3456">
        <f t="shared" si="5"/>
        <v>1</v>
      </c>
    </row>
    <row r="35" spans="1:29" ht="15">
      <c r="A35" s="423"/>
      <c r="B35" s="375" t="s">
        <v>1785</v>
      </c>
      <c r="C35" s="1906" t="s">
        <v>3435</v>
      </c>
      <c r="D35" s="386">
        <v>100</v>
      </c>
      <c r="E35" s="1906" t="s">
        <v>3435</v>
      </c>
      <c r="F35" s="412">
        <f>SUMIF(107:107,E35,108:108)-SUMIF(107:107,C35,108:108)+100</f>
        <v>100</v>
      </c>
      <c r="G35" s="1906" t="s">
        <v>3435</v>
      </c>
      <c r="H35" s="386">
        <f>SUMIF(107:107,G35,108:108)-SUMIF(107:107,C35,108:108)+100</f>
        <v>100</v>
      </c>
      <c r="I35" s="1906" t="s">
        <v>3435</v>
      </c>
      <c r="J35" s="386">
        <f>SUMIF(107:107,I35,108:108)-SUMIF(107:107,C35,108:108)+100</f>
        <v>100</v>
      </c>
      <c r="K35" s="561">
        <v>2</v>
      </c>
      <c r="L35" s="2722"/>
      <c r="M35" s="2716"/>
      <c r="N35" s="2716"/>
      <c r="O35" s="2716"/>
      <c r="P35" s="3689"/>
      <c r="Q35" s="3455" t="str">
        <f t="shared" si="11"/>
        <v>公共部分装修</v>
      </c>
      <c r="R35" s="705" t="s">
        <v>14</v>
      </c>
      <c r="S35" s="706">
        <f t="shared" si="12"/>
        <v>100</v>
      </c>
      <c r="T35" s="705" t="s">
        <v>14</v>
      </c>
      <c r="U35" s="706">
        <f t="shared" si="13"/>
        <v>100</v>
      </c>
      <c r="V35" s="705" t="s">
        <v>14</v>
      </c>
      <c r="W35" s="706">
        <f t="shared" si="14"/>
        <v>100</v>
      </c>
      <c r="X35" s="3452"/>
      <c r="Y35" s="3691"/>
      <c r="Z35" s="3453" t="str">
        <f t="shared" si="15"/>
        <v>公共部分装修</v>
      </c>
      <c r="AA35" s="3456">
        <f t="shared" si="3"/>
        <v>1</v>
      </c>
      <c r="AB35" s="3456">
        <f t="shared" si="4"/>
        <v>1</v>
      </c>
      <c r="AC35" s="3456">
        <f t="shared" si="5"/>
        <v>1</v>
      </c>
    </row>
    <row r="36" spans="1:29" ht="15">
      <c r="A36" s="423"/>
      <c r="B36" s="375" t="s">
        <v>1786</v>
      </c>
      <c r="C36" s="425">
        <v>0.9</v>
      </c>
      <c r="D36" s="386">
        <v>100</v>
      </c>
      <c r="E36" s="425">
        <f>1-(2023-E50)/60</f>
        <v>0.71666666666666667</v>
      </c>
      <c r="F36" s="412">
        <f>LOOKUP(E36,110:110,111:111)-LOOKUP(C36,110:110,111:111)+100</f>
        <v>96</v>
      </c>
      <c r="G36" s="425">
        <f>1-(2023-G50)/60</f>
        <v>0.7</v>
      </c>
      <c r="H36" s="412">
        <f>LOOKUP(G36,110:110,111:111)-LOOKUP(C36,110:110,111:111)+100</f>
        <v>96</v>
      </c>
      <c r="I36" s="425">
        <v>0.87</v>
      </c>
      <c r="J36" s="386">
        <f>LOOKUP(I36,110:110,111:111)-LOOKUP(C36,110:110,111:111)+100</f>
        <v>98</v>
      </c>
      <c r="K36" s="561">
        <v>2</v>
      </c>
      <c r="L36" s="2722"/>
      <c r="M36" s="2716"/>
      <c r="N36" s="2716"/>
      <c r="O36" s="2716"/>
      <c r="P36" s="3689"/>
      <c r="Q36" s="3455" t="str">
        <f t="shared" si="11"/>
        <v>成新度</v>
      </c>
      <c r="R36" s="705" t="s">
        <v>14</v>
      </c>
      <c r="S36" s="706">
        <f t="shared" si="12"/>
        <v>96</v>
      </c>
      <c r="T36" s="705" t="s">
        <v>14</v>
      </c>
      <c r="U36" s="706">
        <f t="shared" si="13"/>
        <v>96</v>
      </c>
      <c r="V36" s="705" t="s">
        <v>14</v>
      </c>
      <c r="W36" s="706">
        <f t="shared" si="14"/>
        <v>98</v>
      </c>
      <c r="X36" s="3452"/>
      <c r="Y36" s="3691"/>
      <c r="Z36" s="3453" t="str">
        <f t="shared" si="15"/>
        <v>成新度</v>
      </c>
      <c r="AA36" s="3456">
        <f t="shared" si="3"/>
        <v>1.0416666666666667</v>
      </c>
      <c r="AB36" s="3456">
        <f t="shared" si="4"/>
        <v>1.0416666666666667</v>
      </c>
      <c r="AC36" s="3456">
        <f t="shared" si="5"/>
        <v>1.0204081632653061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3451" t="str">
        <f t="shared" si="11"/>
        <v>市政基础设施</v>
      </c>
      <c r="R37" s="701" t="s">
        <v>14</v>
      </c>
      <c r="S37" s="702">
        <f t="shared" si="12"/>
        <v>100</v>
      </c>
      <c r="T37" s="701" t="s">
        <v>14</v>
      </c>
      <c r="U37" s="702">
        <f t="shared" si="13"/>
        <v>100</v>
      </c>
      <c r="V37" s="701" t="s">
        <v>14</v>
      </c>
      <c r="W37" s="702">
        <f t="shared" si="14"/>
        <v>100</v>
      </c>
      <c r="X37" s="703"/>
      <c r="Y37" s="3691"/>
      <c r="Z37" s="3450"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3444</v>
      </c>
      <c r="H38" s="386">
        <f>SUMIF(114:114,G38,115:115)-SUMIF(114:114,C38,115:115)+100</f>
        <v>95</v>
      </c>
      <c r="I38" s="1906" t="s">
        <v>3442</v>
      </c>
      <c r="J38" s="386">
        <f>SUMIF(114:114,I38,115:115)-SUMIF(114:114,C38,115:115)+100</f>
        <v>100</v>
      </c>
      <c r="K38" s="561">
        <v>5</v>
      </c>
      <c r="L38" s="2722"/>
      <c r="M38" s="2716"/>
      <c r="N38" s="2716"/>
      <c r="O38" s="2716"/>
      <c r="P38" s="3689" t="s">
        <v>1696</v>
      </c>
      <c r="Q38" s="3455" t="str">
        <f t="shared" si="11"/>
        <v>业态</v>
      </c>
      <c r="R38" s="705" t="s">
        <v>14</v>
      </c>
      <c r="S38" s="706">
        <f t="shared" si="12"/>
        <v>100</v>
      </c>
      <c r="T38" s="705" t="s">
        <v>14</v>
      </c>
      <c r="U38" s="706">
        <f t="shared" si="13"/>
        <v>95</v>
      </c>
      <c r="V38" s="705" t="s">
        <v>14</v>
      </c>
      <c r="W38" s="706">
        <f t="shared" si="14"/>
        <v>100</v>
      </c>
      <c r="X38" s="3452"/>
      <c r="Y38" s="3691" t="s">
        <v>1696</v>
      </c>
      <c r="Z38" s="3453" t="str">
        <f t="shared" si="15"/>
        <v>业态</v>
      </c>
      <c r="AA38" s="3456">
        <f t="shared" si="3"/>
        <v>1</v>
      </c>
      <c r="AB38" s="3456">
        <f t="shared" si="4"/>
        <v>1.0526315789473684</v>
      </c>
      <c r="AC38" s="3456">
        <f t="shared" si="5"/>
        <v>1</v>
      </c>
    </row>
    <row r="39" spans="1:29" ht="15">
      <c r="A39" s="423"/>
      <c r="B39" s="375" t="s">
        <v>1789</v>
      </c>
      <c r="C39" s="1906" t="s">
        <v>3447</v>
      </c>
      <c r="D39" s="386">
        <v>100</v>
      </c>
      <c r="E39" s="1906" t="s">
        <v>3447</v>
      </c>
      <c r="F39" s="412">
        <f>SUMIF(116:116,E39,117:117)-SUMIF(116:116,C39,117:117)+100</f>
        <v>100</v>
      </c>
      <c r="G39" s="1906" t="s">
        <v>3447</v>
      </c>
      <c r="H39" s="386">
        <f>SUMIF(116:116,G39,117:117)-SUMIF(116:116,C39,117:117)+100</f>
        <v>100</v>
      </c>
      <c r="I39" s="1906" t="s">
        <v>3447</v>
      </c>
      <c r="J39" s="386">
        <f>SUMIF(116:116,I39,117:117)-SUMIF(116:116,C39,117:117)+100</f>
        <v>100</v>
      </c>
      <c r="K39" s="561">
        <v>10</v>
      </c>
      <c r="L39" s="2722"/>
      <c r="M39" s="2716"/>
      <c r="N39" s="2716"/>
      <c r="O39" s="2716"/>
      <c r="P39" s="3689"/>
      <c r="Q39" s="3455" t="str">
        <f t="shared" si="11"/>
        <v>层高</v>
      </c>
      <c r="R39" s="705" t="s">
        <v>14</v>
      </c>
      <c r="S39" s="706">
        <f t="shared" si="12"/>
        <v>100</v>
      </c>
      <c r="T39" s="705" t="s">
        <v>14</v>
      </c>
      <c r="U39" s="706">
        <f t="shared" si="13"/>
        <v>100</v>
      </c>
      <c r="V39" s="705" t="s">
        <v>14</v>
      </c>
      <c r="W39" s="706">
        <f t="shared" si="14"/>
        <v>100</v>
      </c>
      <c r="X39" s="3452"/>
      <c r="Y39" s="3691"/>
      <c r="Z39" s="3453" t="str">
        <f t="shared" si="15"/>
        <v>层高</v>
      </c>
      <c r="AA39" s="3456">
        <f t="shared" si="3"/>
        <v>1</v>
      </c>
      <c r="AB39" s="3456">
        <f t="shared" si="4"/>
        <v>1</v>
      </c>
      <c r="AC39" s="3456">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v>0.6</v>
      </c>
      <c r="N40" s="2716">
        <v>0.7</v>
      </c>
      <c r="O40" s="2716"/>
      <c r="P40" s="3689"/>
      <c r="Q40" s="3455" t="str">
        <f t="shared" si="11"/>
        <v>单套建筑面积</v>
      </c>
      <c r="R40" s="705" t="s">
        <v>14</v>
      </c>
      <c r="S40" s="706">
        <f t="shared" si="12"/>
        <v>100</v>
      </c>
      <c r="T40" s="705" t="s">
        <v>14</v>
      </c>
      <c r="U40" s="706">
        <f t="shared" si="13"/>
        <v>100</v>
      </c>
      <c r="V40" s="705" t="s">
        <v>14</v>
      </c>
      <c r="W40" s="706">
        <f t="shared" si="14"/>
        <v>100</v>
      </c>
      <c r="X40" s="3452"/>
      <c r="Y40" s="3691"/>
      <c r="Z40" s="3453" t="str">
        <f t="shared" si="15"/>
        <v>单套建筑面积</v>
      </c>
      <c r="AA40" s="3456">
        <f t="shared" si="3"/>
        <v>1</v>
      </c>
      <c r="AB40" s="3456">
        <f t="shared" si="4"/>
        <v>1</v>
      </c>
      <c r="AC40" s="3456">
        <f t="shared" si="5"/>
        <v>1</v>
      </c>
    </row>
    <row r="41" spans="1:29" s="422" customFormat="1" ht="15">
      <c r="A41" s="419"/>
      <c r="B41" s="34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v>0.4</v>
      </c>
      <c r="N41" s="2723">
        <v>1</v>
      </c>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3456">
        <f t="shared" si="3"/>
        <v>1</v>
      </c>
      <c r="AB41" s="3456">
        <f t="shared" si="4"/>
        <v>1</v>
      </c>
      <c r="AC41" s="3456">
        <f t="shared" si="5"/>
        <v>1</v>
      </c>
    </row>
    <row r="42" spans="1:29" ht="15">
      <c r="A42" s="423"/>
      <c r="B42" s="375" t="s">
        <v>1792</v>
      </c>
      <c r="C42" s="1906" t="s">
        <v>3437</v>
      </c>
      <c r="D42" s="386">
        <v>100</v>
      </c>
      <c r="E42" s="1906" t="s">
        <v>3439</v>
      </c>
      <c r="F42" s="412">
        <f>SUMIF(122:122,E42,123:123)-SUMIF(122:122,C42,123:123)+100</f>
        <v>98</v>
      </c>
      <c r="G42" s="1906" t="s">
        <v>3439</v>
      </c>
      <c r="H42" s="386">
        <f>SUMIF(122:122,G42,123:123)-SUMIF(122:122,C42,123:123)+100</f>
        <v>98</v>
      </c>
      <c r="I42" s="1906" t="s">
        <v>3437</v>
      </c>
      <c r="J42" s="386">
        <f>SUMIF(122:122,I42,123:123)-SUMIF(122:122,C42,123:123)+100</f>
        <v>100</v>
      </c>
      <c r="K42" s="561">
        <v>2</v>
      </c>
      <c r="L42" s="2722"/>
      <c r="M42" s="2716"/>
      <c r="N42" s="2716"/>
      <c r="O42" s="2716"/>
      <c r="P42" s="3689"/>
      <c r="Q42" s="3455" t="str">
        <f t="shared" si="11"/>
        <v>内部装修</v>
      </c>
      <c r="R42" s="705" t="s">
        <v>14</v>
      </c>
      <c r="S42" s="706">
        <f t="shared" si="12"/>
        <v>98</v>
      </c>
      <c r="T42" s="705" t="s">
        <v>14</v>
      </c>
      <c r="U42" s="706">
        <f t="shared" si="13"/>
        <v>98</v>
      </c>
      <c r="V42" s="705" t="s">
        <v>14</v>
      </c>
      <c r="W42" s="706">
        <f t="shared" si="14"/>
        <v>100</v>
      </c>
      <c r="X42" s="3452"/>
      <c r="Y42" s="3691"/>
      <c r="Z42" s="3453" t="str">
        <f t="shared" si="15"/>
        <v>内部装修</v>
      </c>
      <c r="AA42" s="3456">
        <f t="shared" si="3"/>
        <v>1.0204081632653061</v>
      </c>
      <c r="AB42" s="3456">
        <f t="shared" si="4"/>
        <v>1.0204081632653061</v>
      </c>
      <c r="AC42" s="3456">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f>(M40*N40+M41*N41)/1</f>
        <v>0.82000000000000006</v>
      </c>
      <c r="O43" s="2716"/>
      <c r="P43" s="3689"/>
      <c r="Q43" s="3455" t="str">
        <f t="shared" si="11"/>
        <v>内部装修维护情况</v>
      </c>
      <c r="R43" s="705" t="s">
        <v>14</v>
      </c>
      <c r="S43" s="706">
        <f t="shared" si="12"/>
        <v>100</v>
      </c>
      <c r="T43" s="705" t="s">
        <v>14</v>
      </c>
      <c r="U43" s="706">
        <f t="shared" si="13"/>
        <v>100</v>
      </c>
      <c r="V43" s="705" t="s">
        <v>14</v>
      </c>
      <c r="W43" s="706">
        <f t="shared" si="14"/>
        <v>100</v>
      </c>
      <c r="X43" s="3452"/>
      <c r="Y43" s="3691"/>
      <c r="Z43" s="3453" t="str">
        <f t="shared" si="15"/>
        <v>内部装修维护情况</v>
      </c>
      <c r="AA43" s="3456">
        <f t="shared" si="3"/>
        <v>1</v>
      </c>
      <c r="AB43" s="3456">
        <f t="shared" si="4"/>
        <v>1</v>
      </c>
      <c r="AC43" s="3456">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v>3</v>
      </c>
      <c r="O44" s="2718"/>
      <c r="P44" s="3689"/>
      <c r="Q44" s="3451">
        <f t="shared" si="11"/>
        <v>111</v>
      </c>
      <c r="R44" s="701" t="s">
        <v>14</v>
      </c>
      <c r="S44" s="702">
        <f t="shared" si="12"/>
        <v>100</v>
      </c>
      <c r="T44" s="701" t="s">
        <v>14</v>
      </c>
      <c r="U44" s="702">
        <f t="shared" si="13"/>
        <v>100</v>
      </c>
      <c r="V44" s="701" t="s">
        <v>14</v>
      </c>
      <c r="W44" s="702">
        <f t="shared" si="14"/>
        <v>100</v>
      </c>
      <c r="X44" s="703"/>
      <c r="Y44" s="3691"/>
      <c r="Z44" s="3450">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f>N44/N43</f>
        <v>3.6585365853658534</v>
      </c>
      <c r="O45" s="2716"/>
      <c r="P45" s="3689"/>
      <c r="Q45" s="3455">
        <f t="shared" si="11"/>
        <v>111</v>
      </c>
      <c r="R45" s="705" t="s">
        <v>14</v>
      </c>
      <c r="S45" s="706">
        <f t="shared" si="12"/>
        <v>100</v>
      </c>
      <c r="T45" s="705" t="s">
        <v>14</v>
      </c>
      <c r="U45" s="706">
        <f t="shared" si="13"/>
        <v>100</v>
      </c>
      <c r="V45" s="705" t="s">
        <v>14</v>
      </c>
      <c r="W45" s="706">
        <f t="shared" si="14"/>
        <v>100</v>
      </c>
      <c r="X45" s="3452"/>
      <c r="Y45" s="3691"/>
      <c r="Z45" s="3453">
        <f t="shared" si="15"/>
        <v>111</v>
      </c>
      <c r="AA45" s="3456">
        <f t="shared" si="3"/>
        <v>1</v>
      </c>
      <c r="AB45" s="3456">
        <f t="shared" si="4"/>
        <v>1</v>
      </c>
      <c r="AC45" s="3456">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3455">
        <f t="shared" si="11"/>
        <v>111</v>
      </c>
      <c r="R46" s="705" t="s">
        <v>14</v>
      </c>
      <c r="S46" s="706">
        <f t="shared" si="12"/>
        <v>100</v>
      </c>
      <c r="T46" s="705" t="s">
        <v>14</v>
      </c>
      <c r="U46" s="706">
        <f t="shared" si="13"/>
        <v>100</v>
      </c>
      <c r="V46" s="705" t="s">
        <v>14</v>
      </c>
      <c r="W46" s="706">
        <f t="shared" si="14"/>
        <v>100</v>
      </c>
      <c r="X46" s="3452"/>
      <c r="Y46" s="3692"/>
      <c r="Z46" s="3453">
        <f t="shared" si="15"/>
        <v>111</v>
      </c>
      <c r="AA46" s="3456">
        <f t="shared" si="3"/>
        <v>1</v>
      </c>
      <c r="AB46" s="3456">
        <f t="shared" si="4"/>
        <v>1</v>
      </c>
      <c r="AC46" s="3456">
        <f t="shared" si="5"/>
        <v>1</v>
      </c>
    </row>
    <row r="47" spans="1:29" ht="15">
      <c r="A47" s="430" t="s">
        <v>1708</v>
      </c>
      <c r="B47" s="431"/>
      <c r="C47" s="1154" t="s">
        <v>0</v>
      </c>
      <c r="D47" s="1155"/>
      <c r="E47" s="1156">
        <v>5</v>
      </c>
      <c r="F47" s="1157"/>
      <c r="G47" s="1158">
        <v>3.66</v>
      </c>
      <c r="H47" s="1159"/>
      <c r="I47" s="1156">
        <v>5.2</v>
      </c>
      <c r="J47" s="1159"/>
      <c r="K47" s="714"/>
      <c r="L47" s="2724"/>
      <c r="M47" s="2725"/>
      <c r="N47" s="2716"/>
      <c r="O47" s="2725"/>
      <c r="P47" s="3693" t="str">
        <f>A47</f>
        <v>成交单价（元/平方米）</v>
      </c>
      <c r="Q47" s="3693"/>
      <c r="R47" s="3654">
        <f>E47</f>
        <v>5</v>
      </c>
      <c r="S47" s="3654"/>
      <c r="T47" s="3654">
        <f>G47</f>
        <v>3.66</v>
      </c>
      <c r="U47" s="3654"/>
      <c r="V47" s="3654">
        <f>I47</f>
        <v>5.2</v>
      </c>
      <c r="W47" s="3654"/>
      <c r="X47" s="690"/>
      <c r="Y47" s="712"/>
      <c r="Z47" s="690"/>
      <c r="AA47" s="690"/>
      <c r="AB47" s="690"/>
      <c r="AC47" s="690"/>
    </row>
    <row r="48" spans="1:29" ht="15.75" thickBot="1">
      <c r="A48" s="437" t="s">
        <v>1709</v>
      </c>
      <c r="B48" s="438"/>
      <c r="C48" s="1160">
        <f>R49</f>
        <v>5.6</v>
      </c>
      <c r="D48" s="2317" t="s">
        <v>2138</v>
      </c>
      <c r="E48" s="1161">
        <f>R48</f>
        <v>5.4</v>
      </c>
      <c r="F48" s="2318"/>
      <c r="G48" s="1160">
        <f>T48</f>
        <v>5.7</v>
      </c>
      <c r="H48" s="2318"/>
      <c r="I48" s="1161">
        <f>V48</f>
        <v>5.6</v>
      </c>
      <c r="J48" s="2318"/>
      <c r="K48" s="2320">
        <f>F48+H48+J48</f>
        <v>0</v>
      </c>
      <c r="L48" s="2724"/>
      <c r="M48" s="2725"/>
      <c r="N48" s="2716"/>
      <c r="O48" s="2725"/>
      <c r="P48" s="3693" t="str">
        <f>A48</f>
        <v>比较价值（元/平方米）</v>
      </c>
      <c r="Q48" s="3693"/>
      <c r="R48" s="3694">
        <f>IF(F1="售价",ROUND(PRODUCT(R47,AA7:AA46),0),ROUND(PRODUCT(R47,AA7:AA46),1))</f>
        <v>5.4</v>
      </c>
      <c r="S48" s="3694"/>
      <c r="T48" s="3694">
        <f>IF(F1="售价",ROUND(PRODUCT(T47,AB7:AB46),0),ROUND(PRODUCT(T47,AB7:AB46),1))</f>
        <v>5.7</v>
      </c>
      <c r="U48" s="3694"/>
      <c r="V48" s="3694">
        <f>IF(F1="售价",ROUND(PRODUCT(V47,AC7:AC46),0),ROUND(PRODUCT(V47,AC7:AC46),1))</f>
        <v>5.6</v>
      </c>
      <c r="W48" s="3694"/>
      <c r="X48" s="690"/>
      <c r="Y48" s="690"/>
      <c r="Z48" s="690"/>
      <c r="AA48" s="690"/>
      <c r="AB48" s="690"/>
      <c r="AC48" s="690"/>
    </row>
    <row r="49" spans="1:29" ht="15.75" thickBot="1">
      <c r="A49" s="441" t="s">
        <v>1710</v>
      </c>
      <c r="B49" s="442"/>
      <c r="C49" s="1163">
        <f>R49</f>
        <v>5.6</v>
      </c>
      <c r="D49" s="1163"/>
      <c r="E49" s="1163"/>
      <c r="F49" s="1163"/>
      <c r="G49" s="1163"/>
      <c r="H49" s="1163"/>
      <c r="I49" s="1163"/>
      <c r="J49" s="1163"/>
      <c r="K49" s="715"/>
      <c r="L49" s="2724"/>
      <c r="M49" s="2725"/>
      <c r="N49" s="2716"/>
      <c r="O49" s="2725"/>
      <c r="P49" s="3695" t="str">
        <f>A49</f>
        <v>估价对象XX用房的比较价值（楼面单价，元/平方米）</v>
      </c>
      <c r="Q49" s="3696"/>
      <c r="R49" s="3697">
        <f>IF(F1="售价",ROUND(IF(D48="简单平均",AVERAGE(R48:V48),R48*F48+T48*H48+V48*J48),0),ROUND(IF(D48="简单平均",AVERAGE(R48:V48),R48*F48+T48*H48+V48*J48),1))</f>
        <v>5.6</v>
      </c>
      <c r="S49" s="3697"/>
      <c r="T49" s="3697"/>
      <c r="U49" s="3697"/>
      <c r="V49" s="3697"/>
      <c r="W49" s="3697"/>
      <c r="X49" s="690"/>
      <c r="Y49" s="690"/>
      <c r="Z49" s="690"/>
      <c r="AA49" s="690"/>
      <c r="AB49" s="690"/>
      <c r="AC49" s="690"/>
    </row>
    <row r="50" spans="1:29">
      <c r="A50" s="2725"/>
      <c r="B50" s="2725"/>
      <c r="C50" s="2725"/>
      <c r="D50" s="2725"/>
      <c r="E50" s="2725">
        <v>2006</v>
      </c>
      <c r="F50" s="2725"/>
      <c r="G50" s="3462">
        <v>2005</v>
      </c>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8.0000000000000071E-2</v>
      </c>
      <c r="F52" s="449" t="str">
        <f>IF(OR(E52&gt;=0.3,E52&lt;=-0.3),"超过30%","")</f>
        <v/>
      </c>
      <c r="G52" s="448">
        <f>IF(G47&lt;G48,G48/G47-1,G47/G48-1)</f>
        <v>0.55737704918032782</v>
      </c>
      <c r="H52" s="449" t="str">
        <f>IF(OR(G52&gt;=0.3,G52&lt;=-0.3),"超过30%","")</f>
        <v>超过30%</v>
      </c>
      <c r="I52" s="448">
        <f>IF(I47&lt;I48,I48/I47-1,I47/I48-1)</f>
        <v>7.6923076923076872E-2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5.555555555555558E-2</v>
      </c>
      <c r="F53" s="449" t="str">
        <f>IF(OR(E53&gt;=0.2,E53&lt;=-0.2),"超过20%","")</f>
        <v/>
      </c>
      <c r="G53" s="448">
        <f>IF(G48&lt;I48,I48/G48-1,G48/I48-1)</f>
        <v>1.7857142857143016E-2</v>
      </c>
      <c r="H53" s="449" t="str">
        <f>IF(OR(G53&gt;=0.2,G53&lt;=-0.2),"超过20%","")</f>
        <v/>
      </c>
      <c r="I53" s="448">
        <f>IF(I48&lt;E48,E48/I48-1,I48/E48-1)</f>
        <v>3.7037037037036979E-2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0.36612021857923494</v>
      </c>
      <c r="F54" s="449" t="str">
        <f>IF(OR(E54&gt;=0.3,E54&lt;=-0.3),"超过30%","")</f>
        <v>超过30%</v>
      </c>
      <c r="G54" s="448">
        <f>IF(G47&lt;I47,I47/G47-1,G47/I47-1)</f>
        <v>0.42076502732240439</v>
      </c>
      <c r="H54" s="449" t="str">
        <f>IF(OR(G54&gt;=0.3,G54&lt;=-0.3),"超过30%","")</f>
        <v>超过30%</v>
      </c>
      <c r="I54" s="448">
        <f>IF(I47&lt;E47,E47/I47-1,I47/E47-1)</f>
        <v>4.0000000000000036E-2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f>C59-$C$60</f>
        <v>100</v>
      </c>
      <c r="E59" s="461">
        <f t="shared" ref="E59:M59" si="17">D59-$C$60</f>
        <v>100</v>
      </c>
      <c r="F59" s="461">
        <f t="shared" si="17"/>
        <v>100</v>
      </c>
      <c r="G59" s="461">
        <f t="shared" si="17"/>
        <v>100</v>
      </c>
      <c r="H59" s="461">
        <f t="shared" si="17"/>
        <v>100</v>
      </c>
      <c r="I59" s="461">
        <f t="shared" si="17"/>
        <v>100</v>
      </c>
      <c r="J59" s="461">
        <f t="shared" si="17"/>
        <v>100</v>
      </c>
      <c r="K59" s="461">
        <f t="shared" si="17"/>
        <v>100</v>
      </c>
      <c r="L59" s="461">
        <f t="shared" si="17"/>
        <v>100</v>
      </c>
      <c r="M59" s="461">
        <f t="shared" si="17"/>
        <v>100</v>
      </c>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v>0</v>
      </c>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58"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t="s">
        <v>3410</v>
      </c>
      <c r="D65" s="532" t="s">
        <v>3411</v>
      </c>
      <c r="E65" s="532" t="s">
        <v>3412</v>
      </c>
      <c r="F65" s="532" t="s">
        <v>3413</v>
      </c>
      <c r="G65" s="532" t="s">
        <v>3449</v>
      </c>
      <c r="H65" s="532" t="s">
        <v>3450</v>
      </c>
      <c r="I65" s="532"/>
      <c r="J65" s="532"/>
      <c r="K65" s="533">
        <v>2</v>
      </c>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v>100</v>
      </c>
      <c r="D66" s="485">
        <f>C66-$K$65</f>
        <v>98</v>
      </c>
      <c r="E66" s="485">
        <f t="shared" ref="E66:H66" si="18">D66-$K$65</f>
        <v>96</v>
      </c>
      <c r="F66" s="485">
        <f t="shared" si="18"/>
        <v>94</v>
      </c>
      <c r="G66" s="485">
        <f t="shared" si="18"/>
        <v>92</v>
      </c>
      <c r="H66" s="485">
        <f t="shared" si="18"/>
        <v>90</v>
      </c>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9">D68&amp;"（含）"&amp;"-"&amp;E68</f>
        <v>（含）-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1">D83-$K21</f>
        <v>98</v>
      </c>
      <c r="F83" s="493">
        <f t="shared" si="21"/>
        <v>97</v>
      </c>
      <c r="G83" s="493">
        <f t="shared" si="21"/>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9" t="s">
        <v>3416</v>
      </c>
      <c r="D86" s="3459" t="s">
        <v>3417</v>
      </c>
      <c r="E86" s="3459" t="s">
        <v>3418</v>
      </c>
      <c r="F86" s="3459" t="s">
        <v>3419</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2">C87-$K25</f>
        <v>100</v>
      </c>
      <c r="E87" s="493">
        <f t="shared" si="22"/>
        <v>100</v>
      </c>
      <c r="F87" s="493">
        <f t="shared" si="22"/>
        <v>100</v>
      </c>
      <c r="G87" s="493">
        <f t="shared" si="22"/>
        <v>100</v>
      </c>
      <c r="H87" s="493">
        <f t="shared" si="22"/>
        <v>100</v>
      </c>
      <c r="I87" s="493">
        <f t="shared" si="22"/>
        <v>100</v>
      </c>
      <c r="J87" s="493">
        <f t="shared" si="22"/>
        <v>100</v>
      </c>
      <c r="K87" s="493">
        <f t="shared" si="22"/>
        <v>100</v>
      </c>
      <c r="L87" s="493">
        <f t="shared" si="22"/>
        <v>100</v>
      </c>
      <c r="M87" s="493">
        <f t="shared" si="22"/>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3473</v>
      </c>
      <c r="D88" s="3459" t="s">
        <v>3474</v>
      </c>
      <c r="E88" s="3459" t="s">
        <v>3475</v>
      </c>
      <c r="F88" s="3463" t="s">
        <v>3476</v>
      </c>
      <c r="G88" s="3459" t="s">
        <v>3477</v>
      </c>
      <c r="H88" s="503"/>
      <c r="I88" s="503">
        <v>2</v>
      </c>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C89-$I$88</f>
        <v>98</v>
      </c>
      <c r="E89" s="485">
        <f t="shared" ref="E89:G89" si="23">D89-$I$88</f>
        <v>96</v>
      </c>
      <c r="F89" s="485">
        <f t="shared" si="23"/>
        <v>94</v>
      </c>
      <c r="G89" s="485">
        <f t="shared" si="23"/>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9" t="s">
        <v>3420</v>
      </c>
      <c r="D90" s="3459" t="s">
        <v>3422</v>
      </c>
      <c r="E90" s="3459" t="s">
        <v>3423</v>
      </c>
      <c r="F90" s="3459" t="s">
        <v>3424</v>
      </c>
      <c r="G90" s="3459" t="s">
        <v>3425</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82</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3427</v>
      </c>
      <c r="D100" s="3460" t="s">
        <v>3429</v>
      </c>
      <c r="E100" s="3460" t="s">
        <v>3430</v>
      </c>
      <c r="F100" s="3460" t="s">
        <v>3432</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4">
        <f t="shared" si="25"/>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6">D103&amp;"(含)"&amp;"-"&amp;E103</f>
        <v>100(含)-300</v>
      </c>
      <c r="E102" s="527" t="str">
        <f t="shared" si="26"/>
        <v>300(含)-500</v>
      </c>
      <c r="F102" s="527" t="str">
        <f t="shared" si="26"/>
        <v>500(含)-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3434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3436</v>
      </c>
      <c r="D107" s="3459" t="s">
        <v>3438</v>
      </c>
      <c r="E107" s="3459" t="s">
        <v>3440</v>
      </c>
      <c r="F107" s="3461" t="s">
        <v>3441</v>
      </c>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3443</v>
      </c>
      <c r="D114" s="3459" t="s">
        <v>3445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9" t="s">
        <v>3446</v>
      </c>
      <c r="D116" s="3459" t="s">
        <v>3448</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3436</v>
      </c>
      <c r="D122" s="3459" t="s">
        <v>3438</v>
      </c>
      <c r="E122" s="3459" t="s">
        <v>3440</v>
      </c>
      <c r="F122" s="3461" t="s">
        <v>3441</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1244.8942999999999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23687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7277946.6999999993</v>
      </c>
      <c r="D5" s="211" t="s">
        <v>1469</v>
      </c>
      <c r="E5" s="212" t="s">
        <v>1470</v>
      </c>
      <c r="F5" s="212" t="s">
        <v>1471</v>
      </c>
      <c r="G5" s="213"/>
    </row>
    <row r="6" spans="1:8" s="214" customFormat="1" ht="13.5" customHeight="1">
      <c r="A6" s="778" t="s">
        <v>1472</v>
      </c>
      <c r="B6" s="215" t="s">
        <v>1473</v>
      </c>
      <c r="C6" s="216">
        <f>基准地价修正!T2*基准地价修正!U2</f>
        <v>6965639.6999999993</v>
      </c>
      <c r="D6" s="217"/>
      <c r="E6" s="218"/>
      <c r="F6" s="218"/>
      <c r="G6" s="219"/>
    </row>
    <row r="7" spans="1:8" s="214" customFormat="1" ht="13.5" customHeight="1">
      <c r="A7" s="778" t="s">
        <v>1474</v>
      </c>
      <c r="B7" s="215" t="s">
        <v>1475</v>
      </c>
      <c r="C7" s="220">
        <f>ROUND(C6*F7,0)</f>
        <v>212452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99855</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99855</v>
      </c>
      <c r="D10" s="845">
        <f ca="1">IF(B1="",'数据-汇总表'!E6,IF(INDIRECT("'数据-取费表'!c"&amp;$G$1)="住宅",INDIRECT("'数据-取费表'!s"&amp;$G$1),INDIRECT("'数据-取费表'!k"&amp;$G$1)+INDIRECT("'数据-取费表'!s"&amp;$G$1)))</f>
        <v>525.54999999999995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525.54999999999995</v>
      </c>
      <c r="E19" s="211">
        <f>'数据-取费表'!B31</f>
        <v>200</v>
      </c>
      <c r="F19" s="231"/>
      <c r="G19" s="1856" t="s">
        <v>3405</v>
      </c>
    </row>
    <row r="20" spans="1:7" s="214" customFormat="1" ht="13.5" customHeight="1">
      <c r="A20" s="255" t="s">
        <v>1574</v>
      </c>
      <c r="B20" s="210" t="s">
        <v>1575</v>
      </c>
      <c r="C20" s="232">
        <f ca="1">ROUND((C5+C19)*F20,0)</f>
        <v>145559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622645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616604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6041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1113526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1113526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9915216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2027309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1839425</v>
      </c>
      <c r="D34" s="217"/>
      <c r="E34" s="220"/>
      <c r="F34" s="257"/>
      <c r="G34" s="219"/>
    </row>
    <row r="35" spans="1:7" ht="13.5" customHeight="1">
      <c r="A35" s="780" t="s">
        <v>351</v>
      </c>
      <c r="B35" s="215" t="s">
        <v>1527</v>
      </c>
      <c r="C35" s="220">
        <f ca="1">ROUND(C34*F35,0)</f>
        <v>55183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105110</v>
      </c>
      <c r="D37" s="217">
        <f ca="1">D19</f>
        <v>525.54999999999995</v>
      </c>
      <c r="E37" s="249">
        <f>'数据-取费表'!B35</f>
        <v>200</v>
      </c>
      <c r="F37" s="259"/>
      <c r="G37" s="261"/>
    </row>
    <row r="38" spans="1:7" ht="13.5" customHeight="1">
      <c r="A38" s="780" t="s">
        <v>354</v>
      </c>
      <c r="B38" s="215" t="s">
        <v>1533</v>
      </c>
      <c r="C38" s="220">
        <f ca="1">ROUND(C34*F38,0)</f>
        <v>27591</v>
      </c>
      <c r="D38" s="220"/>
      <c r="E38" s="220"/>
      <c r="F38" s="259">
        <f>'数据-取费表'!B36</f>
        <v>1.4999999999999999E-2</v>
      </c>
      <c r="G38" s="219" t="s">
        <v>1528</v>
      </c>
    </row>
    <row r="39" spans="1:7" s="214" customFormat="1" ht="13.5" customHeight="1">
      <c r="A39" s="255" t="s">
        <v>1534</v>
      </c>
      <c r="B39" s="210" t="s">
        <v>1535</v>
      </c>
      <c r="C39" s="232">
        <f ca="1">ROUND(C33*F20,0)</f>
        <v>40546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84133</v>
      </c>
      <c r="D42" s="238"/>
      <c r="E42" s="238"/>
      <c r="F42" s="239"/>
      <c r="G42" s="3648" t="s">
        <v>1591</v>
      </c>
    </row>
    <row r="43" spans="1:7" ht="13.5" customHeight="1">
      <c r="A43" s="780" t="s">
        <v>347</v>
      </c>
      <c r="B43" s="215" t="s">
        <v>1545</v>
      </c>
      <c r="C43" s="238">
        <f ca="1">ROUND(IF('数据-取费表'!B22&lt;=1,C39*F22*'数据-取费表'!B20/2,C39*(POWER((1+F22),'数据-取费表'!B20/2)-1)),0)</f>
        <v>1683</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310178</v>
      </c>
      <c r="D45" s="235">
        <f ca="1">C47</f>
        <v>3.0000000000000001E-3</v>
      </c>
      <c r="E45" s="236" t="s">
        <v>1539</v>
      </c>
      <c r="F45" s="246">
        <f ca="1">F27</f>
        <v>0.15</v>
      </c>
      <c r="G45" s="247" t="s">
        <v>1548</v>
      </c>
    </row>
    <row r="46" spans="1:7" s="214" customFormat="1" ht="13.5" customHeight="1">
      <c r="A46" s="780" t="s">
        <v>346</v>
      </c>
      <c r="B46" s="248" t="s">
        <v>1549</v>
      </c>
      <c r="C46" s="249">
        <f ca="1">ROUND((C33+C39)*F27,0)</f>
        <v>310178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2667081</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2533727</v>
      </c>
      <c r="D51" s="232"/>
      <c r="E51" s="232"/>
      <c r="F51" s="264"/>
      <c r="G51" s="234" t="s">
        <v>1560</v>
      </c>
    </row>
    <row r="52" spans="1:7" s="208" customFormat="1" ht="16.5" thickBot="1">
      <c r="A52" s="265" t="s">
        <v>1561</v>
      </c>
      <c r="B52" s="266"/>
      <c r="C52" s="267">
        <f ca="1">C31+C51</f>
        <v>12448943</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525.54999999999995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525.54999999999995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525.54999999999995</v>
      </c>
      <c r="E20" s="21">
        <f>'数据-取费表'!B28</f>
        <v>190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0</v>
      </c>
      <c r="D6" s="155" t="s">
        <v>2109</v>
      </c>
      <c r="E6" s="302" t="s">
        <v>696</v>
      </c>
      <c r="F6" s="303">
        <f ca="1">INDIRECT("'数据-取费表'!u"&amp;$G$1)</f>
        <v>0</v>
      </c>
      <c r="G6" s="1384"/>
      <c r="H6" s="1069" t="s">
        <v>398</v>
      </c>
      <c r="I6" s="3698" t="s">
        <v>694</v>
      </c>
      <c r="J6" s="301">
        <f ca="1">ROUND(M6*M8*M7*(1-M9)/10000,0)</f>
        <v>0</v>
      </c>
      <c r="K6" s="155" t="s">
        <v>2108</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1" t="s">
        <v>837</v>
      </c>
      <c r="L53" s="370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03" t="s">
        <v>2320</v>
      </c>
      <c r="K2" s="370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5" t="s">
        <v>2330</v>
      </c>
      <c r="K3" s="370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5" t="s">
        <v>2332</v>
      </c>
      <c r="K4" s="370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7" t="s">
        <v>2336</v>
      </c>
      <c r="B6" s="3708"/>
      <c r="C6" s="3709"/>
      <c r="D6" s="2870"/>
      <c r="E6" s="2871"/>
      <c r="F6" s="2872"/>
      <c r="G6" s="2873"/>
      <c r="H6" s="2848"/>
      <c r="I6" s="2849"/>
      <c r="J6" s="3710">
        <v>1</v>
      </c>
      <c r="K6" s="371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0"/>
      <c r="K7" s="371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4" t="s">
        <v>2350</v>
      </c>
      <c r="C8" s="3715"/>
      <c r="D8" s="2889" t="s">
        <v>2351</v>
      </c>
      <c r="E8" s="2890" t="s">
        <v>2352</v>
      </c>
      <c r="F8" s="2891" t="s">
        <v>2353</v>
      </c>
      <c r="G8" s="2892"/>
      <c r="H8" s="2848"/>
      <c r="I8" s="2849"/>
      <c r="J8" s="3710"/>
      <c r="K8" s="371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4" t="s">
        <v>2356</v>
      </c>
      <c r="C9" s="3715"/>
      <c r="D9" s="2889">
        <f>ROUND(D6*E9,0)</f>
        <v>0</v>
      </c>
      <c r="E9" s="2893"/>
      <c r="F9" s="2894" t="s">
        <v>2357</v>
      </c>
      <c r="G9" s="2873"/>
      <c r="H9" s="2848"/>
      <c r="I9" s="2849"/>
      <c r="J9" s="3710"/>
      <c r="K9" s="3712"/>
      <c r="L9" s="2883" t="s">
        <v>2358</v>
      </c>
      <c r="M9" s="2884"/>
      <c r="N9" s="2860"/>
      <c r="O9" s="2885"/>
      <c r="P9" s="2885"/>
      <c r="Q9" s="2886">
        <v>365</v>
      </c>
      <c r="R9" s="2887">
        <f t="shared" si="0"/>
        <v>0</v>
      </c>
      <c r="S9" s="2841"/>
      <c r="T9" s="2841"/>
      <c r="U9" s="2841"/>
      <c r="V9" s="2849"/>
    </row>
    <row r="10" spans="1:22" s="2853" customFormat="1" ht="13.15" customHeight="1">
      <c r="A10" s="2888">
        <v>2</v>
      </c>
      <c r="B10" s="3714" t="s">
        <v>2359</v>
      </c>
      <c r="C10" s="3715"/>
      <c r="D10" s="2889">
        <f>ROUND(D6*E10,0)</f>
        <v>0</v>
      </c>
      <c r="E10" s="2893"/>
      <c r="F10" s="2894" t="s">
        <v>2360</v>
      </c>
      <c r="G10" s="2873"/>
      <c r="H10" s="2848"/>
      <c r="I10" s="2849"/>
      <c r="J10" s="3710"/>
      <c r="K10" s="3712"/>
      <c r="L10" s="2883" t="s">
        <v>2361</v>
      </c>
      <c r="M10" s="2884"/>
      <c r="N10" s="2860"/>
      <c r="O10" s="2885"/>
      <c r="P10" s="2885"/>
      <c r="Q10" s="2886">
        <v>365</v>
      </c>
      <c r="R10" s="2887">
        <f t="shared" si="0"/>
        <v>0</v>
      </c>
      <c r="S10" s="2841"/>
      <c r="T10" s="2841"/>
      <c r="U10" s="2841"/>
      <c r="V10" s="2849"/>
    </row>
    <row r="11" spans="1:22" s="2853" customFormat="1" ht="13.15" customHeight="1">
      <c r="A11" s="2888">
        <v>3</v>
      </c>
      <c r="B11" s="3714" t="s">
        <v>2362</v>
      </c>
      <c r="C11" s="3715"/>
      <c r="D11" s="2889">
        <f>D12+D14+D15+D16</f>
        <v>0</v>
      </c>
      <c r="E11" s="2895" t="e">
        <f>D11/D6</f>
        <v>#DIV/0!</v>
      </c>
      <c r="F11" s="2891"/>
      <c r="G11" s="2892"/>
      <c r="H11" s="2848"/>
      <c r="I11" s="2849"/>
      <c r="J11" s="3710"/>
      <c r="K11" s="371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6" t="s">
        <v>2365</v>
      </c>
      <c r="C12" s="3717"/>
      <c r="D12" s="2897">
        <f>ROUND(D13*1.2%*(1-30%),0)</f>
        <v>0</v>
      </c>
      <c r="E12" s="2898">
        <v>1.2E-2</v>
      </c>
      <c r="F12" s="2891" t="s">
        <v>2366</v>
      </c>
      <c r="G12" s="2892"/>
      <c r="H12" s="2848"/>
      <c r="I12" s="2849"/>
      <c r="J12" s="3710"/>
      <c r="K12" s="371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0"/>
      <c r="K13" s="371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6" t="s">
        <v>2371</v>
      </c>
      <c r="C14" s="3717"/>
      <c r="D14" s="2897">
        <f>ROUND(E14*B5/10000,0)</f>
        <v>0</v>
      </c>
      <c r="E14" s="2886"/>
      <c r="F14" s="2891" t="s">
        <v>2372</v>
      </c>
      <c r="G14" s="2892"/>
      <c r="H14" s="2848"/>
      <c r="I14" s="2849"/>
      <c r="J14" s="3710"/>
      <c r="K14" s="371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6" t="s">
        <v>2375</v>
      </c>
      <c r="C15" s="3717"/>
      <c r="D15" s="2897">
        <f>ROUND(D6*E15,0)</f>
        <v>0</v>
      </c>
      <c r="E15" s="2898">
        <v>5.5E-2</v>
      </c>
      <c r="F15" s="2891" t="s">
        <v>2376</v>
      </c>
      <c r="G15" s="2873"/>
      <c r="H15" s="2848"/>
      <c r="I15" s="2849"/>
      <c r="J15" s="3710">
        <v>2</v>
      </c>
      <c r="K15" s="371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6" t="s">
        <v>2384</v>
      </c>
      <c r="C16" s="3717"/>
      <c r="D16" s="2908">
        <f>D6*E16</f>
        <v>0</v>
      </c>
      <c r="E16" s="2909"/>
      <c r="F16" s="2894" t="s">
        <v>2385</v>
      </c>
      <c r="G16" s="2873"/>
      <c r="H16" s="2848"/>
      <c r="I16" s="2849"/>
      <c r="J16" s="3710"/>
      <c r="K16" s="371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8" t="s">
        <v>2387</v>
      </c>
      <c r="C17" s="3719"/>
      <c r="D17" s="2911">
        <f>ROUND(D6*E17,0)</f>
        <v>0</v>
      </c>
      <c r="E17" s="2912"/>
      <c r="F17" s="2913" t="s">
        <v>2388</v>
      </c>
      <c r="G17" s="2873"/>
      <c r="H17" s="2848"/>
      <c r="I17" s="2849"/>
      <c r="J17" s="3710"/>
      <c r="K17" s="371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0"/>
      <c r="K18" s="371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0"/>
      <c r="K19" s="371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0">
        <v>3</v>
      </c>
      <c r="K20" s="371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0"/>
      <c r="K21" s="371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0"/>
      <c r="K22" s="371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0"/>
      <c r="K23" s="371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0"/>
      <c r="K24" s="371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3" t="s">
        <v>2320</v>
      </c>
      <c r="K32" s="370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5" t="s">
        <v>2330</v>
      </c>
      <c r="K33" s="370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5" t="s">
        <v>2332</v>
      </c>
      <c r="K34" s="370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0">
        <v>1</v>
      </c>
      <c r="K36" s="371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0"/>
      <c r="K40" s="371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1618.5746999999999</v>
      </c>
      <c r="C2" s="1872" t="s">
        <v>1651</v>
      </c>
      <c r="D2" s="1873" t="s">
        <v>1652</v>
      </c>
      <c r="E2" s="2607">
        <f>SUM(E6:E13)</f>
        <v>525.54999999999995</v>
      </c>
      <c r="F2" s="2707"/>
      <c r="G2" s="1489"/>
      <c r="H2" s="1489"/>
      <c r="I2" s="1489"/>
      <c r="J2" s="1489"/>
      <c r="K2" s="1489"/>
      <c r="L2" s="1489"/>
      <c r="M2" s="1489"/>
      <c r="N2" s="1489"/>
      <c r="O2" s="1489"/>
      <c r="P2" s="1489"/>
      <c r="Q2" s="1489"/>
      <c r="R2" s="1489"/>
      <c r="S2" s="1489"/>
    </row>
    <row r="3" spans="1:22" ht="15.75">
      <c r="A3" s="1870" t="s">
        <v>686</v>
      </c>
      <c r="B3" s="2601">
        <f ca="1">ROUND(B2*10000/E2,0)</f>
        <v>30798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1618.5746999999999</v>
      </c>
      <c r="C6" s="1872" t="s">
        <v>1651</v>
      </c>
      <c r="D6" s="2709"/>
      <c r="E6" s="2606">
        <f>IF(OR(A6=0,F6="否"),0,'数据-取费表'!K6+'数据-取费表'!S6)</f>
        <v>525.54999999999995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525.54999999999995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1" t="s">
        <v>1667</v>
      </c>
      <c r="D4" s="3672"/>
      <c r="E4" s="3673" t="s">
        <v>1668</v>
      </c>
      <c r="F4" s="3674"/>
      <c r="G4" s="3671" t="s">
        <v>1669</v>
      </c>
      <c r="H4" s="3672"/>
      <c r="I4" s="3671" t="s">
        <v>1670</v>
      </c>
      <c r="J4" s="3672"/>
      <c r="K4" s="1889" t="s">
        <v>1671</v>
      </c>
      <c r="L4" s="2715"/>
      <c r="M4" s="2716"/>
      <c r="N4" s="2716"/>
      <c r="O4" s="2716"/>
      <c r="P4" s="3675" t="s">
        <v>1672</v>
      </c>
      <c r="Q4" s="3676"/>
      <c r="R4" s="3657" t="s">
        <v>1668</v>
      </c>
      <c r="S4" s="3658"/>
      <c r="T4" s="3657" t="s">
        <v>1669</v>
      </c>
      <c r="U4" s="3658"/>
      <c r="V4" s="3654" t="s">
        <v>1670</v>
      </c>
      <c r="W4" s="3654"/>
      <c r="X4" s="1355"/>
      <c r="Y4" s="3657" t="s">
        <v>1672</v>
      </c>
      <c r="Z4" s="3658"/>
      <c r="AA4" s="3651" t="s">
        <v>1668</v>
      </c>
      <c r="AB4" s="3651" t="s">
        <v>1669</v>
      </c>
      <c r="AC4" s="3651" t="s">
        <v>1670</v>
      </c>
    </row>
    <row r="5" spans="1:29" ht="15">
      <c r="A5" s="358"/>
      <c r="B5" s="359"/>
      <c r="C5" s="3663" t="s">
        <v>1673</v>
      </c>
      <c r="D5" s="3664"/>
      <c r="E5" s="3724" t="s">
        <v>1674</v>
      </c>
      <c r="F5" s="3662"/>
      <c r="G5" s="3663" t="s">
        <v>1675</v>
      </c>
      <c r="H5" s="3664"/>
      <c r="I5" s="3663" t="s">
        <v>1676</v>
      </c>
      <c r="J5" s="3664"/>
      <c r="K5" s="1890"/>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1890"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5" t="s">
        <v>1680</v>
      </c>
      <c r="Q7" s="3683"/>
      <c r="R7" s="701" t="s">
        <v>20</v>
      </c>
      <c r="S7" s="702">
        <f t="shared" ref="S7:S15" si="0">F7</f>
        <v>0</v>
      </c>
      <c r="T7" s="701" t="s">
        <v>20</v>
      </c>
      <c r="U7" s="702">
        <f t="shared" ref="U7:U15" si="1">H7</f>
        <v>0</v>
      </c>
      <c r="V7" s="701" t="s">
        <v>20</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5" t="s">
        <v>1683</v>
      </c>
      <c r="Q8" s="3656"/>
      <c r="R8" s="701" t="s">
        <v>20</v>
      </c>
      <c r="S8" s="702">
        <f t="shared" si="0"/>
        <v>100</v>
      </c>
      <c r="T8" s="701" t="s">
        <v>20</v>
      </c>
      <c r="U8" s="702">
        <f t="shared" si="1"/>
        <v>100</v>
      </c>
      <c r="V8" s="701" t="s">
        <v>20</v>
      </c>
      <c r="W8" s="702">
        <f t="shared" si="2"/>
        <v>100</v>
      </c>
      <c r="X8" s="703"/>
      <c r="Y8" s="3655" t="s">
        <v>1683</v>
      </c>
      <c r="Z8" s="365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0"/>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0"/>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0"/>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0"/>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4"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5"/>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5"/>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5"/>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5"/>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5"/>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5"/>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5"/>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5"/>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5"/>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5"/>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5"/>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5"/>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5"/>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5"/>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525.54999999999995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1" t="s">
        <v>1775</v>
      </c>
      <c r="Q4" s="3732"/>
      <c r="R4" s="3726" t="s">
        <v>1771</v>
      </c>
      <c r="S4" s="3727"/>
      <c r="T4" s="3726" t="s">
        <v>1772</v>
      </c>
      <c r="U4" s="3727"/>
      <c r="V4" s="3735" t="s">
        <v>1773</v>
      </c>
      <c r="W4" s="3735"/>
      <c r="X4" s="1958"/>
      <c r="Y4" s="3726" t="s">
        <v>1775</v>
      </c>
      <c r="Z4" s="3727"/>
      <c r="AA4" s="3725" t="s">
        <v>1771</v>
      </c>
      <c r="AB4" s="3725" t="s">
        <v>1772</v>
      </c>
      <c r="AC4" s="3728" t="s">
        <v>1773</v>
      </c>
    </row>
    <row r="5" spans="1:29" ht="15">
      <c r="A5" s="358"/>
      <c r="B5" s="359"/>
      <c r="C5" s="3663" t="s">
        <v>1673</v>
      </c>
      <c r="D5" s="3664"/>
      <c r="E5" s="3724" t="s">
        <v>1674</v>
      </c>
      <c r="F5" s="3662"/>
      <c r="G5" s="3663" t="s">
        <v>1675</v>
      </c>
      <c r="H5" s="3664"/>
      <c r="I5" s="3663" t="s">
        <v>1676</v>
      </c>
      <c r="J5" s="3664"/>
      <c r="K5" s="559"/>
      <c r="L5" s="2715"/>
      <c r="M5" s="2716"/>
      <c r="N5" s="2716"/>
      <c r="O5" s="2716"/>
      <c r="P5" s="3733"/>
      <c r="Q5" s="3678"/>
      <c r="R5" s="3659"/>
      <c r="S5" s="3660"/>
      <c r="T5" s="3659"/>
      <c r="U5" s="3660"/>
      <c r="V5" s="3654"/>
      <c r="W5" s="3654"/>
      <c r="X5" s="1355"/>
      <c r="Y5" s="3659"/>
      <c r="Z5" s="3660"/>
      <c r="AA5" s="3652"/>
      <c r="AB5" s="3652"/>
      <c r="AC5" s="3729"/>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734"/>
      <c r="Q6" s="3680"/>
      <c r="R6" s="3659"/>
      <c r="S6" s="3660"/>
      <c r="T6" s="3681"/>
      <c r="U6" s="3682"/>
      <c r="V6" s="3654"/>
      <c r="W6" s="3654"/>
      <c r="X6" s="1355"/>
      <c r="Y6" s="3681"/>
      <c r="Z6" s="3682"/>
      <c r="AA6" s="3653"/>
      <c r="AB6" s="3653"/>
      <c r="AC6" s="3730"/>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56"/>
      <c r="R8" s="701" t="s">
        <v>14</v>
      </c>
      <c r="S8" s="702">
        <f t="shared" si="0"/>
        <v>100</v>
      </c>
      <c r="T8" s="701" t="s">
        <v>14</v>
      </c>
      <c r="U8" s="702">
        <f t="shared" si="1"/>
        <v>100</v>
      </c>
      <c r="V8" s="701" t="s">
        <v>14</v>
      </c>
      <c r="W8" s="702">
        <f t="shared" si="2"/>
        <v>100</v>
      </c>
      <c r="X8" s="703"/>
      <c r="Y8" s="3655" t="s">
        <v>1683</v>
      </c>
      <c r="Z8" s="365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0"/>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4"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5"/>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5"/>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5"/>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5"/>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5"/>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5"/>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5"/>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5"/>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5"/>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5"/>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5"/>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5"/>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5"/>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5"/>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5"/>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5"/>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0"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0"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估价对象为北京市房地产，为所有。根据《国有土地使用证》[]，估价对象（分摊）出让国有建设用地使用权面积为0平方米，建筑面积为525.55平方米。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估价对象为北京市房地产,属开发建设的，该项目尚在开发建设中。根据《国有土地使用证》[]，估价对象（分摊）出让国有建设用地使用权面积为0平方米，规划建筑面积为525.55平方米。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525.54999999999995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913"/>
      <c r="M4" s="914"/>
      <c r="N4" s="914"/>
      <c r="O4" s="914"/>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913"/>
      <c r="M5" s="914"/>
      <c r="N5" s="914"/>
      <c r="O5" s="914"/>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913"/>
      <c r="M6" s="914"/>
      <c r="N6" s="914"/>
      <c r="O6" s="914"/>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55"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5" t="s">
        <v>1683</v>
      </c>
      <c r="Q8" s="3656"/>
      <c r="R8" s="701" t="s">
        <v>14</v>
      </c>
      <c r="S8" s="702">
        <f t="shared" si="0"/>
        <v>100</v>
      </c>
      <c r="T8" s="701" t="s">
        <v>14</v>
      </c>
      <c r="U8" s="702">
        <f t="shared" si="1"/>
        <v>100</v>
      </c>
      <c r="V8" s="701" t="s">
        <v>14</v>
      </c>
      <c r="W8" s="702">
        <f t="shared" si="2"/>
        <v>100</v>
      </c>
      <c r="X8" s="703"/>
      <c r="Y8" s="3655" t="s">
        <v>1683</v>
      </c>
      <c r="Z8" s="365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5" t="s">
        <v>1680</v>
      </c>
      <c r="Q7" s="3683"/>
      <c r="R7" s="701" t="s">
        <v>14</v>
      </c>
      <c r="S7" s="702">
        <f t="shared" ref="S7:S14" si="0">F7</f>
        <v>0</v>
      </c>
      <c r="T7" s="701" t="s">
        <v>14</v>
      </c>
      <c r="U7" s="702">
        <f t="shared" ref="U7:U14" si="1">H7</f>
        <v>0</v>
      </c>
      <c r="V7" s="701" t="s">
        <v>14</v>
      </c>
      <c r="W7" s="702">
        <f t="shared" ref="W7:W14"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5" t="s">
        <v>1683</v>
      </c>
      <c r="Q8" s="3656"/>
      <c r="R8" s="701" t="s">
        <v>14</v>
      </c>
      <c r="S8" s="702">
        <f t="shared" si="0"/>
        <v>100</v>
      </c>
      <c r="T8" s="701" t="s">
        <v>14</v>
      </c>
      <c r="U8" s="702">
        <f t="shared" si="1"/>
        <v>100</v>
      </c>
      <c r="V8" s="701" t="s">
        <v>14</v>
      </c>
      <c r="W8" s="702">
        <f t="shared" si="2"/>
        <v>100</v>
      </c>
      <c r="X8" s="703"/>
      <c r="Y8" s="3655" t="s">
        <v>1683</v>
      </c>
      <c r="Z8" s="365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5" t="s">
        <v>1680</v>
      </c>
      <c r="Q7" s="3683"/>
      <c r="R7" s="701" t="s">
        <v>14</v>
      </c>
      <c r="S7" s="702">
        <f t="shared" ref="S7:S14" si="0">F7</f>
        <v>0</v>
      </c>
      <c r="T7" s="701" t="s">
        <v>14</v>
      </c>
      <c r="U7" s="702">
        <f t="shared" ref="U7:U14" si="1">H7</f>
        <v>0</v>
      </c>
      <c r="V7" s="701" t="s">
        <v>14</v>
      </c>
      <c r="W7" s="702">
        <f t="shared" ref="W7:W14"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5" t="s">
        <v>1683</v>
      </c>
      <c r="Q8" s="3656"/>
      <c r="R8" s="701" t="s">
        <v>14</v>
      </c>
      <c r="S8" s="702">
        <f t="shared" si="0"/>
        <v>100</v>
      </c>
      <c r="T8" s="701" t="s">
        <v>14</v>
      </c>
      <c r="U8" s="702">
        <f t="shared" si="1"/>
        <v>100</v>
      </c>
      <c r="V8" s="701" t="s">
        <v>14</v>
      </c>
      <c r="W8" s="702">
        <f t="shared" si="2"/>
        <v>100</v>
      </c>
      <c r="X8" s="703"/>
      <c r="Y8" s="3655" t="s">
        <v>1683</v>
      </c>
      <c r="Z8" s="365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30"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30" ht="15.75" thickBot="1">
      <c r="A6" s="360"/>
      <c r="B6" s="361"/>
      <c r="C6" s="3665" t="s">
        <v>1677</v>
      </c>
      <c r="D6" s="3666"/>
      <c r="E6" s="3668" t="s">
        <v>1677</v>
      </c>
      <c r="F6" s="3669"/>
      <c r="G6" s="3665" t="s">
        <v>1677</v>
      </c>
      <c r="H6" s="3666"/>
      <c r="I6" s="3665" t="s">
        <v>1677</v>
      </c>
      <c r="J6" s="3666"/>
      <c r="K6" s="559" t="s">
        <v>1678</v>
      </c>
      <c r="L6" s="2715"/>
      <c r="M6" s="2716"/>
      <c r="N6" s="2716"/>
      <c r="O6" s="2716"/>
      <c r="P6" s="3679"/>
      <c r="Q6" s="3680"/>
      <c r="R6" s="3659"/>
      <c r="S6" s="3660"/>
      <c r="T6" s="3681"/>
      <c r="U6" s="3682"/>
      <c r="V6" s="3654"/>
      <c r="W6" s="3654"/>
      <c r="X6" s="1355"/>
      <c r="Y6" s="3681"/>
      <c r="Z6" s="3682"/>
      <c r="AA6" s="3653"/>
      <c r="AB6" s="3653"/>
      <c r="AC6" s="3653"/>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5"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5" t="s">
        <v>1683</v>
      </c>
      <c r="Q8" s="3656"/>
      <c r="R8" s="701" t="s">
        <v>14</v>
      </c>
      <c r="S8" s="702">
        <f t="shared" si="0"/>
        <v>0</v>
      </c>
      <c r="T8" s="701" t="s">
        <v>14</v>
      </c>
      <c r="U8" s="702">
        <f t="shared" si="1"/>
        <v>0</v>
      </c>
      <c r="V8" s="701" t="s">
        <v>14</v>
      </c>
      <c r="W8" s="702">
        <f t="shared" si="2"/>
        <v>0</v>
      </c>
      <c r="X8" s="703"/>
      <c r="Y8" s="3655" t="s">
        <v>1683</v>
      </c>
      <c r="Z8" s="365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93"/>
      <c r="Q10" s="1343" t="str">
        <f t="shared" si="6"/>
        <v>土地使用年限（年）</v>
      </c>
      <c r="R10" s="701" t="s">
        <v>14</v>
      </c>
      <c r="S10" s="702">
        <f t="shared" si="0"/>
        <v>105</v>
      </c>
      <c r="T10" s="701" t="s">
        <v>14</v>
      </c>
      <c r="U10" s="702">
        <f t="shared" si="1"/>
        <v>105</v>
      </c>
      <c r="V10" s="701" t="s">
        <v>14</v>
      </c>
      <c r="W10" s="702">
        <f t="shared" si="2"/>
        <v>105</v>
      </c>
      <c r="X10" s="703"/>
      <c r="Y10" s="3624"/>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654">
        <f>E46</f>
        <v>0</v>
      </c>
      <c r="S46" s="3654"/>
      <c r="T46" s="3654">
        <f>G46</f>
        <v>0</v>
      </c>
      <c r="U46" s="3654"/>
      <c r="V46" s="3654">
        <f>I46</f>
        <v>0</v>
      </c>
      <c r="W46" s="365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1"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525.54999999999995</v>
      </c>
      <c r="F56" s="886" t="e">
        <f t="shared" ref="F56:F64" si="15">ROUND(B56*E56/10000,0)</f>
        <v>#DIV/0!</v>
      </c>
      <c r="G56" s="3670"/>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525.54999999999995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57" t="s">
        <v>1771</v>
      </c>
      <c r="S4" s="3658"/>
      <c r="T4" s="3657" t="s">
        <v>1772</v>
      </c>
      <c r="U4" s="3658"/>
      <c r="V4" s="3654" t="s">
        <v>1773</v>
      </c>
      <c r="W4" s="3654"/>
      <c r="X4" s="1355"/>
      <c r="Y4" s="3657" t="s">
        <v>1775</v>
      </c>
      <c r="Z4" s="3658"/>
      <c r="AA4" s="3651" t="s">
        <v>1771</v>
      </c>
      <c r="AB4" s="3652" t="s">
        <v>1772</v>
      </c>
      <c r="AC4" s="3651" t="s">
        <v>1773</v>
      </c>
    </row>
    <row r="5" spans="1:29" ht="15">
      <c r="A5" s="358"/>
      <c r="B5" s="359"/>
      <c r="C5" s="3663" t="s">
        <v>1673</v>
      </c>
      <c r="D5" s="3664"/>
      <c r="E5" s="3724" t="s">
        <v>1674</v>
      </c>
      <c r="F5" s="3662"/>
      <c r="G5" s="3663" t="s">
        <v>1675</v>
      </c>
      <c r="H5" s="3664"/>
      <c r="I5" s="3663" t="s">
        <v>1676</v>
      </c>
      <c r="J5" s="3664"/>
      <c r="K5" s="559"/>
      <c r="L5" s="2715"/>
      <c r="M5" s="2716"/>
      <c r="N5" s="2716"/>
      <c r="O5" s="2716"/>
      <c r="P5" s="3677"/>
      <c r="Q5" s="3678"/>
      <c r="R5" s="3659"/>
      <c r="S5" s="3660"/>
      <c r="T5" s="3659"/>
      <c r="U5" s="3660"/>
      <c r="V5" s="3654"/>
      <c r="W5" s="3654"/>
      <c r="X5" s="1355"/>
      <c r="Y5" s="3659"/>
      <c r="Z5" s="3660"/>
      <c r="AA5" s="3652"/>
      <c r="AB5" s="3652"/>
      <c r="AC5" s="3652"/>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679"/>
      <c r="Q6" s="3680"/>
      <c r="R6" s="3659"/>
      <c r="S6" s="3660"/>
      <c r="T6" s="3681"/>
      <c r="U6" s="3682"/>
      <c r="V6" s="3654"/>
      <c r="W6" s="3654"/>
      <c r="X6" s="1355"/>
      <c r="Y6" s="3681"/>
      <c r="Z6" s="3682"/>
      <c r="AA6" s="3653"/>
      <c r="AB6" s="3653"/>
      <c r="AC6" s="3653"/>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5" t="s">
        <v>1680</v>
      </c>
      <c r="Q7" s="3683"/>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5" t="s">
        <v>1683</v>
      </c>
      <c r="Q8" s="3656"/>
      <c r="R8" s="701" t="s">
        <v>14</v>
      </c>
      <c r="S8" s="702">
        <f t="shared" si="0"/>
        <v>0</v>
      </c>
      <c r="T8" s="701" t="s">
        <v>14</v>
      </c>
      <c r="U8" s="702">
        <f t="shared" si="1"/>
        <v>0</v>
      </c>
      <c r="V8" s="701" t="s">
        <v>14</v>
      </c>
      <c r="W8" s="702">
        <f t="shared" si="2"/>
        <v>0</v>
      </c>
      <c r="X8" s="703"/>
      <c r="Y8" s="3655" t="s">
        <v>1683</v>
      </c>
      <c r="Z8" s="365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93"/>
      <c r="Q10" s="1343" t="str">
        <f t="shared" si="6"/>
        <v>土地使用年限（年）</v>
      </c>
      <c r="R10" s="701" t="s">
        <v>14</v>
      </c>
      <c r="S10" s="702">
        <f t="shared" si="0"/>
        <v>105</v>
      </c>
      <c r="T10" s="701" t="s">
        <v>14</v>
      </c>
      <c r="U10" s="702">
        <f t="shared" si="1"/>
        <v>105</v>
      </c>
      <c r="V10" s="701" t="s">
        <v>14</v>
      </c>
      <c r="W10" s="702">
        <f t="shared" si="2"/>
        <v>105</v>
      </c>
      <c r="X10" s="703"/>
      <c r="Y10" s="3624"/>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654">
        <f>E41</f>
        <v>0</v>
      </c>
      <c r="S41" s="3654"/>
      <c r="T41" s="3654">
        <f>G41</f>
        <v>0</v>
      </c>
      <c r="U41" s="3654"/>
      <c r="V41" s="3654">
        <f>I41</f>
        <v>0</v>
      </c>
      <c r="W41" s="365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1"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525.54999999999995</v>
      </c>
      <c r="F51" s="639" t="e">
        <f t="shared" ref="F51:F60" si="15">ROUND(B51*E51/10000,0)</f>
        <v>#DIV/0!</v>
      </c>
      <c r="G51" s="3670"/>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697</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697</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3" sqref="F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697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13254</v>
      </c>
      <c r="U2" s="1213">
        <f>'数据-基础表'!I13</f>
        <v>525.54999999999995</v>
      </c>
      <c r="V2" s="3361">
        <f>ROUND(T2*U2/10000,0)</f>
        <v>697</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8829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7483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3259</v>
      </c>
      <c r="B20" s="167" t="s">
        <v>1994</v>
      </c>
      <c r="C20" s="3325">
        <f>ROUND(IF(F21="与级别开发程度一致",0,(G21-E21)/C21),0)</f>
        <v>-20</v>
      </c>
      <c r="D20" s="3341" t="s">
        <v>1998</v>
      </c>
      <c r="E20" s="3342"/>
      <c r="F20" s="3772" t="s">
        <v>1995</v>
      </c>
      <c r="G20" s="3773"/>
      <c r="H20" s="3326" t="s">
        <v>3393</v>
      </c>
      <c r="I20" s="3326" t="s">
        <v>3392</v>
      </c>
      <c r="J20" s="3327" t="s">
        <v>3394</v>
      </c>
      <c r="K20" s="2047" t="s">
        <v>3395</v>
      </c>
      <c r="L20" s="2047" t="s">
        <v>3396</v>
      </c>
      <c r="M20" s="2047"/>
      <c r="N20" s="2047" t="s">
        <v>3398</v>
      </c>
      <c r="O20" s="2048" t="s">
        <v>3397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45076</v>
      </c>
      <c r="H23" s="3343" t="s">
        <v>3260</v>
      </c>
      <c r="I23" s="3344" t="str">
        <f>IF(H23="季度增幅（自定义）",SUMIF(N25:N28,E2,O25:O28),"")</f>
        <v/>
      </c>
      <c r="J23" s="3446" t="s">
        <v>3399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0.95440000000000003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34.5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697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5295</v>
      </c>
      <c r="D37" s="2098"/>
      <c r="E37" s="171">
        <f>ROUND(C37*D37/10000,0)</f>
        <v>0</v>
      </c>
      <c r="F37" s="171">
        <f>SUMIF(修正!A57:A68,G2,修正!B57:B68)</f>
        <v>0.6</v>
      </c>
      <c r="G37" s="171">
        <f>ROUND(IF(E2="工业",C37*$M$42,C37*$M$41),0)</f>
        <v>1324</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2647</v>
      </c>
      <c r="D38" s="2098"/>
      <c r="E38" s="171">
        <f t="shared" ref="E38:E42" si="4">ROUND(C38*D38/10000,0)</f>
        <v>0</v>
      </c>
      <c r="F38" s="171">
        <f>SUMIF(修正!A57:A68,G2,修正!C57:C68)</f>
        <v>0.3</v>
      </c>
      <c r="G38" s="171">
        <f>ROUND(IF(E2="工业",C38*$M$42,C38*$M$41),0)</f>
        <v>662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3263</v>
      </c>
      <c r="C39" s="175">
        <f>ROUND(D5*C22*C23*C24*C28*F39,0)</f>
        <v>2206</v>
      </c>
      <c r="D39" s="2098"/>
      <c r="E39" s="171">
        <f t="shared" si="4"/>
        <v>0</v>
      </c>
      <c r="F39" s="171">
        <f>SUMIF(修正!A57:A68,G2,修正!D57:D68)</f>
        <v>0.25</v>
      </c>
      <c r="G39" s="171">
        <f>ROUND(IF(E2="工业",C39*$M$42,C39*$M$41),0)</f>
        <v>552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2206</v>
      </c>
      <c r="D40" s="2098"/>
      <c r="E40" s="171">
        <f t="shared" si="4"/>
        <v>0</v>
      </c>
      <c r="F40" s="175">
        <f>SUMIF(修正!A57:A68,G2,修正!E57:E68)</f>
        <v>0.25</v>
      </c>
      <c r="G40" s="171">
        <f>ROUND(IF(E2="工业",C40*$M$42,C40*$M$41),0)</f>
        <v>552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1.95E-2</v>
      </c>
      <c r="E50" s="744">
        <f>ROUND(SUM(D50:D58),4)</f>
        <v>6.1600000000000002E-2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3298</v>
      </c>
      <c r="B103" s="3768"/>
      <c r="C103" s="3768"/>
      <c r="D103" s="3768"/>
      <c r="E103" s="3768"/>
      <c r="F103" s="3768"/>
      <c r="G103" s="3768"/>
      <c r="H103" s="3768"/>
      <c r="I103" s="3768"/>
      <c r="J103" s="3768"/>
      <c r="K103" s="3390"/>
      <c r="L103" s="3390"/>
      <c r="M103" s="3390"/>
      <c r="N103" s="3390"/>
    </row>
    <row r="104" spans="1:14">
      <c r="A104" s="3769" t="s">
        <v>3299</v>
      </c>
      <c r="B104" s="3769" t="s">
        <v>3300</v>
      </c>
      <c r="C104" s="3391" t="s">
        <v>3301</v>
      </c>
      <c r="D104" s="3392"/>
      <c r="E104" s="3392"/>
      <c r="F104" s="3392"/>
      <c r="G104" s="3392"/>
      <c r="H104" s="3392"/>
      <c r="I104" s="3392"/>
      <c r="J104" s="3393"/>
      <c r="K104" s="3394"/>
      <c r="L104" s="3394"/>
      <c r="M104" s="3394"/>
      <c r="N104" s="3394"/>
    </row>
    <row r="105" spans="1:14">
      <c r="A105" s="3769"/>
      <c r="B105" s="376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3315</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4"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4" t="s">
        <v>2615</v>
      </c>
      <c r="C27" s="3103" t="s">
        <v>2455</v>
      </c>
      <c r="D27" s="3104"/>
      <c r="E27" s="3105">
        <v>1</v>
      </c>
      <c r="F27" s="3106" t="s">
        <v>2456</v>
      </c>
      <c r="G27" s="3106"/>
    </row>
    <row r="28" spans="1:13" ht="19.5" customHeight="1">
      <c r="A28" s="3778"/>
      <c r="B28" s="3775"/>
      <c r="C28" s="3107" t="s">
        <v>2457</v>
      </c>
      <c r="D28" s="3108"/>
      <c r="E28" s="3109">
        <v>1</v>
      </c>
      <c r="F28" s="3106" t="s">
        <v>2458</v>
      </c>
      <c r="G28" s="3106"/>
    </row>
    <row r="29" spans="1:13" ht="19.5" customHeight="1">
      <c r="A29" s="3778"/>
      <c r="B29" s="3775"/>
      <c r="C29" s="3107" t="s">
        <v>2459</v>
      </c>
      <c r="D29" s="3108"/>
      <c r="E29" s="3109">
        <v>0.8</v>
      </c>
      <c r="F29" s="3106" t="s">
        <v>2460</v>
      </c>
      <c r="G29" s="3106"/>
    </row>
    <row r="30" spans="1:13" ht="19.5" customHeight="1">
      <c r="A30" s="3778"/>
      <c r="B30" s="3775"/>
      <c r="C30" s="3107" t="s">
        <v>2461</v>
      </c>
      <c r="D30" s="3108"/>
      <c r="E30" s="3109">
        <v>0.8</v>
      </c>
      <c r="F30" s="3106" t="s">
        <v>2462</v>
      </c>
      <c r="G30" s="3106"/>
    </row>
    <row r="31" spans="1:13" ht="19.5" customHeight="1">
      <c r="A31" s="3778"/>
      <c r="B31" s="3775"/>
      <c r="C31" s="3107" t="s">
        <v>2463</v>
      </c>
      <c r="D31" s="3108"/>
      <c r="E31" s="3109">
        <v>0.8</v>
      </c>
      <c r="F31" s="3106" t="s">
        <v>2464</v>
      </c>
      <c r="G31" s="3106"/>
    </row>
    <row r="32" spans="1:13" ht="19.5" customHeight="1">
      <c r="A32" s="3778"/>
      <c r="B32" s="3775"/>
      <c r="C32" s="3107" t="s">
        <v>2465</v>
      </c>
      <c r="D32" s="3108"/>
      <c r="E32" s="3109">
        <v>0.7</v>
      </c>
      <c r="F32" s="3106" t="s">
        <v>2466</v>
      </c>
      <c r="G32" s="3106"/>
    </row>
    <row r="33" spans="1:7" ht="19.5" customHeight="1">
      <c r="A33" s="3778"/>
      <c r="B33" s="3775"/>
      <c r="C33" s="3107" t="s">
        <v>2467</v>
      </c>
      <c r="D33" s="3108"/>
      <c r="E33" s="3109">
        <v>0.8</v>
      </c>
      <c r="F33" s="3106" t="s">
        <v>2468</v>
      </c>
      <c r="G33" s="3106"/>
    </row>
    <row r="34" spans="1:7" ht="19.5" customHeight="1">
      <c r="A34" s="3778"/>
      <c r="B34" s="3775"/>
      <c r="C34" s="3107" t="s">
        <v>2469</v>
      </c>
      <c r="D34" s="3108"/>
      <c r="E34" s="3109">
        <v>0.6</v>
      </c>
      <c r="F34" s="3106" t="s">
        <v>2470</v>
      </c>
      <c r="G34" s="3106"/>
    </row>
    <row r="35" spans="1:7" ht="19.5" customHeight="1">
      <c r="A35" s="3778"/>
      <c r="B35" s="3775"/>
      <c r="C35" s="3107" t="s">
        <v>2471</v>
      </c>
      <c r="D35" s="3108"/>
      <c r="E35" s="3109">
        <v>0.2</v>
      </c>
      <c r="F35" s="3106" t="s">
        <v>2472</v>
      </c>
      <c r="G35" s="3106"/>
    </row>
    <row r="36" spans="1:7" ht="19.5" customHeight="1">
      <c r="A36" s="3778"/>
      <c r="B36" s="3775"/>
      <c r="C36" s="3107" t="s">
        <v>2473</v>
      </c>
      <c r="D36" s="3108"/>
      <c r="E36" s="3109">
        <v>0.2</v>
      </c>
      <c r="F36" s="3106" t="s">
        <v>2474</v>
      </c>
      <c r="G36" s="3106"/>
    </row>
    <row r="37" spans="1:7" ht="19.5" customHeight="1">
      <c r="A37" s="3778"/>
      <c r="B37" s="3780" t="s">
        <v>2635</v>
      </c>
      <c r="C37" s="3107" t="s">
        <v>2475</v>
      </c>
      <c r="D37" s="3108"/>
      <c r="E37" s="3109">
        <v>0.6</v>
      </c>
      <c r="F37" s="3106" t="s">
        <v>2476</v>
      </c>
      <c r="G37" s="3106"/>
    </row>
    <row r="38" spans="1:7" ht="19.5" customHeight="1">
      <c r="A38" s="3778"/>
      <c r="B38" s="3775"/>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4"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8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80"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0"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84"/>
      <c r="C89" s="3092" t="s">
        <v>2687</v>
      </c>
      <c r="D89" s="3092" t="s">
        <v>2688</v>
      </c>
      <c r="E89" s="3118">
        <v>0.1</v>
      </c>
      <c r="F89" s="3118">
        <v>15</v>
      </c>
    </row>
    <row r="90" spans="1:6" ht="13.5">
      <c r="A90" s="3118">
        <v>18</v>
      </c>
      <c r="B90" s="3780"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84"/>
      <c r="C106" s="3092" t="s">
        <v>2722</v>
      </c>
      <c r="D106" s="3092" t="s">
        <v>2723</v>
      </c>
      <c r="E106" s="3118">
        <v>0.1</v>
      </c>
      <c r="F106" s="3118">
        <v>15</v>
      </c>
    </row>
    <row r="107" spans="1:6" ht="24">
      <c r="A107" s="3118">
        <v>35</v>
      </c>
      <c r="B107" s="3780"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84"/>
      <c r="C112" s="3118" t="s">
        <v>2735</v>
      </c>
      <c r="D112" s="3092" t="s">
        <v>2736</v>
      </c>
      <c r="E112" s="3118">
        <v>0.1</v>
      </c>
      <c r="F112" s="3118">
        <v>15</v>
      </c>
    </row>
    <row r="113" spans="1:6" ht="13.5">
      <c r="A113" s="3118">
        <v>41</v>
      </c>
      <c r="B113" s="3785" t="s">
        <v>2737</v>
      </c>
      <c r="C113" s="3118" t="s">
        <v>2738</v>
      </c>
      <c r="D113" s="3092" t="s">
        <v>2739</v>
      </c>
      <c r="E113" s="3118">
        <v>0.1</v>
      </c>
      <c r="F113" s="3118">
        <v>15</v>
      </c>
    </row>
    <row r="114" spans="1:6" ht="13.5">
      <c r="A114" s="3118">
        <v>42</v>
      </c>
      <c r="B114" s="3785"/>
      <c r="C114" s="3118" t="s">
        <v>2740</v>
      </c>
      <c r="D114" s="3092" t="s">
        <v>2741</v>
      </c>
      <c r="E114" s="3118">
        <v>0.1</v>
      </c>
      <c r="F114" s="3118">
        <v>15</v>
      </c>
    </row>
    <row r="115" spans="1:6" ht="24">
      <c r="A115" s="3118">
        <v>43</v>
      </c>
      <c r="B115" s="3785"/>
      <c r="C115" s="3118" t="s">
        <v>2742</v>
      </c>
      <c r="D115" s="3092" t="s">
        <v>2743</v>
      </c>
      <c r="E115" s="3118">
        <v>0.1</v>
      </c>
      <c r="F115" s="3118">
        <v>15</v>
      </c>
    </row>
    <row r="116" spans="1:6" ht="13.5">
      <c r="A116" s="3118">
        <v>44</v>
      </c>
      <c r="B116" s="3780" t="s">
        <v>2744</v>
      </c>
      <c r="C116" s="3118" t="s">
        <v>2745</v>
      </c>
      <c r="D116" s="3092" t="s">
        <v>2746</v>
      </c>
      <c r="E116" s="3118">
        <v>0.1</v>
      </c>
      <c r="F116" s="3118">
        <v>15</v>
      </c>
    </row>
    <row r="117" spans="1:6" ht="24">
      <c r="A117" s="3118">
        <v>45</v>
      </c>
      <c r="B117" s="3784"/>
      <c r="C117" s="3092" t="s">
        <v>2747</v>
      </c>
      <c r="D117" s="3092" t="s">
        <v>2748</v>
      </c>
      <c r="E117" s="3118">
        <v>0.1</v>
      </c>
      <c r="F117" s="3118">
        <v>15</v>
      </c>
    </row>
    <row r="118" spans="1:6" ht="24">
      <c r="A118" s="3118">
        <v>46</v>
      </c>
      <c r="B118" s="3780" t="s">
        <v>2749</v>
      </c>
      <c r="C118" s="3118" t="s">
        <v>2750</v>
      </c>
      <c r="D118" s="3092" t="s">
        <v>2751</v>
      </c>
      <c r="E118" s="3118">
        <v>0.1</v>
      </c>
      <c r="F118" s="3118">
        <v>15</v>
      </c>
    </row>
    <row r="119" spans="1:6" ht="24">
      <c r="A119" s="3118">
        <v>47</v>
      </c>
      <c r="B119" s="3784"/>
      <c r="C119" s="3118" t="s">
        <v>2752</v>
      </c>
      <c r="D119" s="3092" t="s">
        <v>2753</v>
      </c>
      <c r="E119" s="3118">
        <v>0.1</v>
      </c>
      <c r="F119" s="3118">
        <v>15</v>
      </c>
    </row>
    <row r="120" spans="1:6" ht="13.5">
      <c r="A120" s="3118">
        <v>48</v>
      </c>
      <c r="B120" s="3780" t="s">
        <v>2754</v>
      </c>
      <c r="C120" s="3118" t="s">
        <v>2755</v>
      </c>
      <c r="D120" s="3092" t="s">
        <v>2756</v>
      </c>
      <c r="E120" s="3118">
        <v>0.1</v>
      </c>
      <c r="F120" s="3118">
        <v>15</v>
      </c>
    </row>
    <row r="121" spans="1:6" ht="13.5">
      <c r="A121" s="3118">
        <v>49</v>
      </c>
      <c r="B121" s="3784"/>
      <c r="C121" s="3118" t="s">
        <v>2757</v>
      </c>
      <c r="D121" s="3092" t="s">
        <v>2758</v>
      </c>
      <c r="E121" s="3118">
        <v>0.1</v>
      </c>
      <c r="F121" s="3118">
        <v>15</v>
      </c>
    </row>
    <row r="122" spans="1:6" ht="24">
      <c r="A122" s="3118">
        <v>50</v>
      </c>
      <c r="B122" s="3785" t="s">
        <v>2759</v>
      </c>
      <c r="C122" s="3118" t="s">
        <v>2760</v>
      </c>
      <c r="D122" s="3092" t="s">
        <v>2761</v>
      </c>
      <c r="E122" s="3118">
        <v>0.1</v>
      </c>
      <c r="F122" s="3118">
        <v>15</v>
      </c>
    </row>
    <row r="123" spans="1:6" ht="24">
      <c r="A123" s="3118">
        <v>51</v>
      </c>
      <c r="B123" s="3785"/>
      <c r="C123" s="3118" t="s">
        <v>2762</v>
      </c>
      <c r="D123" s="3092" t="s">
        <v>2763</v>
      </c>
      <c r="E123" s="3118">
        <v>0.1</v>
      </c>
      <c r="F123" s="3118">
        <v>15</v>
      </c>
    </row>
    <row r="124" spans="1:6" ht="24">
      <c r="A124" s="3118">
        <v>52</v>
      </c>
      <c r="B124" s="3785" t="s">
        <v>2764</v>
      </c>
      <c r="C124" s="3118" t="s">
        <v>2765</v>
      </c>
      <c r="D124" s="3092" t="s">
        <v>2766</v>
      </c>
      <c r="E124" s="3118">
        <v>0.1</v>
      </c>
      <c r="F124" s="3118">
        <v>15</v>
      </c>
    </row>
    <row r="125" spans="1:6" ht="24">
      <c r="A125" s="3118">
        <v>53</v>
      </c>
      <c r="B125" s="378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5" t="s">
        <v>2772</v>
      </c>
      <c r="C127" s="3118" t="s">
        <v>2773</v>
      </c>
      <c r="D127" s="3092" t="s">
        <v>2774</v>
      </c>
      <c r="E127" s="3118">
        <v>0.1</v>
      </c>
      <c r="F127" s="3118">
        <v>15</v>
      </c>
    </row>
    <row r="128" spans="1:6" ht="13.5">
      <c r="A128" s="3118">
        <v>56</v>
      </c>
      <c r="B128" s="3785"/>
      <c r="C128" s="3118" t="s">
        <v>2775</v>
      </c>
      <c r="D128" s="3092" t="s">
        <v>2776</v>
      </c>
      <c r="E128" s="3118">
        <v>0.1</v>
      </c>
      <c r="F128" s="3118">
        <v>15</v>
      </c>
    </row>
    <row r="129" spans="1:6" ht="24">
      <c r="A129" s="3118">
        <v>57</v>
      </c>
      <c r="B129" s="3785"/>
      <c r="C129" s="3118" t="s">
        <v>2777</v>
      </c>
      <c r="D129" s="3092" t="s">
        <v>2778</v>
      </c>
      <c r="E129" s="3118">
        <v>0.1</v>
      </c>
      <c r="F129" s="3118">
        <v>15</v>
      </c>
    </row>
    <row r="130" spans="1:6" ht="24">
      <c r="A130" s="3118">
        <v>58</v>
      </c>
      <c r="B130" s="3785" t="s">
        <v>2779</v>
      </c>
      <c r="C130" s="3118" t="s">
        <v>2780</v>
      </c>
      <c r="D130" s="3092" t="s">
        <v>2781</v>
      </c>
      <c r="E130" s="3118">
        <v>0.1</v>
      </c>
      <c r="F130" s="3118">
        <v>15</v>
      </c>
    </row>
    <row r="131" spans="1:6" ht="13.5">
      <c r="A131" s="3118">
        <v>59</v>
      </c>
      <c r="B131" s="3785"/>
      <c r="C131" s="3118" t="s">
        <v>2782</v>
      </c>
      <c r="D131" s="3092" t="s">
        <v>2783</v>
      </c>
      <c r="E131" s="3118">
        <v>0.1</v>
      </c>
      <c r="F131" s="3118">
        <v>15</v>
      </c>
    </row>
    <row r="132" spans="1:6" ht="13.5">
      <c r="A132" s="3118">
        <v>60</v>
      </c>
      <c r="B132" s="3780" t="s">
        <v>2784</v>
      </c>
      <c r="C132" s="3118" t="s">
        <v>2785</v>
      </c>
      <c r="D132" s="3092" t="s">
        <v>2786</v>
      </c>
      <c r="E132" s="3118">
        <v>0.1</v>
      </c>
      <c r="F132" s="3118">
        <v>15</v>
      </c>
    </row>
    <row r="133" spans="1:6" ht="13.5">
      <c r="A133" s="3118">
        <v>61</v>
      </c>
      <c r="B133" s="378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5" t="s">
        <v>2792</v>
      </c>
      <c r="C135" s="3118" t="s">
        <v>2793</v>
      </c>
      <c r="D135" s="3092" t="s">
        <v>2794</v>
      </c>
      <c r="E135" s="3118">
        <v>0.1</v>
      </c>
      <c r="F135" s="3118">
        <v>15</v>
      </c>
    </row>
    <row r="136" spans="1:6" ht="13.5">
      <c r="A136" s="3118">
        <v>64</v>
      </c>
      <c r="B136" s="378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1840</v>
      </c>
      <c r="E5" s="1491"/>
    </row>
    <row r="6" spans="1:5" ht="15.75">
      <c r="A6" s="1491"/>
      <c r="B6" s="3467"/>
      <c r="C6" s="1494" t="s">
        <v>911</v>
      </c>
      <c r="D6" s="850" t="str">
        <f ca="1">NUMBERSTRING(INT(D5*10000),2)&amp;"元整"</f>
        <v>壹仟捌佰肆拾万元整</v>
      </c>
      <c r="E6" s="1491"/>
    </row>
    <row r="7" spans="1:5" ht="15.75">
      <c r="A7" s="1491"/>
      <c r="B7" s="3472"/>
      <c r="C7" s="1495" t="s">
        <v>912</v>
      </c>
      <c r="D7" s="851">
        <f ca="1">结果表!H102</f>
        <v>35008</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1840</v>
      </c>
      <c r="E13" s="1491"/>
    </row>
    <row r="14" spans="1:5" ht="15.75">
      <c r="A14" s="1491"/>
      <c r="B14" s="3467"/>
      <c r="C14" s="1494" t="s">
        <v>911</v>
      </c>
      <c r="D14" s="850" t="str">
        <f ca="1">NUMBERSTRING(INT(D13*10000),2)&amp;"元整"</f>
        <v>壹仟捌佰肆拾万元整</v>
      </c>
      <c r="E14" s="1491"/>
    </row>
    <row r="15" spans="1:5" ht="15">
      <c r="A15" s="1491"/>
      <c r="B15" s="3472"/>
      <c r="C15" s="1495" t="s">
        <v>921</v>
      </c>
      <c r="D15" s="859">
        <f ca="1">结果表!H108</f>
        <v>35008</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28346</v>
      </c>
      <c r="C2" s="2" t="s">
        <v>106</v>
      </c>
      <c r="D2" s="199"/>
      <c r="E2" s="199"/>
      <c r="F2" s="199"/>
      <c r="G2" s="199"/>
    </row>
    <row r="3" spans="1:7" s="200" customFormat="1" ht="18" customHeight="1" thickBot="1">
      <c r="A3" s="203" t="s">
        <v>58</v>
      </c>
      <c r="B3" s="204">
        <f ca="1">ROUND(B2*10000/'数据-汇总表'!E3,0)</f>
        <v>539359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525.54999999999995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525.54999999999995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184</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525.54999999999995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31</v>
      </c>
      <c r="D45" s="235">
        <f>C47</f>
        <v>3.0000000000000001E-3</v>
      </c>
      <c r="E45" s="236" t="s">
        <v>102</v>
      </c>
      <c r="F45" s="246"/>
      <c r="G45" s="247" t="s">
        <v>434</v>
      </c>
    </row>
    <row r="46" spans="1:7" s="214" customFormat="1" ht="13.5" customHeight="1">
      <c r="A46" s="780" t="s">
        <v>349</v>
      </c>
      <c r="B46" s="248" t="s">
        <v>427</v>
      </c>
      <c r="C46" s="249">
        <f>ROUND((C33+C39)*F27,0)</f>
        <v>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254</v>
      </c>
      <c r="D51" s="232"/>
      <c r="E51" s="232"/>
      <c r="F51" s="264"/>
      <c r="G51" s="234" t="s">
        <v>37</v>
      </c>
    </row>
    <row r="52" spans="1:7" s="208" customFormat="1" ht="16.5" thickBot="1">
      <c r="A52" s="265" t="s">
        <v>38</v>
      </c>
      <c r="B52" s="266"/>
      <c r="C52" s="267">
        <f ca="1">C31+C51</f>
        <v>28346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1" t="s">
        <v>3237</v>
      </c>
      <c r="B1" s="3791"/>
      <c r="C1" s="3791"/>
      <c r="D1" s="3791"/>
      <c r="E1" s="3791"/>
      <c r="F1" s="379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B69" sqref="B69"/>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525.54999999999995</v>
      </c>
      <c r="C4" s="854">
        <f>项目基本情况!C18</f>
        <v>0</v>
      </c>
      <c r="D4" s="854">
        <f ca="1">结果表!D118</f>
        <v>1384</v>
      </c>
      <c r="E4" s="854">
        <f ca="1">结果表!E118</f>
        <v>26326</v>
      </c>
      <c r="F4" s="854">
        <f ca="1">结果表!F118</f>
        <v>456</v>
      </c>
      <c r="G4" s="854">
        <f ca="1">结果表!G118</f>
        <v>8682</v>
      </c>
      <c r="H4" s="854">
        <f ca="1">结果表!H118</f>
        <v>1840</v>
      </c>
      <c r="I4" s="854">
        <f ca="1">结果表!I118</f>
        <v>35008</v>
      </c>
    </row>
    <row r="5" spans="1:9" ht="30" customHeight="1">
      <c r="A5" s="3478" t="s">
        <v>927</v>
      </c>
      <c r="B5" s="3478"/>
      <c r="C5" s="3478"/>
      <c r="D5" s="3478" t="str">
        <f ca="1">结果表!D119</f>
        <v>壹仟叁佰捌拾肆万元整</v>
      </c>
      <c r="E5" s="3478"/>
      <c r="F5" s="3478" t="str">
        <f ca="1">结果表!F119</f>
        <v>肆佰伍拾陆万元整</v>
      </c>
      <c r="G5" s="3478"/>
      <c r="H5" s="3478" t="str">
        <f ca="1">结果表!H119</f>
        <v>壹仟捌佰肆拾万元整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1840</v>
      </c>
      <c r="E8" s="3479"/>
      <c r="F8" s="3479"/>
      <c r="G8" s="3479"/>
      <c r="H8" s="3479"/>
      <c r="I8" s="3479"/>
    </row>
    <row r="9" spans="1:9" ht="15">
      <c r="A9" s="3478" t="s">
        <v>927</v>
      </c>
      <c r="B9" s="3478"/>
      <c r="C9" s="3478"/>
      <c r="D9" s="3478" t="str">
        <f ca="1">结果表!D123</f>
        <v>壹仟捌佰肆拾万元整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(2)</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2023-06-02T03:40:44Z</dcterms:modified>
</cp:coreProperties>
</file>