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F03第二批\第二批现房抵押材料\"/>
    </mc:Choice>
  </mc:AlternateContent>
  <bookViews>
    <workbookView xWindow="0" yWindow="0" windowWidth="20496" windowHeight="7200" tabRatio="895" firstSheet="22"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面积表!$A$2:$M$349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 i="73" l="1"/>
  <c r="K1" i="73"/>
  <c r="D5" i="73"/>
  <c r="G1" i="73"/>
  <c r="B40" i="1"/>
  <c r="F22" i="80"/>
  <c r="C23" i="80"/>
  <c r="C24" i="80"/>
  <c r="C25" i="80"/>
  <c r="C22" i="80"/>
  <c r="F27" i="80"/>
  <c r="C28" i="80"/>
  <c r="C27" i="80"/>
  <c r="C26" i="80"/>
  <c r="D22" i="80"/>
  <c r="C29" i="80"/>
  <c r="D27" i="80"/>
  <c r="C31" i="80"/>
  <c r="F34" i="80"/>
  <c r="C34" i="80"/>
  <c r="C35" i="80"/>
  <c r="C36" i="80"/>
  <c r="D9" i="80"/>
  <c r="D10" i="80"/>
  <c r="D19" i="80"/>
  <c r="D37" i="80"/>
  <c r="C37" i="80"/>
  <c r="C38" i="80"/>
  <c r="C33" i="80"/>
  <c r="C39" i="80"/>
  <c r="C42" i="80"/>
  <c r="C43" i="80"/>
  <c r="C41" i="80"/>
  <c r="C46" i="80"/>
  <c r="C45" i="80"/>
  <c r="C44" i="80"/>
  <c r="D41" i="80"/>
  <c r="C47" i="80"/>
  <c r="D45" i="80"/>
  <c r="C49" i="80"/>
  <c r="C51" i="80"/>
  <c r="C52" i="80"/>
  <c r="B2" i="80"/>
  <c r="C19" i="84"/>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G19" i="84"/>
  <c r="C32" i="84"/>
  <c r="H118" i="84"/>
  <c r="I118" i="84"/>
  <c r="E286" i="85"/>
  <c r="F286" i="85"/>
  <c r="E287" i="85"/>
  <c r="F287" i="85"/>
  <c r="E288" i="85"/>
  <c r="F288" i="85"/>
  <c r="E289" i="85"/>
  <c r="F289" i="85"/>
  <c r="E290" i="85"/>
  <c r="F290" i="85"/>
  <c r="E291" i="85"/>
  <c r="F291" i="85"/>
  <c r="E292" i="85"/>
  <c r="F292" i="85"/>
  <c r="E293" i="85"/>
  <c r="F293" i="85"/>
  <c r="E294" i="85"/>
  <c r="F294" i="85"/>
  <c r="E295" i="85"/>
  <c r="F295" i="85"/>
  <c r="E296" i="85"/>
  <c r="F296" i="85"/>
  <c r="E297" i="85"/>
  <c r="F297" i="85"/>
  <c r="E298" i="85"/>
  <c r="F298" i="85"/>
  <c r="E299" i="85"/>
  <c r="F299" i="85"/>
  <c r="E300" i="85"/>
  <c r="F300" i="85"/>
  <c r="E301" i="85"/>
  <c r="F301" i="85"/>
  <c r="E302" i="85"/>
  <c r="F302" i="85"/>
  <c r="E303" i="85"/>
  <c r="F303" i="85"/>
  <c r="E304" i="85"/>
  <c r="F304" i="85"/>
  <c r="E305" i="85"/>
  <c r="F305" i="85"/>
  <c r="E306" i="85"/>
  <c r="F306" i="85"/>
  <c r="E307" i="85"/>
  <c r="F307" i="85"/>
  <c r="E308" i="85"/>
  <c r="F308" i="85"/>
  <c r="E309" i="85"/>
  <c r="F309" i="85"/>
  <c r="E310" i="85"/>
  <c r="F310" i="85"/>
  <c r="E311" i="85"/>
  <c r="F311" i="85"/>
  <c r="E312" i="85"/>
  <c r="F312" i="85"/>
  <c r="E313" i="85"/>
  <c r="F313" i="85"/>
  <c r="E314" i="85"/>
  <c r="F314" i="85"/>
  <c r="E315" i="85"/>
  <c r="F315" i="85"/>
  <c r="E316" i="85"/>
  <c r="F316" i="85"/>
  <c r="E317" i="85"/>
  <c r="F317" i="85"/>
  <c r="E318" i="85"/>
  <c r="F318" i="85"/>
  <c r="E319" i="85"/>
  <c r="F319" i="85"/>
  <c r="E320" i="85"/>
  <c r="F320" i="85"/>
  <c r="E321" i="85"/>
  <c r="F321" i="85"/>
  <c r="E322" i="85"/>
  <c r="F322" i="85"/>
  <c r="E323" i="85"/>
  <c r="F323" i="85"/>
  <c r="E324" i="85"/>
  <c r="F324" i="85"/>
  <c r="E325" i="85"/>
  <c r="F325" i="85"/>
  <c r="E326" i="85"/>
  <c r="F326" i="85"/>
  <c r="E327" i="85"/>
  <c r="F327" i="85"/>
  <c r="E328" i="85"/>
  <c r="F328" i="85"/>
  <c r="E329" i="85"/>
  <c r="F329" i="85"/>
  <c r="E330" i="85"/>
  <c r="F330" i="85"/>
  <c r="E331" i="85"/>
  <c r="F331" i="85"/>
  <c r="E332" i="85"/>
  <c r="F332" i="85"/>
  <c r="E333" i="85"/>
  <c r="F333" i="85"/>
  <c r="E334" i="85"/>
  <c r="F334" i="85"/>
  <c r="E335" i="85"/>
  <c r="F335" i="85"/>
  <c r="E336" i="85"/>
  <c r="F336" i="85"/>
  <c r="E337" i="85"/>
  <c r="F337" i="85"/>
  <c r="E338" i="85"/>
  <c r="F338" i="85"/>
  <c r="E339" i="85"/>
  <c r="F339" i="85"/>
  <c r="E340" i="85"/>
  <c r="F340" i="85"/>
  <c r="E341" i="85"/>
  <c r="F341" i="85"/>
  <c r="E342" i="85"/>
  <c r="F342" i="85"/>
  <c r="E343" i="85"/>
  <c r="F343" i="85"/>
  <c r="E344" i="85"/>
  <c r="F344" i="85"/>
  <c r="E345" i="85"/>
  <c r="F345" i="85"/>
  <c r="E346" i="85"/>
  <c r="F346" i="85"/>
  <c r="M26" i="85"/>
  <c r="F347" i="85"/>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I118" i="9"/>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6" i="85"/>
  <c r="F76" i="85"/>
  <c r="E77" i="85"/>
  <c r="F77" i="85"/>
  <c r="E78" i="85"/>
  <c r="F78" i="85"/>
  <c r="E79" i="85"/>
  <c r="F79" i="85"/>
  <c r="E80" i="85"/>
  <c r="F80" i="85"/>
  <c r="E81" i="85"/>
  <c r="F81" i="85"/>
  <c r="E82" i="85"/>
  <c r="F82" i="85"/>
  <c r="E83" i="85"/>
  <c r="F83" i="85"/>
  <c r="E84" i="85"/>
  <c r="F84" i="85"/>
  <c r="E85" i="85"/>
  <c r="F85" i="85"/>
  <c r="E86" i="85"/>
  <c r="F86" i="85"/>
  <c r="E87" i="85"/>
  <c r="F87" i="85"/>
  <c r="E88" i="85"/>
  <c r="F88" i="85"/>
  <c r="E89" i="85"/>
  <c r="F89" i="85"/>
  <c r="E90" i="85"/>
  <c r="F90" i="85"/>
  <c r="E91" i="85"/>
  <c r="F91" i="85"/>
  <c r="E92" i="85"/>
  <c r="F92" i="85"/>
  <c r="E93" i="85"/>
  <c r="F93" i="85"/>
  <c r="E94" i="85"/>
  <c r="F94" i="85"/>
  <c r="E95" i="85"/>
  <c r="F95" i="85"/>
  <c r="E96" i="85"/>
  <c r="F96" i="85"/>
  <c r="E97" i="85"/>
  <c r="F97" i="85"/>
  <c r="E98" i="85"/>
  <c r="F98" i="85"/>
  <c r="E99" i="85"/>
  <c r="F99" i="85"/>
  <c r="E100" i="85"/>
  <c r="F100" i="85"/>
  <c r="E101" i="85"/>
  <c r="F101" i="85"/>
  <c r="E102" i="85"/>
  <c r="F102" i="85"/>
  <c r="E103" i="85"/>
  <c r="F103" i="85"/>
  <c r="E104" i="85"/>
  <c r="F104" i="85"/>
  <c r="E105" i="85"/>
  <c r="F105" i="85"/>
  <c r="E106" i="85"/>
  <c r="F106" i="85"/>
  <c r="E107" i="85"/>
  <c r="F107" i="85"/>
  <c r="E108" i="85"/>
  <c r="F108" i="85"/>
  <c r="E109" i="85"/>
  <c r="F109" i="85"/>
  <c r="E110" i="85"/>
  <c r="F110" i="85"/>
  <c r="E111" i="85"/>
  <c r="F111" i="85"/>
  <c r="E112" i="85"/>
  <c r="F112" i="85"/>
  <c r="E113" i="85"/>
  <c r="F113" i="85"/>
  <c r="E114" i="85"/>
  <c r="F114" i="85"/>
  <c r="E115" i="85"/>
  <c r="F115" i="85"/>
  <c r="E116" i="85"/>
  <c r="F116" i="85"/>
  <c r="E117" i="85"/>
  <c r="F117" i="85"/>
  <c r="F118" i="85"/>
  <c r="F3" i="85"/>
  <c r="F4" i="85"/>
  <c r="F5" i="85"/>
  <c r="F6" i="85"/>
  <c r="F7" i="85"/>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4" i="85"/>
  <c r="F55" i="85"/>
  <c r="F56" i="85"/>
  <c r="F57" i="85"/>
  <c r="F58" i="85"/>
  <c r="F59" i="85"/>
  <c r="F60" i="85"/>
  <c r="F61" i="85"/>
  <c r="F62" i="85"/>
  <c r="F63" i="85"/>
  <c r="F64" i="85"/>
  <c r="F65" i="85"/>
  <c r="F66" i="85"/>
  <c r="F67" i="85"/>
  <c r="F68" i="85"/>
  <c r="F69" i="85"/>
  <c r="F70" i="85"/>
  <c r="F71" i="85"/>
  <c r="F72" i="85"/>
  <c r="F73" i="85"/>
  <c r="F74" i="85"/>
  <c r="F75" i="85"/>
  <c r="F119" i="85"/>
  <c r="F22" i="79"/>
  <c r="C23" i="79"/>
  <c r="C24" i="79"/>
  <c r="C25" i="79"/>
  <c r="C22" i="79"/>
  <c r="F27" i="79"/>
  <c r="C28" i="79"/>
  <c r="C27" i="79"/>
  <c r="C26" i="79"/>
  <c r="D22" i="79"/>
  <c r="C29" i="79"/>
  <c r="D27" i="79"/>
  <c r="C31" i="79"/>
  <c r="F34" i="79"/>
  <c r="C34" i="79"/>
  <c r="C35" i="79"/>
  <c r="C36" i="79"/>
  <c r="D9" i="79"/>
  <c r="D10" i="79"/>
  <c r="D19" i="79"/>
  <c r="D37" i="79"/>
  <c r="C37" i="79"/>
  <c r="C38" i="79"/>
  <c r="C33" i="79"/>
  <c r="C39" i="79"/>
  <c r="C42" i="79"/>
  <c r="C43" i="79"/>
  <c r="C41" i="79"/>
  <c r="C46" i="79"/>
  <c r="C45" i="79"/>
  <c r="C44" i="79"/>
  <c r="D41" i="79"/>
  <c r="C47" i="79"/>
  <c r="D45" i="79"/>
  <c r="C49" i="79"/>
  <c r="C51" i="79"/>
  <c r="C52" i="79"/>
  <c r="B2" i="79"/>
  <c r="C19" i="83"/>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G19" i="83"/>
  <c r="C32" i="83"/>
  <c r="H118" i="83"/>
  <c r="I118" i="83"/>
  <c r="E122" i="85"/>
  <c r="F122" i="85"/>
  <c r="E123" i="85"/>
  <c r="F123" i="85"/>
  <c r="F124" i="85"/>
  <c r="E125" i="85"/>
  <c r="F125" i="85"/>
  <c r="E126" i="85"/>
  <c r="F126" i="85"/>
  <c r="E127" i="85"/>
  <c r="F127" i="85"/>
  <c r="E128" i="85"/>
  <c r="F128" i="85"/>
  <c r="E129" i="85"/>
  <c r="F129" i="85"/>
  <c r="E130" i="85"/>
  <c r="F130" i="85"/>
  <c r="E131" i="85"/>
  <c r="F131" i="85"/>
  <c r="E132" i="85"/>
  <c r="F132" i="85"/>
  <c r="E133" i="85"/>
  <c r="F133" i="85"/>
  <c r="E134" i="85"/>
  <c r="F134" i="85"/>
  <c r="E135" i="85"/>
  <c r="F135" i="85"/>
  <c r="E136" i="85"/>
  <c r="F136" i="85"/>
  <c r="E137" i="85"/>
  <c r="F137" i="85"/>
  <c r="E138" i="85"/>
  <c r="F138" i="85"/>
  <c r="E139" i="85"/>
  <c r="F139" i="85"/>
  <c r="E140" i="85"/>
  <c r="F140" i="85"/>
  <c r="E141" i="85"/>
  <c r="F141" i="85"/>
  <c r="E142" i="85"/>
  <c r="F142" i="85"/>
  <c r="E143" i="85"/>
  <c r="F143" i="85"/>
  <c r="E144" i="85"/>
  <c r="F144" i="85"/>
  <c r="E145" i="85"/>
  <c r="F145" i="85"/>
  <c r="E146" i="85"/>
  <c r="F146" i="85"/>
  <c r="E147" i="85"/>
  <c r="F147" i="85"/>
  <c r="E148" i="85"/>
  <c r="F148" i="85"/>
  <c r="E149" i="85"/>
  <c r="F149" i="85"/>
  <c r="E150" i="85"/>
  <c r="F150" i="85"/>
  <c r="E151" i="85"/>
  <c r="F151" i="85"/>
  <c r="E152" i="85"/>
  <c r="F152" i="85"/>
  <c r="E153" i="85"/>
  <c r="F153" i="85"/>
  <c r="E154" i="85"/>
  <c r="F154" i="85"/>
  <c r="E155" i="85"/>
  <c r="F155" i="85"/>
  <c r="E156" i="85"/>
  <c r="F156" i="85"/>
  <c r="E157" i="85"/>
  <c r="F157" i="85"/>
  <c r="E158" i="85"/>
  <c r="F158" i="85"/>
  <c r="E159" i="85"/>
  <c r="F159" i="85"/>
  <c r="E160" i="85"/>
  <c r="F160" i="85"/>
  <c r="E161" i="85"/>
  <c r="F161" i="85"/>
  <c r="E162" i="85"/>
  <c r="F162" i="85"/>
  <c r="E163" i="85"/>
  <c r="F163" i="85"/>
  <c r="E164" i="85"/>
  <c r="F164" i="85"/>
  <c r="E165" i="85"/>
  <c r="F165" i="85"/>
  <c r="E166" i="85"/>
  <c r="F166" i="85"/>
  <c r="E167" i="85"/>
  <c r="F167" i="85"/>
  <c r="E168" i="85"/>
  <c r="F168" i="85"/>
  <c r="E169" i="85"/>
  <c r="F169" i="85"/>
  <c r="E170" i="85"/>
  <c r="F170" i="85"/>
  <c r="E171" i="85"/>
  <c r="F171" i="85"/>
  <c r="E172" i="85"/>
  <c r="F172" i="85"/>
  <c r="E173" i="85"/>
  <c r="F173" i="85"/>
  <c r="E174" i="85"/>
  <c r="F174" i="85"/>
  <c r="E175" i="85"/>
  <c r="F175" i="85"/>
  <c r="E176" i="85"/>
  <c r="F176" i="85"/>
  <c r="F177" i="85"/>
  <c r="F178" i="85"/>
  <c r="E181" i="85"/>
  <c r="F181" i="85"/>
  <c r="E182" i="85"/>
  <c r="F182" i="85"/>
  <c r="E183" i="85"/>
  <c r="F183" i="85"/>
  <c r="E184" i="85"/>
  <c r="F184" i="85"/>
  <c r="E185" i="85"/>
  <c r="F185" i="85"/>
  <c r="E186" i="85"/>
  <c r="F186" i="85"/>
  <c r="E187" i="85"/>
  <c r="F187" i="85"/>
  <c r="F188" i="85"/>
  <c r="E189" i="85"/>
  <c r="F189" i="85"/>
  <c r="E190" i="85"/>
  <c r="F190" i="85"/>
  <c r="E191" i="85"/>
  <c r="F191" i="85"/>
  <c r="E192" i="85"/>
  <c r="F192" i="85"/>
  <c r="E193" i="85"/>
  <c r="F193" i="85"/>
  <c r="E194" i="85"/>
  <c r="F194" i="85"/>
  <c r="E195" i="85"/>
  <c r="F195" i="85"/>
  <c r="E196" i="85"/>
  <c r="F196" i="85"/>
  <c r="E197" i="85"/>
  <c r="F197" i="85"/>
  <c r="E198" i="85"/>
  <c r="F198" i="85"/>
  <c r="E199" i="85"/>
  <c r="F199" i="85"/>
  <c r="E200" i="85"/>
  <c r="F200" i="85"/>
  <c r="E201" i="85"/>
  <c r="F201" i="85"/>
  <c r="E202" i="85"/>
  <c r="F202" i="85"/>
  <c r="E203" i="85"/>
  <c r="F203" i="85"/>
  <c r="E204" i="85"/>
  <c r="F204" i="85"/>
  <c r="F205" i="85"/>
  <c r="F206" i="85"/>
  <c r="E207" i="85"/>
  <c r="F207" i="85"/>
  <c r="E208" i="85"/>
  <c r="F208" i="85"/>
  <c r="E209" i="85"/>
  <c r="F209" i="85"/>
  <c r="E210" i="85"/>
  <c r="F210" i="85"/>
  <c r="E211" i="85"/>
  <c r="F211" i="85"/>
  <c r="E212" i="85"/>
  <c r="F212" i="85"/>
  <c r="E213" i="85"/>
  <c r="F213" i="85"/>
  <c r="E214" i="85"/>
  <c r="F214" i="85"/>
  <c r="E215" i="85"/>
  <c r="F215" i="85"/>
  <c r="E216" i="85"/>
  <c r="F216" i="85"/>
  <c r="E217" i="85"/>
  <c r="F217" i="85"/>
  <c r="E218" i="85"/>
  <c r="F218" i="85"/>
  <c r="E219" i="85"/>
  <c r="F219" i="85"/>
  <c r="E220" i="85"/>
  <c r="F220" i="85"/>
  <c r="E221" i="85"/>
  <c r="F221" i="85"/>
  <c r="E222" i="85"/>
  <c r="F222" i="85"/>
  <c r="E223" i="85"/>
  <c r="F223" i="85"/>
  <c r="E224" i="85"/>
  <c r="F224" i="85"/>
  <c r="E225" i="85"/>
  <c r="F225" i="85"/>
  <c r="E226" i="85"/>
  <c r="F226" i="85"/>
  <c r="E227" i="85"/>
  <c r="F227" i="85"/>
  <c r="E228" i="85"/>
  <c r="F228" i="85"/>
  <c r="E229" i="85"/>
  <c r="F229" i="85"/>
  <c r="E230" i="85"/>
  <c r="F230" i="85"/>
  <c r="E231" i="85"/>
  <c r="F231" i="85"/>
  <c r="E232" i="85"/>
  <c r="F232" i="85"/>
  <c r="E233" i="85"/>
  <c r="F233" i="85"/>
  <c r="E234" i="85"/>
  <c r="F234" i="85"/>
  <c r="E235" i="85"/>
  <c r="F235" i="85"/>
  <c r="E236" i="85"/>
  <c r="F236" i="85"/>
  <c r="E237" i="85"/>
  <c r="F237" i="85"/>
  <c r="E238" i="85"/>
  <c r="F238" i="85"/>
  <c r="E239" i="85"/>
  <c r="F239" i="85"/>
  <c r="E240" i="85"/>
  <c r="F240" i="85"/>
  <c r="E241" i="85"/>
  <c r="F241" i="85"/>
  <c r="E242" i="85"/>
  <c r="F242" i="85"/>
  <c r="E243" i="85"/>
  <c r="F243" i="85"/>
  <c r="E244" i="85"/>
  <c r="F244" i="85"/>
  <c r="E245" i="85"/>
  <c r="F245" i="85"/>
  <c r="E246" i="85"/>
  <c r="F246" i="85"/>
  <c r="E247" i="85"/>
  <c r="F247" i="85"/>
  <c r="F248" i="85"/>
  <c r="E249" i="85"/>
  <c r="F249" i="85"/>
  <c r="E250" i="85"/>
  <c r="F250" i="85"/>
  <c r="E251" i="85"/>
  <c r="F251" i="85"/>
  <c r="F252" i="85"/>
  <c r="E253" i="85"/>
  <c r="F253" i="85"/>
  <c r="E254" i="85"/>
  <c r="F254" i="85"/>
  <c r="E255" i="85"/>
  <c r="F255" i="85"/>
  <c r="E256" i="85"/>
  <c r="F256" i="85"/>
  <c r="E257" i="85"/>
  <c r="F257" i="85"/>
  <c r="E258" i="85"/>
  <c r="F258" i="85"/>
  <c r="E259" i="85"/>
  <c r="F259" i="85"/>
  <c r="E260" i="85"/>
  <c r="F260" i="85"/>
  <c r="E261" i="85"/>
  <c r="F261" i="85"/>
  <c r="E262" i="85"/>
  <c r="F262" i="85"/>
  <c r="E263" i="85"/>
  <c r="F263" i="85"/>
  <c r="E264" i="85"/>
  <c r="F264" i="85"/>
  <c r="E265" i="85"/>
  <c r="F265" i="85"/>
  <c r="E266" i="85"/>
  <c r="F266" i="85"/>
  <c r="E267" i="85"/>
  <c r="F267" i="85"/>
  <c r="E268" i="85"/>
  <c r="F268" i="85"/>
  <c r="E269" i="85"/>
  <c r="F269" i="85"/>
  <c r="E270" i="85"/>
  <c r="F270" i="85"/>
  <c r="E271" i="85"/>
  <c r="F271" i="85"/>
  <c r="E272" i="85"/>
  <c r="F272" i="85"/>
  <c r="E273" i="85"/>
  <c r="F273" i="85"/>
  <c r="E274" i="85"/>
  <c r="F274" i="85"/>
  <c r="E275" i="85"/>
  <c r="F275" i="85"/>
  <c r="E276" i="85"/>
  <c r="F276" i="85"/>
  <c r="K26" i="85"/>
  <c r="F277" i="85"/>
  <c r="F278" i="85"/>
  <c r="F279" i="85"/>
  <c r="F280" i="85"/>
  <c r="E283" i="85"/>
  <c r="F283" i="85"/>
  <c r="L26" i="85"/>
  <c r="F284" i="85"/>
  <c r="F285" i="85"/>
  <c r="C177" i="85"/>
  <c r="C348" i="85"/>
  <c r="L4" i="85"/>
  <c r="M13" i="3"/>
  <c r="G21" i="6"/>
  <c r="E21" i="6"/>
  <c r="K8" i="1"/>
  <c r="M8" i="1"/>
  <c r="C75" i="85"/>
  <c r="C118" i="85"/>
  <c r="C205" i="85"/>
  <c r="C248" i="85"/>
  <c r="C278" i="85"/>
  <c r="J4" i="85"/>
  <c r="I13" i="3"/>
  <c r="F19" i="6"/>
  <c r="E19" i="6"/>
  <c r="C124" i="85"/>
  <c r="C188" i="85"/>
  <c r="C252" i="85"/>
  <c r="C285" i="85"/>
  <c r="K4" i="85"/>
  <c r="K13" i="3"/>
  <c r="O13" i="3"/>
  <c r="F20" i="6"/>
  <c r="G20" i="6"/>
  <c r="E20" i="6"/>
  <c r="BB13" i="3"/>
  <c r="BC13" i="3"/>
  <c r="BD13" i="3"/>
  <c r="BE13" i="3"/>
  <c r="BA13" i="3"/>
  <c r="BA5" i="3"/>
  <c r="E27" i="6"/>
  <c r="K21" i="6"/>
  <c r="S8" i="1"/>
  <c r="T8" i="1"/>
  <c r="K6" i="1"/>
  <c r="M6" i="1"/>
  <c r="K7" i="1"/>
  <c r="M7" i="1"/>
  <c r="K9" i="1"/>
  <c r="M9" i="1"/>
  <c r="K10" i="1"/>
  <c r="M10" i="1"/>
  <c r="K11" i="1"/>
  <c r="M11" i="1"/>
  <c r="K12" i="1"/>
  <c r="M12" i="1"/>
  <c r="K13" i="1"/>
  <c r="M13" i="1"/>
  <c r="K14" i="1"/>
  <c r="M14" i="1"/>
  <c r="M16" i="1"/>
  <c r="N16" i="1"/>
  <c r="F50" i="80"/>
  <c r="K8" i="85"/>
  <c r="J8" i="85"/>
  <c r="K9" i="85"/>
  <c r="J11" i="85"/>
  <c r="U8" i="1"/>
  <c r="AZ13" i="3"/>
  <c r="AZ5" i="3"/>
  <c r="H13" i="3"/>
  <c r="G13" i="3"/>
  <c r="G5" i="3"/>
  <c r="B3" i="3"/>
  <c r="AY6" i="3"/>
  <c r="D3" i="6"/>
  <c r="E3" i="6"/>
  <c r="D21" i="6"/>
  <c r="L21" i="6"/>
  <c r="M21" i="6"/>
  <c r="I21" i="6"/>
  <c r="H21" i="6"/>
  <c r="R21" i="6"/>
  <c r="K20" i="6"/>
  <c r="S7" i="1"/>
  <c r="T7" i="1"/>
  <c r="F50" i="79"/>
  <c r="D20" i="6"/>
  <c r="L20" i="6"/>
  <c r="M20" i="6"/>
  <c r="I20" i="6"/>
  <c r="H20" i="6"/>
  <c r="R20" i="6"/>
  <c r="K19" i="6"/>
  <c r="S6" i="1"/>
  <c r="T6" i="1"/>
  <c r="F50" i="68"/>
  <c r="B3" i="34"/>
  <c r="U6" i="1"/>
  <c r="D19" i="6"/>
  <c r="L19" i="6"/>
  <c r="M19" i="6"/>
  <c r="I19" i="6"/>
  <c r="H19" i="6"/>
  <c r="R19" i="6"/>
  <c r="A3" i="3"/>
  <c r="C119" i="85"/>
  <c r="C178" i="85"/>
  <c r="C206" i="85"/>
  <c r="C279" i="85"/>
  <c r="C280" i="85"/>
  <c r="C349" i="85"/>
  <c r="C353" i="85"/>
  <c r="BB5" i="3"/>
  <c r="BC5" i="3"/>
  <c r="BD5" i="3"/>
  <c r="BE5" i="3"/>
  <c r="E11" i="6"/>
  <c r="I31" i="85"/>
  <c r="I33" i="85"/>
  <c r="B15" i="74"/>
  <c r="D3" i="4"/>
  <c r="C1" i="73"/>
  <c r="J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42" i="1"/>
  <c r="C48" i="80"/>
  <c r="L1" i="73"/>
  <c r="C28" i="82"/>
  <c r="G15" i="4"/>
  <c r="F8" i="1"/>
  <c r="J51" i="82"/>
  <c r="C48" i="79"/>
  <c r="C28" i="81"/>
  <c r="E15" i="4"/>
  <c r="F7" i="1"/>
  <c r="J51" i="81"/>
  <c r="C48" i="68"/>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C28" i="15"/>
  <c r="F15" i="4"/>
  <c r="F6" i="1"/>
  <c r="J51" i="15"/>
  <c r="B3" i="15"/>
  <c r="D20" i="9"/>
  <c r="E57" i="39"/>
  <c r="E8" i="6"/>
  <c r="F27" i="6"/>
  <c r="BE10" i="3"/>
  <c r="F31" i="6"/>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F7" i="80"/>
  <c r="C8" i="80"/>
  <c r="C19" i="80"/>
  <c r="C21" i="80"/>
  <c r="C30" i="80"/>
  <c r="B22" i="1"/>
  <c r="G41" i="80"/>
  <c r="F36" i="80"/>
  <c r="G22" i="80"/>
  <c r="B31" i="1"/>
  <c r="E19" i="80"/>
  <c r="E10" i="80"/>
  <c r="E9" i="80"/>
  <c r="G1" i="79"/>
  <c r="F35" i="79"/>
  <c r="E37" i="79"/>
  <c r="F38" i="79"/>
  <c r="F20" i="79"/>
  <c r="F21" i="79"/>
  <c r="C40" i="79"/>
  <c r="F30" i="79"/>
  <c r="F7" i="79"/>
  <c r="C8" i="79"/>
  <c r="C19" i="79"/>
  <c r="C21" i="79"/>
  <c r="C30" i="79"/>
  <c r="G41" i="79"/>
  <c r="F36" i="79"/>
  <c r="G22" i="79"/>
  <c r="E19" i="79"/>
  <c r="E10" i="79"/>
  <c r="E9" i="79"/>
  <c r="I46" i="39"/>
  <c r="G46" i="39"/>
  <c r="E46" i="39"/>
  <c r="I38" i="39"/>
  <c r="G38" i="39"/>
  <c r="E38" i="39"/>
  <c r="I7" i="39"/>
  <c r="G7" i="39"/>
  <c r="E7" i="39"/>
  <c r="I5" i="39"/>
  <c r="G5" i="39"/>
  <c r="E5"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I20" i="43"/>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c r="D48" i="35"/>
  <c r="C7" i="33"/>
  <c r="C58" i="33"/>
  <c r="D58" i="33"/>
  <c r="E58" i="33"/>
  <c r="F58" i="33"/>
  <c r="G58" i="33"/>
  <c r="H58" i="33"/>
  <c r="I58" i="33"/>
  <c r="J58" i="33"/>
  <c r="K58" i="33"/>
  <c r="L58" i="33"/>
  <c r="M58" i="33"/>
  <c r="N58" i="33"/>
  <c r="O58" i="33"/>
  <c r="C7" i="21"/>
  <c r="C58" i="21"/>
  <c r="D58" i="21"/>
  <c r="C7" i="40"/>
  <c r="C63" i="40"/>
  <c r="M47" i="9"/>
  <c r="M20" i="43"/>
  <c r="T35" i="4"/>
  <c r="A19" i="51"/>
  <c r="B14" i="72"/>
  <c r="C46" i="36"/>
  <c r="D46" i="36"/>
  <c r="E46" i="36"/>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AP7" i="1"/>
  <c r="O7" i="1"/>
  <c r="AB45" i="21"/>
  <c r="AC33" i="21"/>
  <c r="W33" i="21"/>
  <c r="S33" i="21"/>
  <c r="AA33" i="21"/>
  <c r="W32" i="21"/>
  <c r="AC32" i="21"/>
  <c r="AB9" i="21"/>
  <c r="U9" i="21"/>
  <c r="AA32" i="21"/>
  <c r="S32" i="21"/>
  <c r="W9" i="21"/>
  <c r="AC9" i="21"/>
  <c r="AB32" i="21"/>
  <c r="U32" i="21"/>
  <c r="AA10" i="21"/>
  <c r="S10" i="21"/>
  <c r="C30" i="69"/>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8" i="21"/>
  <c r="H58" i="21"/>
  <c r="I58" i="21"/>
  <c r="J58" i="21"/>
  <c r="K58" i="21"/>
  <c r="L58" i="21"/>
  <c r="M58" i="21"/>
  <c r="N58" i="21"/>
  <c r="O58" i="21"/>
  <c r="E63" i="40"/>
  <c r="D65" i="40"/>
  <c r="G39" i="43"/>
  <c r="I39" i="43"/>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F63" i="40"/>
  <c r="E65" i="40"/>
  <c r="E49" i="34"/>
  <c r="G36" i="36"/>
  <c r="R37" i="36"/>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C49" i="21"/>
  <c r="I63" i="40"/>
  <c r="H65" i="40"/>
  <c r="J63" i="40"/>
  <c r="I65" i="40"/>
  <c r="K63" i="40"/>
  <c r="J65" i="40"/>
  <c r="L63" i="40"/>
  <c r="K65" i="40"/>
  <c r="M63" i="40"/>
  <c r="L65" i="40"/>
  <c r="N63" i="40"/>
  <c r="M65" i="40"/>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4" i="43"/>
  <c r="B66" i="40"/>
  <c r="P25" i="43"/>
  <c r="E10" i="49"/>
  <c r="B5" i="49"/>
  <c r="B8" i="49"/>
  <c r="C4" i="4"/>
  <c r="B4" i="62"/>
  <c r="B71" i="72"/>
  <c r="E16" i="49"/>
  <c r="B14" i="49"/>
  <c r="E54" i="34"/>
  <c r="F54" i="34"/>
  <c r="I53" i="34"/>
  <c r="J53" i="34"/>
  <c r="G54" i="34"/>
  <c r="H54" i="34"/>
  <c r="I54" i="34"/>
  <c r="J54" i="34"/>
  <c r="E53" i="34"/>
  <c r="F53"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M5" i="3"/>
  <c r="I47" i="40"/>
  <c r="J47" i="40"/>
  <c r="AR11" i="1"/>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49" i="34"/>
  <c r="K4" i="4"/>
  <c r="B46" i="48"/>
  <c r="B4" i="72"/>
  <c r="D3" i="34"/>
  <c r="B2" i="34"/>
  <c r="M18" i="9"/>
  <c r="B118" i="9"/>
  <c r="B14" i="74"/>
  <c r="K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4" i="6"/>
  <c r="E15" i="6"/>
  <c r="E10" i="6"/>
  <c r="H5" i="3"/>
  <c r="G27" i="6"/>
  <c r="G31" i="6"/>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C6" i="68"/>
  <c r="C7" i="68"/>
  <c r="C5" i="68"/>
  <c r="C20" i="68"/>
  <c r="B57" i="39"/>
  <c r="F57" i="39"/>
  <c r="C6" i="79"/>
  <c r="C7" i="79"/>
  <c r="C5" i="79"/>
  <c r="C20" i="79"/>
  <c r="B65" i="39"/>
  <c r="F65" i="39"/>
  <c r="C6" i="80"/>
  <c r="C7" i="80"/>
  <c r="C5" i="80"/>
  <c r="C20" i="80"/>
  <c r="B3" i="68"/>
  <c r="C20" i="9"/>
  <c r="G20" i="9"/>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6" i="39"/>
  <c r="F56"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9" i="9"/>
  <c r="H5" i="52"/>
  <c r="H4" i="52"/>
  <c r="C104" i="9"/>
  <c r="F118" i="83"/>
  <c r="F119" i="83"/>
  <c r="H102" i="83"/>
  <c r="G118" i="83"/>
  <c r="E118" i="83"/>
  <c r="C105" i="83"/>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 r="F365" i="85"/>
  <c r="K16" i="85"/>
  <c r="E277" i="85"/>
  <c r="H365" i="85"/>
  <c r="L16" i="85"/>
  <c r="E284" i="85"/>
  <c r="F348" i="85"/>
  <c r="J365" i="85"/>
  <c r="M16" i="85"/>
  <c r="F349" i="85"/>
  <c r="F353" i="85"/>
  <c r="E347" i="8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<sst xmlns="http://schemas.openxmlformats.org/spreadsheetml/2006/main" count="10333" uniqueCount="3473">
  <si>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</si>
  <si>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</si>
  <si>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</si>
  <si>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</si>
  <si>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</si>
  <si>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</si>
  <si>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</si>
  <si>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</si>
  <si>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</si>
  <si>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</si>
  <si>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</si>
  <si>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</si>
  <si>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</si>
  <si>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</si>
  <si>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</si>
  <si>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</si>
  <si>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</si>
  <si>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</si>
  <si>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</si>
  <si>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</si>
  <si>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</si>
  <si>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</si>
  <si>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</si>
  <si>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</si>
  <si>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</si>
  <si>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</si>
  <si>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</si>
  <si>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</si>
  <si>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</si>
  <si>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</si>
  <si>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</si>
  <si>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</si>
  <si>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</si>
  <si>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</si>
  <si>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</si>
  <si>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</si>
  <si>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</si>
  <si>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</si>
  <si>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</si>
  <si>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</si>
  <si>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</si>
  <si>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</si>
  <si>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</si>
  <si>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</si>
  <si>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</si>
  <si>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</si>
  <si>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</si>
  <si>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</si>
  <si>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</si>
  <si>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</si>
  <si>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</si>
  <si>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</si>
  <si>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</si>
  <si>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</si>
  <si>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</si>
  <si>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</si>
  <si>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</si>
  <si>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</si>
  <si>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</si>
  <si>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</si>
  <si>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</si>
  <si>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</si>
  <si>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</si>
  <si>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</si>
  <si>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</si>
  <si>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</si>
  <si>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</si>
  <si>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</si>
  <si>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</si>
  <si>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</si>
  <si>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</si>
  <si>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</si>
  <si>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</si>
  <si>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</si>
  <si>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</si>
  <si>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</si>
  <si>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</si>
  <si>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</si>
  <si>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</si>
  <si>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</si>
  <si>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</si>
  <si>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</si>
  <si>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</si>
  <si>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</si>
  <si>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</si>
  <si>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</si>
  <si>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</si>
  <si>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</si>
  <si>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</si>
  <si>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</si>
  <si>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</si>
  <si>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</si>
  <si>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</si>
  <si>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</si>
  <si>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</si>
  <si>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</si>
  <si>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</si>
  <si>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</si>
  <si>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</si>
  <si>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</si>
  <si>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</si>
  <si>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</si>
  <si>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</si>
  <si>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</si>
  <si>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</si>
  <si>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</si>
  <si>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</si>
  <si>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</si>
  <si>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</si>
  <si>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</si>
  <si>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</si>
  <si>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</si>
  <si>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</si>
  <si>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</si>
  <si>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</si>
  <si>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</si>
  <si>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</si>
  <si>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</si>
  <si>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</si>
  <si>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</si>
  <si>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</si>
  <si>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</si>
  <si>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</si>
  <si>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</si>
  <si>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</si>
  <si>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</si>
  <si>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</si>
  <si>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</si>
  <si>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</si>
  <si>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</si>
  <si>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</si>
  <si>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</si>
  <si>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</si>
  <si>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</si>
  <si>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</si>
  <si>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</si>
  <si>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</si>
  <si>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</si>
  <si>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</si>
  <si>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</si>
  <si>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</si>
  <si>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</si>
  <si>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</si>
  <si>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</si>
  <si>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</si>
  <si>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</si>
  <si>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</si>
  <si>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</si>
  <si>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</si>
  <si>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</si>
  <si>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</si>
  <si>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</si>
  <si>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</si>
  <si>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</si>
  <si>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</si>
  <si>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</si>
  <si>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</si>
  <si>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</si>
  <si>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</si>
  <si>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</si>
  <si>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</si>
  <si>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</si>
  <si>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</si>
  <si>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</si>
  <si>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</si>
  <si>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</si>
  <si>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</si>
  <si>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</si>
  <si>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</si>
  <si>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</si>
  <si>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</si>
  <si>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</si>
  <si>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</si>
  <si>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</si>
  <si>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</si>
  <si>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</si>
  <si>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</si>
  <si>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</si>
  <si>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</si>
  <si>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</si>
  <si>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</si>
  <si>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</si>
  <si>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</si>
  <si>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</si>
  <si>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</si>
  <si>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</si>
  <si>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</si>
  <si>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</si>
  <si>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</si>
  <si>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</si>
  <si>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</si>
  <si>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</si>
  <si>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</si>
  <si>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</si>
  <si>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</si>
  <si>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</si>
  <si>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</si>
  <si>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</si>
  <si>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</si>
  <si>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</si>
  <si>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</si>
  <si>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</si>
  <si>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</si>
  <si>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</si>
  <si>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</si>
  <si>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</si>
  <si>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</si>
  <si>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</si>
  <si>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</si>
  <si>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</si>
  <si>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</si>
  <si>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</si>
  <si>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</si>
  <si>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</si>
  <si>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</si>
  <si>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</si>
  <si>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</si>
  <si>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</si>
  <si>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</si>
  <si>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</si>
  <si>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</si>
  <si>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</si>
  <si>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</si>
  <si>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</si>
  <si>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</si>
  <si>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</si>
  <si>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</si>
  <si>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</si>
  <si>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</si>
  <si>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</si>
  <si>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</si>
  <si>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</si>
  <si>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</si>
  <si>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</si>
  <si>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</si>
  <si>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</si>
  <si>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</si>
  <si>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</si>
  <si>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</si>
  <si>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</si>
  <si>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</si>
  <si>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</si>
  <si>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</si>
  <si>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</si>
  <si>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</si>
  <si>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</si>
  <si>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</si>
  <si>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</si>
  <si>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</si>
  <si>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</si>
  <si>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</si>
  <si>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</si>
  <si>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</si>
  <si>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</si>
  <si>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</si>
  <si>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</si>
  <si>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</si>
  <si>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</si>
  <si>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</si>
  <si>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</si>
  <si>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</si>
  <si>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</si>
  <si>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</si>
  <si>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</si>
  <si>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</si>
  <si>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</si>
  <si>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</si>
  <si>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</si>
  <si>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</si>
  <si>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</si>
  <si>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</si>
  <si>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</si>
  <si>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</si>
  <si>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</si>
  <si>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</si>
  <si>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</si>
  <si>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</si>
  <si>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</si>
  <si>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</si>
  <si>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</si>
  <si>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</si>
  <si>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</si>
  <si>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</si>
  <si>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</si>
  <si>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</si>
  <si>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</si>
  <si>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</si>
  <si>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</si>
  <si>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</si>
  <si>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</si>
  <si>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</si>
  <si>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</si>
  <si>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</si>
  <si>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</si>
  <si>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</si>
  <si>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</si>
  <si>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</si>
  <si>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</si>
  <si>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</si>
  <si>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</si>
  <si>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</si>
  <si>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</si>
  <si>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</si>
  <si>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</si>
  <si>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</si>
  <si>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</si>
  <si>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</si>
  <si>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</si>
  <si>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</si>
  <si>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</si>
  <si>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</si>
  <si>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</si>
  <si>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</si>
  <si>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</si>
  <si>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</si>
  <si>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</si>
  <si>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</si>
  <si>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</si>
  <si>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</si>
  <si>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</si>
  <si>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</si>
  <si>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</si>
  <si>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</si>
  <si>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</si>
  <si>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</si>
  <si>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</si>
  <si>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</si>
  <si>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</si>
  <si>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</si>
  <si>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</si>
  <si>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</si>
  <si>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</si>
  <si>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</si>
  <si>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</si>
  <si>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</si>
  <si>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</si>
  <si>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</si>
  <si>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</si>
  <si>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</si>
  <si>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</si>
  <si>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</si>
  <si>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</si>
  <si>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</si>
  <si>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</si>
  <si>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</si>
  <si>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</si>
  <si>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</si>
  <si>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</si>
  <si>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</si>
  <si>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</si>
  <si>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</si>
  <si>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</si>
  <si>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</si>
  <si>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</si>
  <si>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</si>
  <si>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</si>
  <si>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</si>
  <si>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</si>
  <si>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</si>
  <si>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</si>
  <si>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</si>
  <si>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</si>
  <si>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</si>
  <si>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</si>
  <si>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</si>
  <si>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</si>
  <si>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</si>
  <si>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</si>
  <si>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</si>
  <si>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</si>
  <si>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</si>
  <si>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</si>
  <si>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</si>
  <si>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</si>
  <si>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</si>
  <si>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</si>
  <si>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</si>
  <si>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</si>
  <si>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</si>
  <si>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</si>
  <si>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</si>
  <si>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</si>
  <si>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</si>
  <si>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</si>
  <si>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</si>
  <si>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</si>
  <si>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</si>
  <si>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</si>
  <si>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</si>
  <si>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</si>
  <si>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</si>
  <si>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</si>
  <si>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</si>
  <si>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</si>
  <si>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</si>
  <si>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</si>
  <si>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</si>
  <si>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</si>
  <si>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</si>
  <si>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</si>
  <si>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</si>
  <si>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</si>
  <si>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</si>
  <si>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</si>
  <si>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</si>
  <si>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</si>
  <si>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</si>
  <si>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</si>
  <si>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</si>
  <si>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</si>
  <si>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</si>
  <si>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</si>
  <si>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</si>
  <si>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</si>
  <si>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</si>
  <si>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</si>
  <si>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</si>
  <si>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</si>
  <si>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</si>
  <si>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</si>
  <si>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</si>
  <si>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</si>
  <si>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</si>
  <si>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</si>
  <si>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</si>
  <si>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</si>
  <si>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</si>
  <si>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</si>
  <si>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</si>
  <si>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</si>
  <si>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</si>
  <si>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</si>
  <si>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</si>
  <si>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</si>
  <si>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</si>
  <si>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</si>
  <si>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</si>
  <si>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</si>
  <si>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</si>
  <si>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</si>
  <si>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</si>
  <si>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</si>
  <si>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</si>
  <si>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</si>
  <si>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</si>
  <si>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</si>
  <si>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</si>
  <si>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</si>
  <si>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</si>
  <si>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</si>
  <si>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</si>
  <si>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</si>
  <si>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</si>
  <si>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</si>
  <si>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</si>
  <si>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</si>
  <si>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</si>
  <si>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</si>
  <si>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</si>
  <si>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</si>
  <si>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</si>
  <si>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</si>
  <si>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</si>
  <si>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</si>
  <si>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</si>
  <si>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</si>
  <si>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</si>
  <si>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</si>
  <si>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</si>
  <si>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</si>
  <si>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</si>
  <si>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</si>
  <si>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</si>
  <si>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</si>
  <si>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</si>
  <si>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</si>
  <si>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</si>
  <si>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</si>
  <si>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</si>
  <si>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</si>
  <si>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</si>
  <si>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</si>
  <si>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</si>
  <si>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</si>
  <si>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</si>
  <si>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</si>
  <si>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</si>
  <si>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</si>
  <si>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</si>
  <si>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</si>
  <si>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</si>
  <si>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</si>
  <si>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</si>
  <si>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</si>
  <si>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</si>
  <si>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</si>
  <si>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</si>
  <si>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</si>
  <si>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</si>
  <si>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</si>
  <si>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</si>
  <si>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</si>
  <si>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</si>
  <si>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</si>
  <si>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</si>
  <si>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</si>
  <si>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</si>
  <si>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</si>
  <si>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</si>
  <si>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</si>
  <si>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</si>
  <si>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</si>
  <si>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</si>
  <si>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</si>
  <si>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</si>
  <si>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</si>
  <si>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</si>
  <si>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</si>
  <si>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</si>
  <si>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</si>
  <si>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</si>
  <si>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</si>
  <si>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</si>
  <si>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</si>
  <si>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</si>
  <si>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</si>
  <si>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</si>
  <si>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</si>
  <si>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</si>
  <si>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</si>
  <si>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</si>
  <si>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</si>
  <si>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</si>
  <si>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</si>
  <si>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</si>
  <si>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</si>
  <si>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</si>
  <si>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</si>
  <si>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</si>
  <si>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</si>
  <si>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</si>
  <si>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</si>
  <si>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</si>
  <si>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</si>
  <si>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</si>
  <si>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</si>
  <si>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</si>
  <si>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</si>
  <si>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</si>
  <si>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</si>
  <si>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</si>
  <si>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</si>
  <si>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</si>
  <si>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</si>
  <si>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</si>
  <si>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</si>
  <si>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</si>
  <si>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</si>
  <si>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</si>
  <si>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</si>
  <si>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</si>
  <si>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</si>
  <si>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</si>
  <si>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</si>
  <si>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</si>
  <si>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</si>
  <si>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</si>
  <si>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</si>
  <si>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</si>
  <si>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</si>
  <si>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</si>
  <si>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</si>
  <si>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</si>
  <si>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</si>
  <si>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</si>
  <si>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</si>
  <si>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</si>
  <si>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</si>
  <si>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</si>
  <si>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</si>
  <si>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</si>
  <si>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</si>
  <si>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</si>
  <si>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</si>
  <si>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</si>
  <si>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</si>
  <si>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</si>
  <si>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</si>
  <si>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</si>
  <si>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</si>
  <si>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</si>
  <si>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</si>
  <si>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</si>
  <si>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</si>
  <si>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</si>
  <si>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</si>
  <si>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</si>
  <si>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</si>
  <si>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</si>
  <si>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</si>
  <si>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</si>
  <si>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</si>
  <si>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</si>
  <si>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</si>
  <si>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</si>
  <si>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</si>
  <si>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</si>
  <si>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</si>
  <si>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</si>
  <si>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</si>
  <si>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</si>
  <si>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</si>
  <si>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</si>
  <si>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</si>
  <si>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</si>
  <si>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</si>
  <si>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</si>
  <si>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</si>
  <si>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</si>
  <si>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</si>
  <si>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</si>
  <si>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</si>
  <si>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</si>
  <si>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</si>
  <si>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</si>
  <si>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</si>
  <si>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</si>
  <si>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</si>
  <si>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</si>
  <si>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</si>
  <si>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</si>
  <si>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</si>
  <si>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</si>
  <si>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</si>
  <si>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</si>
  <si>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</si>
  <si>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</si>
  <si>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</si>
  <si>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</si>
  <si>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</si>
  <si>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</si>
  <si>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</si>
  <si>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</si>
  <si>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</si>
  <si>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</si>
  <si>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</si>
  <si>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</si>
  <si>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</si>
  <si>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</si>
  <si>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</si>
  <si>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</si>
  <si>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</si>
  <si>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</si>
  <si>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</si>
  <si>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</si>
  <si>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</si>
  <si>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</si>
  <si>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</si>
  <si>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</si>
  <si>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</si>
  <si>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</si>
  <si>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</si>
  <si>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</si>
  <si>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</si>
  <si>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</si>
  <si>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</si>
  <si>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</si>
  <si>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</si>
  <si>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</si>
  <si>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</si>
  <si>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</si>
  <si>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</si>
  <si>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</si>
  <si>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</si>
  <si>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</si>
  <si>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</si>
  <si>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</si>
  <si>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</si>
  <si>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</si>
  <si>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</si>
  <si>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</si>
  <si>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</si>
  <si>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</si>
  <si>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</si>
  <si>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</si>
  <si>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</si>
  <si>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</si>
  <si>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</si>
  <si>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</si>
  <si>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</si>
  <si>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</si>
  <si>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</si>
  <si>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</si>
  <si>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</si>
  <si>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</si>
  <si>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</si>
  <si>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</si>
  <si>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</si>
  <si>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</si>
  <si>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</si>
  <si>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</si>
  <si>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</si>
  <si>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</si>
  <si>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</si>
  <si>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</si>
  <si>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</si>
  <si>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</si>
  <si>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</si>
  <si>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</si>
  <si>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</si>
  <si>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</si>
  <si>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</si>
  <si>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</si>
  <si>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</si>
  <si>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</si>
  <si>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</si>
  <si>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</si>
  <si>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</si>
  <si>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</si>
  <si>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</si>
  <si>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</si>
  <si>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</si>
  <si>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</si>
  <si>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</si>
  <si>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</si>
  <si>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</si>
  <si>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</si>
  <si>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</si>
  <si>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</si>
  <si>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</si>
  <si>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</si>
  <si>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</si>
  <si>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</si>
  <si>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</si>
  <si>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</si>
  <si>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</si>
  <si>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</si>
  <si>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</si>
  <si>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</si>
  <si>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</si>
  <si>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</si>
  <si>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</si>
  <si>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</si>
  <si>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</si>
  <si>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</si>
  <si>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</si>
  <si>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</si>
  <si>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</si>
  <si>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</si>
  <si>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</si>
  <si>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</si>
  <si>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</si>
  <si>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</si>
  <si>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</si>
  <si>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</si>
  <si>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</si>
  <si>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</si>
  <si>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</si>
  <si>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</si>
  <si>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</si>
  <si>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</si>
  <si>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</si>
  <si>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</si>
  <si>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</si>
  <si>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</si>
  <si>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</si>
  <si>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</si>
  <si>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</si>
  <si>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</si>
  <si>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</si>
  <si>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</si>
  <si>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</si>
  <si>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</si>
  <si>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</si>
  <si>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</si>
  <si>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</si>
  <si>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</si>
  <si>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</si>
  <si>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</si>
  <si>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</si>
  <si>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</si>
  <si>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</si>
  <si>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</si>
  <si>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</si>
  <si>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</si>
  <si>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</si>
  <si>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</si>
  <si>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</si>
  <si>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</si>
  <si>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</si>
  <si>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</si>
  <si>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</si>
  <si>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</si>
  <si>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</si>
  <si>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</si>
  <si>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</si>
  <si>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</si>
  <si>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</si>
  <si>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</si>
  <si>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</si>
  <si>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</si>
  <si>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</si>
  <si>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</si>
  <si>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</si>
  <si>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</si>
  <si>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</si>
  <si>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</si>
  <si>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</si>
  <si>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</si>
  <si>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</si>
  <si>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</si>
  <si>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</si>
  <si>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</si>
  <si>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</si>
  <si>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</si>
  <si>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</si>
  <si>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</si>
  <si>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</si>
  <si>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</si>
  <si>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</si>
  <si>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</si>
  <si>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</si>
  <si>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</si>
  <si>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</si>
  <si>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</si>
  <si>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</si>
  <si>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</si>
  <si>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</si>
  <si>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</si>
  <si>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</si>
  <si>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</si>
  <si>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</si>
  <si>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</si>
  <si>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</si>
  <si>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</si>
  <si>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</si>
  <si>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</si>
  <si>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</si>
  <si>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</si>
  <si>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</si>
  <si>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</si>
  <si>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</si>
  <si>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</si>
  <si>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</si>
  <si>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</si>
  <si>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</si>
  <si>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</si>
  <si>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</si>
  <si>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</si>
  <si>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</si>
  <si>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</si>
  <si>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</si>
  <si>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</si>
  <si>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</si>
  <si>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</si>
  <si>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</si>
  <si>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</si>
  <si>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</si>
  <si>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</si>
  <si>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</si>
  <si>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</si>
  <si>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</si>
  <si>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</si>
  <si>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</si>
  <si>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</si>
  <si>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</si>
  <si>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</si>
  <si>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</si>
  <si>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</si>
  <si>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</si>
  <si>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</si>
  <si>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</si>
  <si>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</si>
  <si>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</si>
  <si>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</si>
  <si>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</si>
  <si>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</si>
  <si>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</si>
  <si>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</si>
  <si>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</si>
  <si>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</si>
  <si>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</si>
  <si>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</si>
  <si>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</si>
  <si>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</si>
  <si>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</si>
  <si>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</si>
  <si>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</si>
  <si>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</si>
  <si>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</si>
  <si>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</si>
  <si>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</si>
  <si>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</si>
  <si>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</si>
  <si>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</si>
  <si>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</si>
  <si>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</si>
  <si>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</si>
  <si>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</si>
  <si>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</si>
  <si>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</si>
  <si>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</si>
  <si>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</si>
  <si>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</si>
  <si>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</si>
  <si>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</si>
  <si>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</si>
  <si>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</si>
  <si>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</si>
  <si>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</si>
  <si>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</si>
  <si>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</si>
  <si>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</si>
  <si>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</si>
  <si>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</si>
  <si>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</si>
  <si>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</si>
  <si>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</si>
  <si>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</si>
  <si>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</si>
  <si>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</si>
  <si>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</si>
  <si>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</si>
  <si>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</si>
  <si>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</si>
  <si>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</si>
  <si>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</si>
  <si>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</si>
  <si>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</si>
  <si>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</si>
  <si>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</si>
  <si>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</si>
  <si>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</si>
  <si>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</si>
  <si>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</si>
  <si>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</si>
  <si>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</si>
  <si>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</si>
  <si>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</si>
  <si>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</si>
  <si>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</si>
  <si>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</si>
  <si>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</si>
  <si>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</si>
  <si>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</si>
  <si>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</si>
  <si>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</si>
  <si>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</si>
  <si>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</si>
  <si>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</si>
  <si>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</si>
  <si>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</si>
  <si>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</si>
  <si>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</si>
  <si>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</si>
  <si>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</si>
  <si>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</si>
  <si>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</si>
  <si>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</si>
  <si>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</si>
  <si>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</si>
  <si>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</si>
  <si>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</si>
  <si>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</si>
  <si>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</si>
  <si>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</si>
  <si>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</si>
  <si>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</si>
  <si>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</si>
  <si>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</si>
  <si>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</si>
  <si>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</si>
  <si>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</si>
  <si>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</si>
  <si>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</si>
  <si>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</si>
  <si>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</si>
  <si>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</si>
  <si>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</si>
  <si>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</si>
  <si>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</si>
  <si>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</si>
  <si>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</si>
  <si>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</si>
  <si>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</si>
  <si>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</si>
  <si>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</si>
  <si>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</si>
  <si>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</si>
  <si>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</si>
  <si>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</si>
  <si>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</si>
  <si>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</si>
  <si>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</si>
  <si>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</si>
  <si>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</si>
  <si>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</si>
  <si>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</si>
  <si>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</si>
  <si>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</si>
  <si>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</si>
  <si>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</si>
  <si>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</si>
  <si>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</si>
  <si>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</si>
  <si>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</si>
  <si>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</si>
  <si>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</si>
  <si>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</si>
  <si>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</si>
  <si>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</si>
  <si>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</si>
  <si>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</si>
  <si>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</si>
  <si>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</si>
  <si>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</si>
  <si>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</si>
  <si>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</si>
  <si>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</si>
  <si>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</si>
  <si>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</si>
  <si>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</si>
  <si>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</si>
  <si>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</si>
  <si>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</si>
  <si>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</si>
  <si>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</si>
  <si>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</si>
  <si>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</si>
  <si>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</si>
  <si>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</si>
  <si>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</si>
  <si>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</si>
  <si>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</si>
  <si>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</si>
  <si>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</si>
  <si>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</si>
  <si>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</si>
  <si>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</si>
  <si>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</si>
  <si>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</si>
  <si>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</si>
  <si>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</si>
  <si>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</si>
  <si>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</si>
  <si>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</si>
  <si>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</si>
  <si>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</si>
  <si>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</si>
  <si>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</si>
  <si>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</si>
  <si>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</si>
  <si>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</si>
  <si>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</si>
  <si>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</si>
  <si>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</si>
  <si>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</si>
  <si>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</si>
  <si>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</si>
  <si>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</si>
  <si>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</si>
  <si>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</si>
  <si>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</si>
  <si>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</si>
  <si>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</si>
  <si>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</si>
  <si>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</si>
  <si>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</si>
  <si>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</si>
  <si>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</si>
  <si>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</si>
  <si>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</si>
  <si>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</si>
  <si>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</si>
  <si>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</si>
  <si>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</si>
  <si>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</si>
  <si>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</si>
  <si>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</si>
  <si>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</si>
  <si>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</si>
  <si>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</si>
  <si>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</si>
  <si>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</si>
  <si>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</si>
  <si>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</si>
  <si>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</si>
  <si>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</si>
  <si>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</si>
  <si>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</si>
  <si>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</si>
  <si>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</si>
  <si>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</si>
  <si>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</si>
  <si>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</si>
  <si>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</si>
  <si>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</si>
  <si>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</si>
  <si>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</si>
  <si>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</si>
  <si>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</si>
  <si>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</si>
  <si>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</si>
  <si>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</si>
  <si>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</si>
  <si>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</si>
  <si>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</si>
  <si>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</si>
  <si>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</si>
  <si>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</si>
  <si>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</si>
  <si>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</si>
  <si>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</si>
  <si>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</si>
  <si>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</si>
  <si>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</si>
  <si>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</si>
  <si>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</si>
  <si>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</si>
  <si>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</si>
  <si>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</si>
  <si>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</si>
  <si>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</si>
  <si>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</si>
  <si>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</si>
  <si>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</si>
  <si>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</si>
  <si>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</si>
  <si>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</si>
  <si>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</si>
  <si>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</si>
  <si>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</si>
  <si>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</si>
  <si>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</si>
  <si>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</si>
  <si>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</si>
  <si>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</si>
  <si>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</si>
  <si>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</si>
  <si>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</si>
  <si>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</si>
  <si>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</si>
  <si>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</si>
  <si>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</si>
  <si>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</si>
  <si>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</si>
  <si>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</si>
  <si>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</si>
  <si>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</si>
  <si>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</si>
  <si>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</si>
  <si>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</si>
  <si>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</si>
  <si>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</si>
  <si>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</si>
  <si>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</si>
  <si>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</si>
  <si>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</si>
  <si>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</si>
  <si>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</si>
  <si>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</si>
  <si>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</si>
  <si>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</si>
  <si>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</si>
  <si>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</si>
  <si>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</si>
  <si>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</si>
  <si>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</si>
  <si>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</si>
  <si>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</si>
  <si>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</si>
  <si>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</si>
  <si>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</si>
  <si>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</si>
  <si>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</si>
  <si>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</si>
  <si>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</si>
  <si>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</si>
  <si>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</si>
  <si>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</si>
  <si>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</si>
  <si>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</si>
  <si>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</si>
  <si>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</si>
  <si>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</si>
  <si>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</si>
  <si>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</si>
  <si>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</si>
  <si>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</si>
  <si>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</si>
  <si>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</si>
  <si>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</si>
  <si>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</si>
  <si>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</si>
  <si>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</si>
  <si>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</si>
  <si>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</si>
  <si>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</si>
  <si>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</si>
  <si>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</si>
  <si>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</si>
  <si>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</si>
  <si>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</si>
  <si>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</si>
  <si>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</si>
  <si>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</si>
  <si>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</si>
  <si>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</si>
  <si>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</si>
  <si>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</si>
  <si>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</si>
  <si>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</si>
  <si>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</si>
  <si>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</si>
  <si>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</si>
  <si>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</si>
  <si>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</si>
  <si>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</si>
  <si>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</si>
  <si>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</si>
  <si>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</si>
  <si>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</si>
  <si>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</si>
  <si>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</si>
  <si>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</si>
  <si>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</si>
  <si>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</si>
  <si>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</si>
  <si>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</si>
  <si>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</si>
  <si>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</si>
  <si>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</si>
  <si>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</si>
  <si>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</si>
  <si>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</si>
  <si>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</si>
  <si>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</si>
  <si>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</si>
  <si>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</si>
  <si>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</si>
  <si>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</si>
  <si>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</si>
  <si>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</si>
  <si>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</si>
  <si>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</si>
  <si>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</si>
  <si>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</si>
  <si>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</si>
  <si>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</si>
  <si>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</si>
  <si>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</si>
  <si>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</si>
  <si>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</si>
  <si>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</si>
  <si>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</si>
  <si>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</si>
  <si>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</si>
  <si>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</si>
  <si>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</si>
  <si>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</si>
  <si>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</si>
  <si>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</si>
  <si>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</si>
  <si>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</si>
  <si>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</si>
  <si>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</si>
  <si>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</si>
  <si>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</si>
  <si>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</si>
  <si>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</si>
  <si>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</si>
  <si>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</si>
  <si>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</si>
  <si>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</si>
  <si>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</si>
  <si>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</si>
  <si>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</si>
  <si>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</si>
  <si>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</si>
  <si>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</si>
  <si>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</si>
  <si>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</si>
  <si>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</si>
  <si>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</si>
  <si>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</si>
  <si>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</si>
  <si>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</si>
  <si>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</si>
  <si>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</si>
  <si>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</si>
  <si>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</si>
  <si>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</si>
  <si>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</si>
  <si>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</si>
  <si>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</si>
  <si>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</si>
  <si>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</si>
  <si>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</si>
  <si>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</si>
  <si>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</si>
  <si>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</si>
  <si>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</si>
  <si>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</si>
  <si>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</si>
  <si>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</si>
  <si>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</si>
  <si>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</si>
  <si>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</si>
  <si>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</si>
  <si>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</si>
  <si>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</si>
  <si>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</si>
  <si>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</si>
  <si>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</si>
  <si>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</si>
  <si>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</si>
  <si>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</si>
  <si>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</si>
  <si>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</si>
  <si>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</si>
  <si>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</si>
  <si>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</si>
  <si>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</si>
  <si>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</si>
  <si>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</si>
  <si>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</si>
  <si>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</si>
  <si>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</si>
  <si>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</si>
  <si>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</si>
  <si>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</si>
  <si>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</si>
  <si>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</si>
  <si>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</si>
  <si>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</si>
  <si>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</si>
  <si>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</si>
  <si>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</si>
  <si>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</si>
  <si>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</si>
  <si>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</si>
  <si>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</si>
  <si>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</si>
  <si>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</si>
  <si>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</si>
  <si>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</si>
  <si>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</si>
  <si>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</si>
  <si>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</si>
  <si>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</si>
  <si>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</si>
  <si>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</si>
  <si>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</si>
  <si>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</si>
  <si>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</si>
  <si>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</si>
  <si>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</si>
  <si>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</si>
  <si>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</si>
  <si>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</si>
  <si>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</si>
  <si>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</si>
  <si>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</si>
  <si>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</si>
  <si>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</si>
  <si>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</si>
  <si>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</si>
  <si>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</si>
  <si>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</si>
  <si>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</si>
  <si>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</si>
  <si>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</si>
  <si>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</si>
  <si>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</si>
  <si>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</si>
  <si>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</si>
  <si>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</si>
  <si>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</si>
  <si>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</si>
  <si>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</si>
  <si>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</si>
  <si>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</si>
  <si>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</si>
  <si>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</si>
  <si>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</si>
  <si>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</si>
  <si>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</si>
  <si>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</si>
  <si>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</si>
  <si>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</si>
  <si>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</si>
  <si>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</si>
  <si>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</si>
  <si>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</si>
  <si>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</si>
  <si>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</si>
  <si>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</si>
  <si>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</si>
  <si>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</si>
  <si>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</si>
  <si>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</si>
  <si>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</si>
  <si>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</si>
  <si>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</si>
  <si>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</si>
  <si>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</si>
  <si>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</si>
  <si>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</si>
  <si>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</si>
  <si>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</si>
  <si>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</si>
  <si>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</si>
  <si>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</si>
  <si>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</si>
  <si>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</si>
  <si>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</si>
  <si>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</si>
  <si>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</si>
  <si>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</si>
  <si>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</si>
  <si>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</si>
  <si>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</si>
  <si>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</si>
  <si>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</si>
  <si>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</si>
  <si>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</si>
  <si>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</si>
  <si>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</si>
  <si>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</si>
  <si>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</si>
  <si>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</si>
  <si>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</si>
  <si>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</si>
  <si>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</si>
  <si>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</si>
  <si>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</si>
  <si>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</si>
  <si>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</si>
  <si>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</si>
  <si>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</si>
  <si>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</si>
  <si>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</si>
  <si>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</si>
  <si>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</si>
  <si>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</si>
  <si>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</si>
  <si>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</si>
  <si>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</si>
  <si>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</si>
  <si>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</si>
  <si>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</si>
  <si>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</si>
  <si>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</si>
  <si>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</si>
  <si>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</si>
  <si>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</si>
  <si>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</si>
  <si>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</si>
  <si>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</si>
  <si>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</si>
  <si>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</si>
  <si>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</si>
  <si>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</si>
  <si>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</si>
  <si>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</si>
  <si>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</si>
  <si>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</si>
  <si>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</si>
  <si>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</si>
  <si>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</si>
  <si>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</si>
  <si>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</si>
  <si>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</si>
  <si>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</si>
  <si>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</si>
  <si>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</si>
  <si>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</si>
  <si>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</si>
  <si>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</si>
  <si>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</si>
  <si>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</si>
  <si>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</si>
  <si>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</si>
  <si>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</si>
  <si>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</si>
  <si>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</si>
  <si>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</si>
  <si>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</si>
  <si>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</si>
  <si>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</si>
  <si>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</si>
  <si>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</si>
  <si>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</si>
  <si>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</si>
  <si>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</si>
  <si>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</si>
  <si>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</si>
  <si>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</si>
  <si>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</si>
  <si>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</si>
  <si>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</si>
  <si>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</si>
  <si>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</si>
  <si>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</si>
  <si>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</si>
  <si>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</si>
  <si>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</si>
  <si>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</si>
  <si>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</si>
  <si>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</si>
  <si>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</si>
  <si>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</si>
  <si>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</si>
  <si>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</si>
  <si>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</si>
  <si>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</si>
  <si>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</si>
  <si>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</si>
  <si>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</si>
  <si>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</si>
  <si>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</si>
  <si>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</si>
  <si>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</si>
  <si>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</si>
  <si>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</si>
  <si>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</si>
  <si>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</si>
  <si>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</si>
  <si>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</si>
  <si>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</si>
  <si>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</si>
  <si>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</si>
  <si>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</si>
  <si>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</si>
  <si>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</si>
  <si>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</si>
  <si>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</si>
  <si>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</si>
  <si>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</si>
  <si>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</si>
  <si>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</si>
  <si>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</si>
  <si>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</si>
  <si>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</si>
  <si>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</si>
  <si>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</si>
  <si>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</si>
  <si>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</si>
  <si>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</si>
  <si>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</si>
  <si>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</si>
  <si>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</si>
  <si>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</si>
  <si>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</si>
  <si>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</si>
  <si>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</si>
  <si>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</si>
  <si>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</si>
  <si>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</si>
  <si>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</si>
  <si>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</si>
  <si>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</si>
  <si>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</si>
  <si>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</si>
  <si>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</si>
  <si>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</si>
  <si>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</si>
  <si>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</si>
  <si>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</si>
  <si>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</si>
  <si>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</si>
  <si>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</si>
  <si>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</si>
  <si>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</si>
  <si>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</si>
  <si>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</si>
  <si>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</si>
  <si>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</si>
  <si>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</si>
  <si>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</si>
  <si>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</si>
  <si>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</si>
  <si>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</si>
  <si>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</si>
  <si>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</si>
  <si>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</si>
  <si>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</si>
  <si>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</si>
  <si>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</si>
  <si>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</si>
  <si>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</si>
  <si>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</si>
  <si>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</si>
  <si>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</si>
  <si>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</si>
  <si>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</si>
  <si>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</si>
  <si>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</si>
  <si>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</si>
  <si>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</si>
  <si>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</si>
  <si>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</si>
  <si>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</si>
  <si>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</si>
  <si>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</si>
  <si>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</si>
  <si>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</si>
  <si>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</si>
  <si>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</si>
  <si>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</si>
  <si>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</si>
  <si>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</si>
  <si>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</si>
  <si>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</si>
  <si>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</si>
  <si>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</si>
  <si>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</si>
  <si>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</si>
  <si>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</si>
  <si>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</si>
  <si>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</si>
  <si>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</si>
  <si>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</si>
  <si>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</si>
  <si>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</si>
  <si>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</si>
  <si>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</si>
  <si>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</si>
  <si>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</si>
  <si>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</si>
  <si>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</si>
  <si>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</si>
  <si>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</si>
  <si>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</si>
  <si>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</si>
  <si>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</si>
  <si>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</si>
  <si>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</si>
  <si>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</si>
  <si>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</si>
  <si>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</si>
  <si>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</si>
  <si>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</si>
  <si>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</si>
  <si>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</si>
  <si>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</si>
  <si>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</si>
  <si>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</si>
  <si>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</si>
  <si>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</si>
  <si>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</si>
  <si>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</si>
  <si>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</si>
  <si>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</si>
  <si>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</si>
  <si>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</si>
  <si>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</si>
  <si>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</si>
  <si>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</si>
  <si>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</si>
  <si>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</si>
  <si>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</si>
  <si>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</si>
  <si>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</si>
  <si>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</si>
  <si>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</si>
  <si>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</si>
  <si>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</si>
  <si>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</si>
  <si>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</si>
  <si>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</si>
  <si>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</si>
  <si>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</si>
  <si>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</si>
  <si>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</si>
  <si>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</si>
  <si>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</si>
  <si>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</si>
  <si>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</si>
  <si>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</si>
  <si>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</si>
  <si>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</si>
  <si>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</si>
  <si>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</si>
  <si>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</si>
  <si>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</si>
  <si>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</si>
  <si>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</si>
  <si>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</si>
  <si>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</si>
  <si>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</si>
  <si>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</si>
  <si>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</si>
  <si>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</si>
  <si>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</si>
  <si>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</si>
  <si>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</si>
  <si>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</si>
  <si>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</si>
  <si>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</si>
  <si>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</si>
  <si>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</si>
  <si>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</si>
  <si>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</si>
  <si>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</si>
  <si>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</si>
  <si>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</si>
  <si>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</si>
  <si>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</si>
  <si>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</si>
  <si>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</si>
  <si>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</si>
  <si>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</si>
  <si>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</si>
  <si>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</si>
  <si>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</si>
  <si>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</si>
  <si>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</si>
  <si>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</si>
  <si>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</si>
  <si>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</si>
  <si>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</si>
  <si>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</si>
  <si>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</si>
  <si>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</si>
  <si>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</si>
  <si>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</si>
  <si>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</si>
  <si>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</si>
  <si>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</si>
  <si>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</si>
  <si>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</si>
  <si>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</si>
  <si>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</si>
  <si>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</si>
  <si>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</si>
  <si>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</si>
  <si>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</si>
  <si>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</si>
  <si>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</si>
  <si>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</si>
  <si>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</si>
  <si>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</si>
  <si>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</si>
  <si>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</si>
  <si>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</si>
  <si>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</si>
  <si>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</si>
  <si>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</si>
  <si>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</si>
  <si>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</si>
  <si>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</si>
  <si>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</si>
  <si>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</si>
  <si>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</si>
  <si>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</si>
  <si>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</si>
  <si>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</si>
  <si>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</si>
  <si>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</si>
  <si>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</si>
  <si>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</si>
  <si>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</si>
  <si>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</si>
  <si>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</si>
  <si>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</si>
  <si>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</si>
  <si>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</si>
  <si>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</si>
  <si>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</si>
  <si>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</si>
  <si>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</si>
  <si>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</si>
  <si>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</si>
  <si>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</si>
  <si>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</si>
  <si>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</si>
  <si>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</si>
  <si>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</si>
  <si>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</si>
  <si>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</si>
  <si>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</si>
  <si>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</si>
  <si>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</si>
  <si>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</si>
  <si>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</si>
  <si>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</si>
  <si>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</si>
  <si>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</si>
  <si>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</si>
  <si>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</si>
  <si>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</si>
  <si>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</si>
  <si>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</si>
  <si>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</si>
  <si>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</si>
  <si>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</si>
  <si>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</si>
  <si>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</si>
  <si>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</si>
  <si>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</si>
  <si>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</si>
  <si>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</si>
  <si>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</si>
  <si>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</si>
  <si>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</si>
  <si>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</si>
  <si>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</si>
  <si>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</si>
  <si>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</si>
  <si>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</si>
  <si>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</si>
  <si>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</si>
  <si>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</si>
  <si>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</si>
  <si>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</si>
  <si>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</si>
  <si>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</si>
  <si>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</si>
  <si>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</si>
  <si>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</si>
  <si>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</si>
  <si>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</si>
  <si>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</si>
  <si>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</si>
  <si>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</si>
  <si>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</si>
  <si>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</si>
  <si>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</si>
  <si>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</si>
  <si>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</si>
  <si>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</si>
  <si>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</si>
  <si>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</si>
  <si>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</si>
  <si>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</si>
  <si>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</si>
  <si>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</si>
  <si>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</si>
  <si>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</si>
  <si>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</si>
  <si>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</si>
  <si>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</si>
  <si>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</si>
  <si>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</si>
  <si>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</si>
  <si>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</si>
  <si>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</si>
  <si>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</si>
  <si>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</si>
  <si>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</si>
  <si>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</si>
  <si>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</si>
  <si>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</si>
  <si>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</si>
  <si>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</si>
  <si>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</si>
  <si>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</si>
  <si>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</si>
  <si>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</si>
  <si>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</si>
  <si>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</si>
  <si>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</si>
  <si>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</si>
  <si>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</si>
  <si>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</si>
  <si>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</si>
  <si>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</si>
  <si>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</si>
  <si>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</si>
  <si>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</si>
  <si>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</si>
  <si>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</si>
  <si>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</si>
  <si>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</si>
  <si>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</si>
  <si>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</si>
  <si>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</si>
  <si>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</si>
  <si>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</si>
  <si>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</si>
  <si>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</si>
  <si>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</si>
  <si>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</si>
  <si>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</si>
  <si>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</si>
  <si>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</si>
  <si>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</si>
  <si>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</si>
  <si>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</si>
  <si>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</si>
  <si>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</si>
  <si>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</si>
  <si>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</si>
  <si>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</si>
  <si>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</si>
  <si>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</si>
  <si>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</si>
  <si>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</si>
  <si>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</si>
  <si>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</si>
  <si>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</si>
  <si>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</si>
  <si>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</si>
  <si>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</si>
  <si>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</si>
  <si>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</si>
  <si>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</si>
  <si>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</si>
  <si>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</si>
  <si>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</si>
  <si>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</si>
  <si>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</si>
  <si>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</si>
  <si>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</si>
  <si>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</si>
  <si>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</si>
  <si>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</si>
  <si>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</si>
  <si>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</si>
  <si>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</si>
  <si>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</si>
  <si>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</si>
  <si>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</si>
  <si>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</si>
  <si>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</si>
  <si>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</si>
  <si>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</si>
  <si>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</si>
  <si>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</si>
  <si>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</si>
  <si>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</si>
  <si>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</si>
  <si>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</si>
  <si>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</si>
  <si>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</si>
  <si>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</si>
  <si>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</si>
  <si>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</si>
  <si>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</si>
  <si>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</si>
  <si>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</si>
  <si>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</si>
  <si>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</si>
  <si>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</si>
  <si>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</si>
  <si>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</si>
  <si>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</si>
  <si>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</si>
  <si>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</si>
  <si>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</si>
  <si>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</si>
  <si>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</si>
  <si>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</si>
  <si>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</si>
  <si>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</si>
  <si>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</si>
  <si>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</si>
  <si>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</si>
  <si>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</si>
  <si>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</si>
  <si>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</si>
  <si>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</si>
  <si>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</si>
  <si>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</si>
  <si>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</si>
  <si>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</si>
  <si>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</si>
  <si>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</si>
  <si>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</si>
  <si>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</si>
  <si>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</si>
  <si>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</si>
  <si>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</si>
  <si>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</si>
  <si>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</si>
  <si>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</si>
  <si>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</si>
  <si>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</si>
  <si>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</si>
  <si>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</si>
  <si>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</si>
  <si>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</si>
  <si>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</si>
  <si>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</si>
  <si>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</si>
  <si>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</si>
  <si>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</si>
  <si>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</si>
  <si>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</si>
  <si>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</si>
  <si>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</si>
  <si>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</si>
  <si>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</si>
  <si>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</si>
  <si>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</si>
  <si>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</si>
  <si>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</si>
  <si>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</si>
  <si>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</si>
  <si>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</si>
  <si>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</si>
  <si>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</si>
  <si>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</si>
  <si>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</si>
  <si>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</si>
  <si>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</si>
  <si>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</si>
  <si>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</si>
  <si>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</si>
  <si>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</si>
  <si>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</si>
  <si>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</si>
  <si>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</si>
  <si>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</si>
  <si>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</si>
  <si>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</si>
  <si>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</si>
  <si>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</si>
  <si>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</si>
  <si>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</si>
  <si>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</si>
  <si>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</si>
  <si>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</si>
  <si>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</si>
  <si>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</si>
  <si>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</si>
  <si>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</si>
  <si>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</si>
  <si>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</si>
  <si>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</si>
  <si>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</si>
  <si>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</si>
  <si>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</si>
  <si>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</si>
  <si>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</si>
  <si>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</si>
  <si>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</si>
  <si>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</si>
  <si>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</si>
  <si>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</si>
  <si>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</si>
  <si>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</si>
  <si>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</si>
  <si>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</si>
  <si>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</si>
  <si>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</si>
  <si>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</si>
  <si>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</si>
  <si>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</si>
  <si>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</si>
  <si>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</si>
  <si>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</si>
  <si>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</si>
  <si>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</si>
  <si>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</si>
  <si>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</si>
  <si>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</si>
  <si>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</si>
  <si>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</si>
  <si>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</si>
  <si>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</si>
  <si>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</si>
  <si>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</si>
  <si>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</si>
  <si>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</si>
  <si>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</si>
  <si>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</si>
  <si>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</si>
  <si>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</si>
  <si>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</si>
  <si>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</si>
  <si>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</si>
  <si>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</si>
  <si>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</si>
  <si>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</si>
  <si>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</si>
  <si>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</si>
  <si>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</si>
  <si>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</si>
  <si>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</si>
  <si>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</si>
  <si>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</si>
  <si>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</si>
  <si>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</si>
  <si>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</si>
  <si>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</si>
  <si>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</si>
  <si>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</si>
  <si>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</si>
  <si>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</si>
  <si>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</si>
  <si>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</si>
  <si>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</si>
  <si>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</si>
  <si>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</si>
  <si>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</si>
  <si>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</si>
  <si>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</si>
  <si>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</si>
  <si>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</si>
  <si>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</si>
  <si>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</si>
  <si>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</si>
  <si>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</si>
  <si>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</si>
  <si>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</si>
  <si>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</si>
  <si>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</si>
  <si>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</si>
  <si>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</si>
  <si>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</si>
  <si>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</si>
  <si>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</si>
  <si>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</si>
  <si>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</si>
  <si>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</si>
  <si>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</si>
  <si>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</si>
  <si>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</si>
  <si>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</si>
  <si>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</si>
  <si>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</si>
  <si>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</si>
  <si>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</si>
  <si>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</si>
  <si>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</si>
  <si>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</si>
  <si>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</si>
  <si>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</si>
  <si>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</si>
  <si>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</si>
  <si>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</si>
  <si>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</si>
  <si>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</si>
  <si>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</si>
  <si>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</si>
  <si>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</si>
  <si>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</si>
  <si>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</si>
  <si>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</si>
  <si>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</si>
  <si>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</si>
  <si>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</si>
  <si>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</si>
  <si>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</si>
  <si>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</si>
  <si>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</si>
  <si>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</si>
  <si>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</si>
  <si>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</si>
  <si>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</si>
  <si>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</si>
  <si>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</si>
  <si>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</si>
  <si>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</si>
  <si>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</si>
  <si>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</si>
  <si>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</si>
  <si>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</si>
  <si>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</si>
  <si>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</si>
  <si>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</si>
  <si>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</si>
  <si>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</si>
  <si>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</si>
  <si>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</si>
  <si>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</si>
  <si>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</si>
  <si>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</si>
  <si>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</si>
  <si>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</si>
  <si>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</si>
  <si>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</si>
  <si>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</si>
  <si>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</si>
  <si>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</si>
  <si>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</si>
  <si>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</si>
  <si>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</si>
  <si>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</si>
  <si>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</si>
  <si>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</si>
  <si>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</si>
  <si>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</si>
  <si>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</si>
  <si>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</si>
  <si>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</si>
  <si>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</si>
  <si>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</si>
  <si>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</si>
  <si>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</si>
  <si>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</si>
  <si>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</si>
  <si>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</si>
  <si>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</si>
  <si>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</si>
  <si>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</si>
  <si>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</si>
  <si>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</si>
  <si>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</si>
  <si>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</si>
  <si>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</si>
  <si>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</si>
  <si>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</si>
  <si>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</si>
  <si>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</si>
  <si>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</si>
  <si>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</si>
  <si>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</si>
  <si>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</si>
  <si>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</si>
  <si>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</si>
  <si>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</si>
  <si>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</si>
  <si>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</si>
  <si>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</si>
  <si>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</si>
  <si>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</si>
  <si>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</si>
  <si>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</si>
  <si>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</si>
  <si>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</si>
  <si>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</si>
  <si>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</si>
  <si>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</si>
  <si>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</si>
  <si>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</si>
  <si>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</si>
  <si>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</si>
  <si>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</si>
  <si>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</si>
  <si>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</si>
  <si>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</si>
  <si>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</si>
  <si>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</si>
  <si>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</si>
  <si>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</si>
  <si>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</si>
  <si>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</si>
  <si>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</si>
  <si>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</si>
  <si>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</si>
  <si>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</si>
  <si>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</si>
  <si>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</si>
  <si>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</si>
  <si>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</si>
  <si>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</si>
  <si>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</si>
  <si>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</si>
  <si>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</si>
  <si>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</si>
  <si>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</si>
  <si>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</si>
  <si>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</si>
  <si>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</si>
  <si>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</si>
  <si>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</si>
  <si>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</si>
  <si>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</si>
  <si>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</si>
  <si>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</si>
  <si>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</si>
  <si>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</si>
  <si>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</si>
  <si>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</si>
  <si>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</si>
  <si>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</si>
  <si>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</si>
  <si>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</si>
  <si>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</si>
  <si>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</si>
  <si>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</si>
  <si>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</si>
  <si>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</si>
  <si>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</si>
  <si>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</si>
  <si>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</si>
  <si>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</si>
  <si>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</si>
  <si>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</si>
  <si>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</si>
  <si>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</si>
  <si>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</si>
  <si>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</si>
  <si>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</si>
  <si>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</si>
  <si>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</si>
  <si>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</si>
  <si>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</si>
  <si>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</si>
  <si>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</si>
  <si>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</si>
  <si>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</si>
  <si>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</si>
  <si>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</si>
  <si>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</si>
  <si>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</si>
  <si>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</si>
  <si>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</si>
  <si>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</si>
  <si>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</si>
  <si>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</si>
  <si>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</si>
  <si>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</si>
  <si>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</si>
  <si>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</si>
  <si>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</si>
  <si>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</si>
  <si>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</si>
  <si>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</si>
  <si>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</si>
  <si>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</si>
  <si>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</si>
  <si>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</si>
  <si>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</si>
  <si>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</si>
  <si>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</si>
  <si>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</si>
  <si>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</si>
  <si>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</si>
  <si>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</si>
  <si>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</si>
  <si>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</si>
  <si>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</si>
  <si>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</si>
  <si>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</si>
  <si>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</si>
  <si>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</si>
  <si>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</si>
  <si>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</si>
  <si>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</si>
  <si>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</si>
  <si>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</si>
  <si>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</si>
  <si>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</si>
  <si>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</si>
  <si>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</si>
  <si>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</si>
  <si>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</si>
  <si>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</si>
  <si>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</si>
  <si>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</si>
  <si>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</si>
  <si>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</si>
  <si>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</si>
  <si>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</si>
  <si>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</si>
  <si>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</si>
  <si>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</si>
  <si>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</si>
  <si>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</si>
  <si>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</si>
  <si>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</si>
  <si>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</si>
  <si>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</si>
  <si>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</si>
  <si>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</si>
  <si>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</si>
  <si>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</si>
  <si>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</si>
  <si>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</si>
  <si>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</si>
  <si>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</si>
  <si>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</si>
  <si>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</si>
  <si>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</si>
  <si>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</si>
  <si>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</si>
  <si>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</si>
  <si>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</si>
  <si>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</si>
  <si>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</si>
  <si>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</si>
  <si>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</si>
  <si>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</si>
  <si>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</si>
  <si>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</si>
  <si>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</si>
  <si>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</si>
  <si>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</si>
  <si>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</si>
  <si>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</si>
  <si>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</si>
  <si>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</si>
  <si>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</si>
  <si>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</si>
  <si>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</si>
  <si>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</si>
  <si>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</si>
  <si>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</si>
  <si>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</si>
  <si>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</si>
  <si>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</si>
  <si>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</si>
  <si>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</si>
  <si>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</si>
  <si>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</si>
  <si>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</si>
  <si>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</si>
  <si>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</si>
  <si>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</si>
  <si>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</si>
  <si>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</si>
  <si>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</si>
  <si>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</si>
  <si>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</si>
  <si>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</si>
  <si>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</si>
  <si>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</si>
  <si>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</si>
  <si>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</si>
  <si>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</si>
  <si>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</si>
  <si>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</si>
  <si>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</si>
  <si>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</si>
  <si>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</si>
  <si>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</si>
  <si>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</si>
  <si>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</si>
  <si>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</si>
  <si>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</si>
  <si>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</si>
  <si>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</si>
  <si>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</si>
  <si>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</si>
  <si>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</si>
  <si>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</si>
  <si>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</si>
  <si>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</si>
  <si>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</si>
  <si>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</si>
  <si>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</si>
  <si>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</si>
  <si>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</si>
  <si>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</si>
  <si>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</si>
  <si>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</si>
  <si>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</si>
  <si>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</si>
  <si>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</si>
  <si>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</si>
  <si>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</si>
  <si>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</si>
  <si>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</si>
  <si>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</si>
  <si>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</si>
  <si>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</si>
  <si>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</si>
  <si>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</si>
  <si>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</si>
  <si>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</si>
  <si>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</si>
  <si>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</si>
  <si>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</si>
  <si>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</si>
  <si>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</si>
  <si>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</si>
  <si>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</si>
  <si>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</si>
  <si>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</si>
  <si>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</si>
  <si>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</si>
  <si>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</si>
  <si>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</si>
  <si>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</si>
  <si>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</si>
  <si>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</si>
  <si>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</si>
  <si>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</si>
  <si>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</si>
  <si>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</si>
  <si>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</si>
  <si>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</si>
  <si>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</si>
  <si>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</si>
  <si>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</si>
  <si>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</si>
  <si>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</si>
  <si>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</si>
  <si>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</si>
  <si>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</si>
  <si>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</si>
  <si>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</si>
  <si>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</si>
  <si>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</si>
  <si>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</si>
  <si>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</si>
  <si>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</si>
  <si>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</si>
  <si>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</si>
  <si>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</si>
  <si>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</si>
  <si>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</si>
  <si>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</si>
  <si>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</si>
  <si>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</si>
  <si>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</si>
  <si>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</si>
  <si>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</si>
  <si>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</si>
  <si>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</si>
  <si>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</si>
  <si>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</si>
  <si>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</si>
  <si>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</si>
  <si>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</si>
  <si>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</si>
  <si>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</si>
  <si>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</si>
  <si>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</si>
  <si>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</si>
  <si>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</si>
  <si>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</si>
  <si>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</si>
  <si>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</si>
  <si>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</si>
  <si>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</si>
  <si>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</si>
  <si>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</si>
  <si>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</si>
  <si>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</si>
  <si>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</si>
  <si>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</si>
  <si>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</si>
  <si>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</si>
  <si>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</si>
  <si>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</si>
  <si>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</si>
  <si>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</si>
  <si>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</si>
  <si>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</si>
  <si>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</si>
  <si>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</si>
  <si>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</si>
  <si>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</si>
  <si>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</si>
  <si>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</si>
  <si>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</si>
  <si>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</si>
  <si>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</si>
  <si>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</si>
  <si>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</si>
  <si>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</si>
  <si>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</si>
  <si>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</si>
  <si>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</si>
  <si>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</si>
  <si>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</si>
  <si>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</si>
  <si>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</si>
  <si>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</si>
  <si>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</si>
  <si>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</si>
  <si>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</si>
  <si>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</si>
  <si>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</si>
  <si>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</si>
  <si>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</si>
  <si>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</si>
  <si>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</si>
  <si>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</si>
  <si>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</si>
  <si>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</si>
  <si>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</si>
  <si>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</si>
  <si>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</si>
  <si>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</si>
  <si>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</si>
  <si>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</si>
  <si>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</si>
  <si>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</si>
  <si>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</si>
  <si>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</si>
  <si>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</si>
  <si>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</si>
  <si>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</si>
  <si>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</si>
  <si>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</si>
  <si>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</si>
  <si>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</si>
  <si>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</si>
  <si>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</si>
  <si>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</si>
  <si>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</si>
  <si>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</si>
  <si>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</si>
  <si>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</si>
  <si>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</si>
  <si>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</si>
  <si>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</si>
  <si>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</si>
  <si>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</si>
  <si>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</si>
  <si>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</si>
  <si>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</si>
  <si>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</si>
  <si>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</si>
  <si>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</si>
  <si>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</si>
  <si>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</si>
  <si>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</si>
  <si>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</si>
  <si>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</si>
  <si>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</si>
  <si>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</si>
  <si>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</si>
  <si>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</si>
  <si>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</si>
  <si>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</si>
  <si>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</si>
  <si>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</si>
  <si>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</si>
  <si>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</si>
  <si>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</si>
  <si>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</si>
  <si>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</si>
  <si>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</si>
  <si>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</si>
  <si>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</si>
  <si>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</si>
  <si>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</si>
  <si>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</si>
  <si>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</si>
  <si>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</si>
  <si>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</si>
  <si>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</si>
  <si>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</si>
  <si>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</si>
  <si>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</si>
  <si>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</si>
  <si>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</si>
  <si>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</si>
  <si>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</si>
  <si>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</si>
  <si>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</si>
  <si>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</si>
  <si>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</si>
  <si>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</si>
  <si>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</si>
  <si>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</si>
  <si>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</si>
  <si>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</si>
  <si>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</si>
  <si>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</si>
  <si>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</si>
  <si>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</si>
  <si>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</si>
  <si>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</si>
  <si>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</si>
  <si>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</si>
  <si>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</si>
  <si>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</si>
  <si>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</si>
  <si>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</si>
  <si>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</si>
  <si>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</si>
  <si>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</si>
  <si>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</si>
  <si>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</si>
  <si>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</si>
  <si>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</si>
  <si>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</si>
  <si>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</si>
  <si>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</si>
  <si>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</si>
  <si>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</si>
  <si>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</si>
  <si>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</si>
  <si>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</si>
  <si>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</si>
  <si>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</si>
  <si>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</si>
  <si>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</si>
  <si>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</si>
  <si>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</si>
  <si>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</si>
  <si>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</si>
  <si>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</si>
  <si>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</si>
  <si>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</si>
  <si>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</si>
  <si>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</si>
  <si>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</si>
  <si>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</si>
  <si>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</si>
  <si>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</si>
  <si>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</si>
  <si>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</si>
  <si>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</si>
  <si>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</si>
  <si>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</si>
  <si>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</si>
  <si>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</si>
  <si>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</si>
  <si>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</si>
  <si>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</si>
  <si>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</si>
  <si>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</si>
  <si>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</si>
  <si>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</si>
  <si>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</si>
  <si>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</si>
  <si>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</si>
  <si>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</si>
  <si>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</si>
  <si>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</si>
  <si>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</si>
  <si>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</si>
  <si>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</si>
  <si>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</si>
  <si>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</si>
  <si>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</si>
  <si>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</si>
  <si>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</si>
  <si>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</si>
  <si>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</si>
  <si>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</si>
  <si>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</si>
  <si>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</si>
  <si>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</si>
  <si>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</si>
  <si>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</si>
  <si>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</si>
  <si>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</si>
  <si>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</si>
  <si>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</si>
  <si>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</si>
  <si>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</si>
  <si>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</si>
  <si>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</si>
  <si>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</si>
  <si>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</si>
  <si>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</si>
  <si>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</si>
  <si>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</si>
  <si>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</si>
  <si>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</si>
  <si>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</si>
  <si>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</si>
  <si>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</si>
  <si>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</si>
  <si>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</si>
  <si>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</si>
  <si>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</si>
  <si>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</si>
  <si>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</si>
  <si>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</si>
  <si>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</si>
  <si>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</si>
  <si>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</si>
  <si>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</si>
  <si>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</si>
  <si>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</si>
  <si>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</si>
  <si>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</si>
  <si>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</si>
  <si>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</si>
  <si>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</si>
  <si>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</si>
  <si>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</si>
  <si>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</si>
  <si>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</si>
  <si>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</si>
  <si>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</si>
  <si>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</si>
  <si>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</si>
  <si>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</si>
  <si>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</si>
  <si>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</si>
  <si>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</si>
  <si>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</si>
  <si>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</si>
  <si>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</si>
  <si>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</si>
  <si>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</si>
  <si>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</si>
  <si>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</si>
  <si>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</si>
  <si>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</si>
  <si>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</si>
  <si>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</si>
  <si>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</si>
  <si>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</si>
  <si>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</si>
  <si>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</si>
  <si>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</si>
  <si>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</si>
  <si>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</si>
  <si>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</si>
  <si>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</si>
  <si>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</si>
  <si>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</si>
  <si>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</si>
  <si>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</si>
  <si>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</si>
  <si>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</si>
  <si>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</si>
  <si>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</si>
  <si>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</si>
  <si>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</si>
  <si>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</si>
  <si>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</si>
  <si>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</si>
  <si>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</si>
  <si>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</si>
  <si>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</si>
  <si>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</si>
  <si>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</si>
  <si>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</si>
  <si>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</si>
  <si>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</si>
  <si>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</si>
  <si>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</si>
  <si>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</si>
  <si>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</si>
  <si>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</si>
  <si>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</si>
  <si>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</si>
  <si>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</si>
  <si>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</si>
  <si>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</si>
  <si>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</si>
  <si>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</si>
  <si>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</si>
  <si>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</si>
  <si>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</si>
  <si>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</si>
  <si>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</si>
  <si>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</si>
  <si>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</si>
  <si>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</si>
  <si>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</si>
  <si>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</si>
  <si>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</si>
  <si>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</si>
  <si>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</si>
  <si>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</si>
  <si>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</si>
  <si>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</si>
  <si>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</si>
  <si>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</si>
  <si>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</si>
  <si>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</si>
  <si>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</si>
  <si>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</si>
  <si>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</si>
  <si>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</si>
  <si>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</si>
  <si>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</si>
  <si>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</si>
  <si>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</si>
  <si>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</si>
  <si>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</si>
  <si>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</si>
  <si>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</si>
  <si>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</si>
  <si>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</si>
  <si>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</si>
  <si>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</si>
  <si>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</si>
  <si>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</si>
  <si>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</si>
  <si>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</si>
  <si>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</si>
  <si>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</si>
  <si>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</si>
  <si>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</si>
  <si>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</si>
  <si>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</si>
  <si>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</si>
  <si>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</si>
  <si>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</si>
  <si>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</si>
  <si>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</si>
  <si>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</si>
  <si>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</si>
  <si>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</si>
  <si>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</si>
  <si>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</si>
  <si>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</si>
  <si>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</si>
  <si>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</si>
  <si>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</si>
  <si>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</si>
  <si>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</si>
  <si>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</si>
  <si>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</si>
  <si>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</si>
  <si>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</si>
  <si>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</si>
  <si>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</si>
  <si>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</si>
  <si>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</si>
  <si>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</si>
  <si>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</si>
  <si>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</si>
  <si>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</si>
  <si>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</si>
  <si>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</si>
  <si>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</si>
  <si>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</si>
  <si>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</si>
  <si>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</si>
  <si>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</si>
  <si>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</si>
  <si>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</si>
  <si>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</si>
  <si>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</si>
  <si>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</si>
  <si>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</si>
  <si>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</si>
  <si>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</si>
  <si>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</si>
  <si>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</si>
  <si>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</si>
  <si>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</si>
  <si>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</si>
  <si>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</si>
  <si>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</si>
  <si>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</si>
  <si>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</si>
  <si>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</si>
  <si>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</si>
  <si>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</si>
  <si>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</si>
  <si>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</si>
  <si>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</si>
  <si>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</si>
  <si>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</si>
  <si>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</si>
  <si>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</si>
  <si>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</si>
  <si>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</si>
  <si>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</si>
  <si>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</si>
  <si>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</si>
  <si>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</si>
  <si>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</si>
  <si>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</si>
  <si>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</si>
  <si>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</si>
  <si>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</si>
  <si>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</si>
  <si>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</si>
  <si>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</si>
  <si>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</si>
  <si>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</si>
  <si>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</si>
  <si>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</si>
  <si>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</si>
  <si>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</si>
  <si>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</si>
  <si>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</si>
  <si>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</si>
  <si>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</si>
  <si>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</si>
  <si>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</si>
  <si>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</si>
  <si>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</si>
  <si>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</si>
  <si>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</si>
  <si>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</si>
  <si>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</si>
  <si>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</si>
  <si>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</si>
  <si>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</si>
  <si>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</si>
  <si>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</si>
  <si>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</si>
  <si>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</si>
  <si>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</si>
  <si>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</si>
  <si>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</si>
  <si>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</si>
  <si>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</si>
  <si>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</si>
  <si>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</si>
  <si>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</si>
  <si>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</si>
  <si>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</si>
  <si>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</si>
  <si>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</si>
  <si>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</si>
  <si>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</si>
  <si>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</si>
  <si>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</si>
  <si>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</si>
  <si>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</si>
  <si>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</si>
  <si>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</si>
  <si>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</si>
  <si>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</si>
  <si>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</si>
  <si>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</si>
  <si>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</si>
  <si>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</si>
  <si>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</si>
  <si>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</si>
  <si>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</si>
  <si>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</si>
  <si>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</si>
  <si>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</si>
  <si>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</si>
  <si>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</si>
  <si>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</si>
  <si>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</si>
  <si>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</si>
  <si>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</si>
  <si>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</si>
  <si>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</si>
  <si>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</si>
  <si>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</si>
  <si>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</si>
  <si>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</si>
  <si>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</si>
  <si>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</si>
  <si>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</si>
  <si>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</si>
  <si>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</si>
  <si>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</si>
  <si>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</si>
  <si>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</si>
  <si>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</si>
  <si>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</si>
  <si>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</si>
  <si>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</si>
  <si>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</si>
  <si>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</si>
  <si>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</si>
  <si>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</si>
  <si>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</si>
  <si>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</si>
  <si>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</si>
  <si>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</si>
  <si>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</si>
  <si>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</si>
  <si>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</si>
  <si>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</si>
  <si>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</si>
  <si>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</si>
  <si>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</si>
  <si>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</si>
  <si>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</si>
  <si>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</si>
  <si>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</si>
  <si>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</si>
  <si>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</si>
  <si>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</si>
  <si>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</si>
  <si>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</si>
  <si>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</si>
  <si>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</si>
  <si>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</si>
  <si>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</si>
  <si>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</si>
  <si>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</si>
  <si>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</si>
  <si>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</si>
  <si>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</si>
  <si>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</si>
  <si>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</si>
  <si>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</si>
  <si>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</si>
  <si>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</si>
  <si>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</si>
  <si>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</si>
  <si>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</si>
  <si>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</si>
  <si>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楼栋</t>
  </si>
  <si>
    <t>房号</t>
  </si>
  <si>
    <t>建筑面积</t>
  </si>
  <si>
    <t>-3001</t>
  </si>
  <si>
    <t>-3002</t>
  </si>
  <si>
    <t>-3003</t>
  </si>
  <si>
    <t>-3004</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</si>
  <si>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</si>
  <si>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</si>
  <si>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</si>
  <si>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</si>
  <si>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</si>
  <si>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</si>
  <si>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</si>
  <si>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</si>
  <si>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</si>
  <si>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</si>
  <si>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</si>
  <si>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</si>
  <si>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</si>
  <si>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</si>
  <si>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</si>
  <si>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</si>
  <si>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</si>
  <si>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</si>
  <si>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</si>
  <si>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</si>
  <si>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</si>
  <si>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</si>
  <si>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</si>
  <si>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</si>
  <si>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</si>
  <si>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</si>
  <si>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</si>
  <si>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</si>
  <si>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</si>
  <si>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</si>
  <si>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</si>
  <si>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</si>
  <si>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</si>
  <si>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</si>
  <si>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</si>
  <si>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</si>
  <si>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</si>
  <si>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</si>
  <si>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</si>
  <si>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</si>
  <si>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</si>
  <si>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</si>
  <si>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</si>
  <si>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</si>
  <si>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</si>
  <si>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</si>
  <si>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</si>
  <si>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</si>
  <si>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</si>
  <si>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</si>
  <si>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</si>
  <si>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</si>
  <si>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</si>
  <si>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</si>
  <si>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</si>
  <si>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合计</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</si>
  <si>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</si>
  <si>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</si>
  <si>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</si>
  <si>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</si>
  <si>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</si>
  <si>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</si>
  <si>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</si>
  <si>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</si>
  <si>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</si>
  <si>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</si>
  <si>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</si>
  <si>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</si>
  <si>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</si>
  <si>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</si>
  <si>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</si>
  <si>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</si>
  <si>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</si>
  <si>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</si>
  <si>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</si>
  <si>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</si>
  <si>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</si>
  <si>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</si>
  <si>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</si>
  <si>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</si>
  <si>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</si>
  <si>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</si>
  <si>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</si>
  <si>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</si>
  <si>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</si>
  <si>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</si>
  <si>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</si>
  <si>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</si>
  <si>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</si>
  <si>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</si>
  <si>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</si>
  <si>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</si>
  <si>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</si>
  <si>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</si>
  <si>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</si>
  <si>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</si>
  <si>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</si>
  <si>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</si>
  <si>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</si>
  <si>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</si>
  <si>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</si>
  <si>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</si>
  <si>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</si>
  <si>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</si>
  <si>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</si>
  <si>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</si>
  <si>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</si>
  <si>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</si>
  <si>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</si>
  <si>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</si>
  <si>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</si>
  <si>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</si>
  <si>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</si>
  <si>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</si>
  <si>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</si>
  <si>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</si>
  <si>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</si>
  <si>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</si>
  <si>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</si>
  <si>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</si>
  <si>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</si>
  <si>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</si>
  <si>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</si>
  <si>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</si>
  <si>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</si>
  <si>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</si>
  <si>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</si>
  <si>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</si>
  <si>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</si>
  <si>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</si>
  <si>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</si>
  <si>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</si>
  <si>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</si>
  <si>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</si>
  <si>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</si>
  <si>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</si>
  <si>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</si>
  <si>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</si>
  <si>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</si>
  <si>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</si>
  <si>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</si>
  <si>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</si>
  <si>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</si>
  <si>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</si>
  <si>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</si>
  <si>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</si>
  <si>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</si>
  <si>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</si>
  <si>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</si>
  <si>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</si>
  <si>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</si>
  <si>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</si>
  <si>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</si>
  <si>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</si>
  <si>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</si>
  <si>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</si>
  <si>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</si>
  <si>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</si>
  <si>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</si>
  <si>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</si>
  <si>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</si>
  <si>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</si>
  <si>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</si>
  <si>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</si>
  <si>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</si>
  <si>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</si>
  <si>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</si>
  <si>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</si>
  <si>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</si>
  <si>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</si>
  <si>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</si>
  <si>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</si>
  <si>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</si>
  <si>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</si>
  <si>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</si>
  <si>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</si>
  <si>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</si>
  <si>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</si>
  <si>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</si>
  <si>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</si>
  <si>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</si>
  <si>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</si>
  <si>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</si>
  <si>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</si>
  <si>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</si>
  <si>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</si>
  <si>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</si>
  <si>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</si>
  <si>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</si>
  <si>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</si>
  <si>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</si>
  <si>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</si>
  <si>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</si>
  <si>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</si>
  <si>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</si>
  <si>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</si>
  <si>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</si>
  <si>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</si>
  <si>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</si>
  <si>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</si>
  <si>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</si>
  <si>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</si>
  <si>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</si>
  <si>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</si>
  <si>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</si>
  <si>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</si>
  <si>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</si>
  <si>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</si>
  <si>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</si>
  <si>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</si>
  <si>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</si>
  <si>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</si>
  <si>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</si>
  <si>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</si>
  <si>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</si>
  <si>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</si>
  <si>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</si>
  <si>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</si>
  <si>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</si>
  <si>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</si>
  <si>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</si>
  <si>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</si>
  <si>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</si>
  <si>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</si>
  <si>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</si>
  <si>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</si>
  <si>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</si>
  <si>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</si>
  <si>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</si>
  <si>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</si>
  <si>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</si>
  <si>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</si>
  <si>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</si>
  <si>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</si>
  <si>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</si>
  <si>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</si>
  <si>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</si>
  <si>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</si>
  <si>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</si>
  <si>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</si>
  <si>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</si>
  <si>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</si>
  <si>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</si>
  <si>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</si>
  <si>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</si>
  <si>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</si>
  <si>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</si>
  <si>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</si>
  <si>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</si>
  <si>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</si>
  <si>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</si>
  <si>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</si>
  <si>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</si>
  <si>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</si>
  <si>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</si>
  <si>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</si>
  <si>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</si>
  <si>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</si>
  <si>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</si>
  <si>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</si>
  <si>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</si>
  <si>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</si>
  <si>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</si>
  <si>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</si>
  <si>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</si>
  <si>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</si>
  <si>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</si>
  <si>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</si>
  <si>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</si>
  <si>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</si>
  <si>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</si>
  <si>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</si>
  <si>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</si>
  <si>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</si>
  <si>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</si>
  <si>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</si>
  <si>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</si>
  <si>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</si>
  <si>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</si>
  <si>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</si>
  <si>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</si>
  <si>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</si>
  <si>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</si>
  <si>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</si>
  <si>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</si>
  <si>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</si>
  <si>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</si>
  <si>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</si>
  <si>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</si>
  <si>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</si>
  <si>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</si>
  <si>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</si>
  <si>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</si>
  <si>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</si>
  <si>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</si>
  <si>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</si>
  <si>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</si>
  <si>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</si>
  <si>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</si>
  <si>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</si>
  <si>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</si>
  <si>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</si>
  <si>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</si>
  <si>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</si>
  <si>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</si>
  <si>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</si>
  <si>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</si>
  <si>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</si>
  <si>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</si>
  <si>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</si>
  <si>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</si>
  <si>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</si>
  <si>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</si>
  <si>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</si>
  <si>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</si>
  <si>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</si>
  <si>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</si>
  <si>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</si>
  <si>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评估值</t>
  </si>
  <si>
    <t>评估值</t>
    <phoneticPr fontId="143" type="noConversion"/>
  </si>
  <si>
    <t>办公</t>
    <phoneticPr fontId="143" type="noConversion"/>
  </si>
  <si>
    <t>车库</t>
    <phoneticPr fontId="143" type="noConversion"/>
  </si>
  <si>
    <t>总评估值</t>
    <phoneticPr fontId="143" type="noConversion"/>
  </si>
  <si>
    <t>去掉最后一套</t>
    <phoneticPr fontId="143" type="noConversion"/>
  </si>
  <si>
    <t>一层商业单价</t>
    <phoneticPr fontId="143" type="noConversion"/>
  </si>
  <si>
    <t>地下商业单价</t>
    <phoneticPr fontId="143" type="noConversion"/>
  </si>
  <si>
    <t>大兴区新源大街25号院4号楼和3号楼抵押物清单</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</si>
  <si>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</si>
  <si>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</si>
  <si>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</si>
  <si>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</si>
  <si>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</si>
  <si>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</si>
  <si>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</si>
  <si>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</si>
  <si>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</si>
  <si>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</si>
  <si>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</si>
  <si>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</si>
  <si>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</si>
  <si>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</si>
  <si>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</si>
  <si>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</si>
  <si>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</si>
  <si>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</si>
  <si>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</si>
  <si>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</si>
  <si>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</si>
  <si>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</si>
  <si>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</si>
  <si>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</si>
  <si>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</si>
  <si>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</si>
  <si>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</si>
  <si>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</si>
  <si>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</si>
  <si>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</si>
  <si>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</si>
  <si>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</si>
  <si>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</si>
  <si>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</si>
  <si>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</si>
  <si>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</si>
  <si>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</si>
  <si>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</si>
  <si>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</si>
  <si>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</si>
  <si>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</si>
  <si>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</si>
  <si>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</si>
  <si>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</si>
  <si>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大兴区新源大街25号院27幢抵押物清单</t>
    <phoneticPr fontId="143" type="noConversion"/>
  </si>
  <si>
    <t>27幢</t>
  </si>
  <si>
    <t>-</t>
    <phoneticPr fontId="143" type="noConversion"/>
  </si>
  <si>
    <t>大兴区新源大街25号院1号楼、2号楼、13号楼抵押物清单</t>
    <phoneticPr fontId="143" type="noConversion"/>
  </si>
  <si>
    <t>2号楼</t>
  </si>
  <si>
    <t>商业</t>
    <phoneticPr fontId="143" type="noConversion"/>
  </si>
  <si>
    <t>商业</t>
    <phoneticPr fontId="143" type="noConversion"/>
  </si>
  <si>
    <t>合计</t>
    <phoneticPr fontId="143" type="noConversion"/>
  </si>
  <si>
    <t>1号楼</t>
  </si>
  <si>
    <t>13号楼</t>
  </si>
  <si>
    <t>商业</t>
    <phoneticPr fontId="143" type="noConversion"/>
  </si>
  <si>
    <t>总计</t>
    <phoneticPr fontId="143" type="noConversion"/>
  </si>
  <si>
    <t>-</t>
    <phoneticPr fontId="143" type="noConversion"/>
  </si>
  <si>
    <t>大兴区新源大街25号院26幢抵押物清单</t>
    <phoneticPr fontId="143" type="noConversion"/>
  </si>
  <si>
    <t>26幢</t>
  </si>
  <si>
    <t>-2995</t>
  </si>
  <si>
    <t>-2996</t>
  </si>
  <si>
    <t>-2997</t>
  </si>
  <si>
    <t>-2998</t>
  </si>
  <si>
    <t>-2999</t>
  </si>
  <si>
    <t>-3000</t>
  </si>
  <si>
    <t>合计</t>
    <phoneticPr fontId="143" type="noConversion"/>
  </si>
  <si>
    <r>
      <t>单价（元</t>
    </r>
    <r>
      <rPr>
        <b/>
        <sz val="9"/>
        <color rgb="FF000000"/>
        <rFont val="Arial"/>
        <family val="2"/>
      </rPr>
      <t>/</t>
    </r>
    <r>
      <rPr>
        <b/>
        <sz val="9"/>
        <color rgb="FF000000"/>
        <rFont val="华文细黑"/>
        <family val="3"/>
        <charset val="134"/>
      </rPr>
      <t>平方米）</t>
    </r>
  </si>
  <si>
    <t>建筑面积（平方米）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</si>
</sst>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b/>
      <sz val="9"/>
      <color rgb="FF000000"/>
      <name val="华文细黑"/>
      <family val="3"/>
      <charset val="134"/>
    </font>
    <font>
      <b/>
      <sz val="9"/>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100" fillId="17" borderId="1" xfId="3" applyNumberFormat="1" applyFont="1" applyFill="1" applyBorder="1" applyAlignment="1">
      <alignment horizontal="center" vertical="center" wrapTex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0" fillId="9" borderId="0" xfId="0" applyFill="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9" borderId="1" xfId="0" applyNumberFormat="1" applyFont="1" applyFill="1" applyBorder="1" applyAlignment="1">
      <alignment horizontal="center" vertical="center" wrapText="1"/>
    </xf>
    <xf numFmtId="0" fontId="47" fillId="18" borderId="23" xfId="0" applyFont="1" applyFill="1" applyBorder="1" applyAlignment="1" applyProtection="1">
      <alignment vertical="center"/>
      <protection locked="0"/>
    </xf>
    <xf numFmtId="179" fontId="0" fillId="0" borderId="0" xfId="0" applyNumberFormat="1" applyAlignment="1"/>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100" fillId="0" borderId="1" xfId="0" applyFont="1" applyBorder="1" applyAlignment="1">
      <alignment horizontal="center"/>
    </xf>
    <xf numFmtId="0" fontId="99" fillId="0"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0" borderId="1" xfId="0" applyFont="1" applyBorder="1" applyAlignment="1">
      <alignment horizontal="center"/>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99" fillId="7" borderId="1" xfId="0" applyFont="1" applyFill="1" applyBorder="1" applyAlignment="1">
      <alignment horizontal="center" vertical="center"/>
    </xf>
    <xf numFmtId="0" fontId="100" fillId="5" borderId="1" xfId="0" applyFont="1" applyFill="1" applyBorder="1" applyAlignment="1">
      <alignment horizont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82" xfId="0" applyFont="1" applyBorder="1" applyAlignment="1">
      <alignment horizontal="justify" vertical="center" wrapText="1"/>
    </xf>
    <xf numFmtId="0" fontId="255" fillId="0" borderId="65" xfId="0" applyFont="1" applyBorder="1" applyAlignment="1">
      <alignment horizontal="justify" vertical="center" wrapText="1"/>
    </xf>
    <xf numFmtId="0" fontId="257" fillId="0" borderId="82" xfId="0" applyFont="1" applyBorder="1" applyAlignment="1">
      <alignment horizontal="justify" vertical="center" wrapText="1"/>
    </xf>
    <xf numFmtId="0" fontId="257" fillId="0" borderId="65" xfId="0" applyFont="1" applyBorder="1" applyAlignment="1">
      <alignment horizontal="justify"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1219</v>
      </c>
      <c r="B1" s="1581" t="s">
        <v>1298</v>
      </c>
    </row>
    <row r="2" spans="1:2" s="1586" customFormat="1" ht="16.2"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6.2" thickBot="1">
      <c r="A5" s="1590" t="s">
        <v>1223</v>
      </c>
      <c r="B5" s="1591" t="str">
        <f>'预评函-封皮'!B49</f>
        <v>康正预评字号</v>
      </c>
    </row>
    <row r="6" spans="1:2" s="1586" customFormat="1" ht="16.2"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估价对象为北京市大兴区黄村镇房地产，为所有。根据《国有土地使用证》，估价对象（分摊）出让国有建设用地使用权面积为4737.35平方米，建筑面积为27944.31平方米。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估价对象为北京市大兴区黄村镇房地产,属开发建设的，该项目尚在开发建设中。根据《国有土地使用证》，估价对象（分摊）出让国有建设用地使用权面积为4737.35平方米，规划建筑面积为27944.31平方米。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2018年5月7日（评估专业人员实地查勘之日）</v>
      </c>
    </row>
    <row r="13" spans="1:2" s="1589" customFormat="1">
      <c r="A13" s="1587" t="s">
        <v>1227</v>
      </c>
      <c r="B13" s="1588" t="str">
        <f>'预评函-1'!A18</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6.2" thickBot="1">
      <c r="A18" s="1590" t="s">
        <v>1232</v>
      </c>
      <c r="B18" s="1591" t="str">
        <f>'预评函-1'!A24</f>
        <v>本次评估采用的主估价方法为成本法和收益法。</v>
      </c>
    </row>
    <row r="19" spans="1:2" s="1586" customFormat="1" ht="16.2"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100361</v>
      </c>
    </row>
    <row r="21" spans="1:2" s="1589" customFormat="1">
      <c r="A21" s="1587" t="s">
        <v>1235</v>
      </c>
      <c r="B21" s="1588">
        <f ca="1">'预评函-2'!D7</f>
        <v>43927</v>
      </c>
    </row>
    <row r="22" spans="1:2" s="1589" customFormat="1">
      <c r="A22" s="1587" t="s">
        <v>1236</v>
      </c>
      <c r="B22" s="1588" t="str">
        <f ca="1">'预评函-2'!D6</f>
        <v>壹拾亿零叁佰陆拾壹万元整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100361</v>
      </c>
    </row>
    <row r="35" spans="1:2" s="1589" customFormat="1">
      <c r="A35" s="1587" t="s">
        <v>1275</v>
      </c>
      <c r="B35" s="1588">
        <f ca="1">'预评函-2'!D18</f>
        <v>35915</v>
      </c>
    </row>
    <row r="36" spans="1:2" s="1589" customFormat="1">
      <c r="A36" s="1587" t="s">
        <v>1242</v>
      </c>
      <c r="B36" s="1588" t="str">
        <f ca="1">'预评函-2'!D17</f>
        <v>壹拾亿零叁佰陆拾壹万元整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ht="31.2">
      <c r="A42" s="1587" t="s">
        <v>1288</v>
      </c>
      <c r="B42" s="1588" t="str">
        <f>'预评函-3'!B2</f>
        <v>建筑面积</v>
      </c>
    </row>
    <row r="43" spans="1:2" s="1589" customFormat="1">
      <c r="A43" s="1587" t="s">
        <v>1289</v>
      </c>
      <c r="B43" s="1588">
        <f>'预评函-3'!B4</f>
        <v>27944.309999999998</v>
      </c>
    </row>
    <row r="44" spans="1:2" s="1589" customFormat="1" ht="31.2">
      <c r="A44" s="1587" t="s">
        <v>1273</v>
      </c>
      <c r="B44" s="1588" t="str">
        <f>'预评函-3'!C2</f>
        <v>(分摊)土地面积</v>
      </c>
    </row>
    <row r="45" spans="1:2" s="1589" customFormat="1">
      <c r="A45" s="1587" t="s">
        <v>1245</v>
      </c>
      <c r="B45" s="1588">
        <f>'预评函-3'!C4</f>
        <v>4737.3500000000004</v>
      </c>
    </row>
    <row r="46" spans="1:2" s="1589" customFormat="1">
      <c r="A46" s="1587" t="s">
        <v>1271</v>
      </c>
      <c r="B46" s="1588" t="str">
        <f>'预评函-3'!D2</f>
        <v>出让国有建设用地使用权价值</v>
      </c>
    </row>
    <row r="47" spans="1:2" s="1589" customFormat="1">
      <c r="A47" s="1587" t="s">
        <v>1246</v>
      </c>
      <c r="B47" s="1588">
        <f ca="1">'预评函-3'!D4</f>
        <v>86511</v>
      </c>
    </row>
    <row r="48" spans="1:2" s="1589" customFormat="1">
      <c r="A48" s="1587" t="s">
        <v>1247</v>
      </c>
      <c r="B48" s="1588">
        <f ca="1">'预评函-3'!E4</f>
        <v>37865</v>
      </c>
    </row>
    <row r="49" spans="1:2" s="1589" customFormat="1">
      <c r="A49" s="1587" t="s">
        <v>1248</v>
      </c>
      <c r="B49" s="1588" t="str">
        <f ca="1">'预评函-3'!D5</f>
        <v>捌亿陆仟伍佰壹拾壹万元整</v>
      </c>
    </row>
    <row r="50" spans="1:2" s="1589" customFormat="1">
      <c r="A50" s="1587" t="s">
        <v>1272</v>
      </c>
      <c r="B50" s="1588" t="str">
        <f>'预评函-3'!F2</f>
        <v>在建建筑物价值</v>
      </c>
    </row>
    <row r="51" spans="1:2" s="1589" customFormat="1">
      <c r="A51" s="1587" t="s">
        <v>1249</v>
      </c>
      <c r="B51" s="1588">
        <f ca="1">'预评函-3'!F4</f>
        <v>13850</v>
      </c>
    </row>
    <row r="52" spans="1:2" s="1589" customFormat="1">
      <c r="A52" s="1587" t="s">
        <v>1250</v>
      </c>
      <c r="B52" s="1588">
        <f ca="1">'预评函-3'!G4</f>
        <v>6062</v>
      </c>
    </row>
    <row r="53" spans="1:2" s="1589" customFormat="1">
      <c r="A53" s="1587" t="s">
        <v>1278</v>
      </c>
      <c r="B53" s="1588" t="str">
        <f ca="1">'预评函-3'!F5</f>
        <v>壹亿叁仟捌佰伍拾万元整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6.2" thickBot="1">
      <c r="A57" s="1590" t="s">
        <v>1297</v>
      </c>
      <c r="B57" s="1591" t="str">
        <f>'预评函-3'!A6</f>
        <v>估价师知悉的法定优先受偿款</v>
      </c>
    </row>
    <row r="58" spans="1:2" s="1586" customFormat="1" ht="16.2"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6.2" thickBot="1">
      <c r="A69" s="1590" t="s">
        <v>1259</v>
      </c>
      <c r="B69" s="1592">
        <f>'预评函-4'!C31</f>
        <v>42551</v>
      </c>
    </row>
    <row r="70" spans="1:2" ht="16.2"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6.2" thickBot="1">
      <c r="A73" s="1590" t="s">
        <v>1263</v>
      </c>
      <c r="B73" s="1591">
        <f ca="1">'预评函-4'!B5</f>
        <v>1119970066</v>
      </c>
    </row>
    <row r="74" spans="1:2" ht="16.2"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20" customWidth="1"/>
    <col min="2" max="2" width="23.21875" style="1971" customWidth="1"/>
    <col min="3" max="3" width="13" style="2015" hidden="1" customWidth="1"/>
    <col min="4" max="4" width="5.77734375" style="2012" hidden="1" customWidth="1"/>
    <col min="5" max="5" width="7.109375" style="2012" hidden="1" customWidth="1"/>
    <col min="6" max="6" width="10.6640625" style="2012" hidden="1" customWidth="1"/>
    <col min="7" max="7" width="7.44140625" style="2012" hidden="1" customWidth="1"/>
    <col min="8" max="8" width="9" style="2015" hidden="1" customWidth="1"/>
    <col min="9" max="9" width="11.6640625" style="2015" hidden="1" customWidth="1"/>
    <col min="10" max="10" width="9" style="2015" hidden="1" customWidth="1"/>
    <col min="11" max="19" width="9" style="2012" hidden="1" customWidth="1"/>
    <col min="20" max="22" width="9" style="2015" hidden="1" customWidth="1"/>
    <col min="23" max="23" width="9" style="2015" customWidth="1"/>
    <col min="24" max="24" width="21.109375" style="1971" customWidth="1"/>
    <col min="25" max="16384" width="9" style="1971"/>
  </cols>
  <sheetData>
    <row r="1" spans="1:23" s="2009" customFormat="1" ht="28.8">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3372</v>
      </c>
      <c r="C17" s="2011"/>
    </row>
    <row r="18" spans="1:3">
      <c r="A18" s="2010" t="s">
        <v>1767</v>
      </c>
      <c r="B18" s="2010" t="s">
        <v>3374</v>
      </c>
      <c r="C18" s="2011"/>
    </row>
    <row r="19" spans="1:3">
      <c r="A19" s="2010" t="s">
        <v>1768</v>
      </c>
      <c r="B19" s="2010"/>
      <c r="C19" s="2011"/>
    </row>
    <row r="20" spans="1:3">
      <c r="A20" s="2010" t="s">
        <v>1769</v>
      </c>
      <c r="B20" s="2010" t="s">
        <v>3378</v>
      </c>
      <c r="C20" s="2011"/>
    </row>
    <row r="21" spans="1:3">
      <c r="A21" s="2010" t="s">
        <v>1770</v>
      </c>
      <c r="B21" s="2010" t="s">
        <v>3380</v>
      </c>
      <c r="C21" s="2011"/>
    </row>
    <row r="22" spans="1:3">
      <c r="A22" s="2010" t="s">
        <v>1771</v>
      </c>
      <c r="B22" s="2010" t="s">
        <v>3382</v>
      </c>
      <c r="C22" s="2011"/>
    </row>
    <row r="23" spans="1:3">
      <c r="A23" s="2010" t="s">
        <v>1772</v>
      </c>
      <c r="B23" s="2010" t="s">
        <v>3376</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76"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76"/>
      <c r="B54" s="2018" t="s">
        <v>864</v>
      </c>
      <c r="C54" s="2015" t="s">
        <v>1281</v>
      </c>
    </row>
    <row r="55" spans="1:4">
      <c r="A55" s="3076"/>
      <c r="B55" s="2018" t="s">
        <v>865</v>
      </c>
      <c r="C55" s="2015" t="s">
        <v>1282</v>
      </c>
    </row>
    <row r="56" spans="1:4">
      <c r="A56" s="3076"/>
      <c r="B56" s="2018" t="s">
        <v>866</v>
      </c>
      <c r="C56" s="2015" t="s">
        <v>1286</v>
      </c>
    </row>
    <row r="57" spans="1:4">
      <c r="A57" s="3076"/>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85" t="str">
        <f>IF(B10="北京市","北京市",C10)&amp;F10&amp;IF('结果表（办公）'!G1="在建","出让国有建设用地使用权及在建建筑物",IF('结果表（办公）'!G1="土地","出让国有建设用地使用权",))&amp;B9&amp;"预评估"</f>
        <v>北京市大兴区黄村镇房地产抵押价值预评估</v>
      </c>
      <c r="C1" s="3086"/>
      <c r="D1" s="3086"/>
      <c r="E1" s="3086"/>
      <c r="F1" s="3086"/>
      <c r="G1" s="3086"/>
      <c r="H1" s="3086"/>
      <c r="I1" s="3087"/>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43227</v>
      </c>
      <c r="C3" s="2033" t="s">
        <v>1779</v>
      </c>
      <c r="D3" s="2032">
        <f>B3</f>
        <v>43227</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3390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088"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089"/>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36.07</v>
      </c>
      <c r="F15" s="1045">
        <f>IF(B12="出让",IF(F13="","",ROUNDDOWN(MIN((F13-$D$3)/365,F14),2)),F14)</f>
        <v>46.08</v>
      </c>
      <c r="G15" s="1045">
        <f>IF(B12="出让",IF(G13="","",ROUNDDOWN(MIN((G13-$D$3)/365,G14),2)),G14)</f>
        <v>46.08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95" t="s">
        <v>3064</v>
      </c>
      <c r="C16" s="3096"/>
      <c r="D16" s="3097"/>
      <c r="E16" s="2078" t="s">
        <v>1802</v>
      </c>
      <c r="F16" s="3098"/>
      <c r="G16" s="3099"/>
      <c r="H16" s="3099"/>
      <c r="I16" s="3100"/>
      <c r="J16" s="2025"/>
      <c r="K16" s="2075"/>
      <c r="L16" s="2076"/>
      <c r="M16" s="2076"/>
      <c r="N16" s="2077"/>
      <c r="O16" s="2076"/>
      <c r="P16" s="2077"/>
      <c r="Q16" s="2025"/>
      <c r="R16" s="2025"/>
    </row>
    <row r="17" spans="1:22" ht="18" customHeight="1">
      <c r="A17" s="2079" t="s">
        <v>1803</v>
      </c>
      <c r="B17" s="2031" t="s">
        <v>1804</v>
      </c>
      <c r="C17" s="1050">
        <f>'数据-汇总表'!E3</f>
        <v>27944.309999999998</v>
      </c>
      <c r="D17" s="2080" t="s">
        <v>1805</v>
      </c>
      <c r="E17" s="3101" t="s">
        <v>3065</v>
      </c>
      <c r="F17" s="3102"/>
      <c r="G17" s="3102"/>
      <c r="H17" s="3102"/>
      <c r="I17" s="3103"/>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4737.3500000000004</v>
      </c>
      <c r="D18" s="2083" t="s">
        <v>1805</v>
      </c>
      <c r="E18" s="3104" t="s">
        <v>3066</v>
      </c>
      <c r="F18" s="3105"/>
      <c r="G18" s="3105"/>
      <c r="H18" s="3105"/>
      <c r="I18" s="3106"/>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91" t="s">
        <v>1812</v>
      </c>
      <c r="C20" s="3092"/>
      <c r="D20" s="3093" t="s">
        <v>1813</v>
      </c>
      <c r="E20" s="3094"/>
      <c r="F20" s="2090" t="s">
        <v>1814</v>
      </c>
      <c r="G20" s="2038"/>
      <c r="H20" s="2038"/>
      <c r="I20" s="2038"/>
      <c r="J20" s="2038"/>
      <c r="K20" s="3090"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09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090"/>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078"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78"/>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78"/>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79"/>
      <c r="B30" s="2031" t="s">
        <v>1831</v>
      </c>
      <c r="C30" s="3080"/>
      <c r="D30" s="3081"/>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2"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83"/>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083"/>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077" t="s">
        <v>1841</v>
      </c>
      <c r="T34" s="2127" t="str">
        <f>NUMBERSTRING(7-K34,1)&amp;"通"</f>
        <v>七通</v>
      </c>
      <c r="U34" s="2025"/>
      <c r="V34" s="2025"/>
    </row>
    <row r="35" spans="1:22" ht="18" customHeight="1">
      <c r="A35" s="2128"/>
      <c r="B35" s="3084" t="s">
        <v>1842</v>
      </c>
      <c r="C35" s="3084"/>
      <c r="D35" s="3084"/>
      <c r="E35" s="3084"/>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7"/>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78" t="s">
        <v>528</v>
      </c>
      <c r="C37" s="2978"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79" t="s">
        <v>3281</v>
      </c>
      <c r="C38" s="2979" t="s">
        <v>3281</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2983">
        <f>3128.08+1319.68+289.59</f>
        <v>4737.3500000000004</v>
      </c>
      <c r="B3" s="13">
        <f>IF(C3="否",G5-AT5,G5)</f>
        <v>27944.309999999998</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4" t="s">
        <v>1878</v>
      </c>
      <c r="B5" s="1799"/>
      <c r="C5" s="1799"/>
      <c r="D5" s="1802"/>
      <c r="E5" s="15" t="s">
        <v>1</v>
      </c>
      <c r="F5" s="15">
        <f>SUM(F13:F587)</f>
        <v>0</v>
      </c>
      <c r="G5" s="15">
        <f>SUM(G13:G587)</f>
        <v>27944.309999999998</v>
      </c>
      <c r="H5" s="15">
        <f t="shared" ref="H5:AT5" si="0">SUM(H13:H656)</f>
        <v>27944.309999999998</v>
      </c>
      <c r="I5" s="15">
        <f t="shared" si="0"/>
        <v>22847.11</v>
      </c>
      <c r="J5" s="15">
        <f t="shared" si="0"/>
        <v>0</v>
      </c>
      <c r="K5" s="15">
        <f t="shared" si="0"/>
        <v>546.51</v>
      </c>
      <c r="L5" s="15">
        <f t="shared" si="0"/>
        <v>0</v>
      </c>
      <c r="M5" s="15">
        <f t="shared" si="0"/>
        <v>4184.2899999999991</v>
      </c>
      <c r="N5" s="15">
        <f t="shared" si="0"/>
        <v>0</v>
      </c>
      <c r="O5" s="15">
        <f t="shared" si="0"/>
        <v>366.40000000000009</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27944.309999999998</v>
      </c>
      <c r="BA5" s="17">
        <f t="shared" si="1"/>
        <v>27944.309999999998</v>
      </c>
      <c r="BB5" s="17">
        <f t="shared" si="1"/>
        <v>22847.11</v>
      </c>
      <c r="BC5" s="17">
        <f t="shared" si="1"/>
        <v>546.51</v>
      </c>
      <c r="BD5" s="17">
        <f t="shared" si="1"/>
        <v>4184.2899999999991</v>
      </c>
      <c r="BE5" s="17">
        <f t="shared" si="1"/>
        <v>366.40000000000009</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3.2">
      <c r="A6" s="14" t="s">
        <v>1879</v>
      </c>
      <c r="B6" s="2167"/>
      <c r="C6" s="2167"/>
      <c r="D6" s="2168"/>
      <c r="E6" s="15">
        <f>H6+AC6+AT6</f>
        <v>4737.3599999999997</v>
      </c>
      <c r="F6" s="15" t="s">
        <v>1</v>
      </c>
      <c r="G6" s="15" t="s">
        <v>2</v>
      </c>
      <c r="H6" s="19">
        <f>SUMIF(I$12:AB$12,"总值",I6:AB6)</f>
        <v>4737.3599999999997</v>
      </c>
      <c r="I6" s="15">
        <f t="shared" ref="I6:AB6" si="2">ROUND($A$3*I5/$B$3,2)</f>
        <v>3873.23</v>
      </c>
      <c r="J6" s="15">
        <f t="shared" si="2"/>
        <v>0</v>
      </c>
      <c r="K6" s="15">
        <f t="shared" si="2"/>
        <v>92.65</v>
      </c>
      <c r="L6" s="15">
        <f t="shared" si="2"/>
        <v>0</v>
      </c>
      <c r="M6" s="15">
        <f t="shared" si="2"/>
        <v>709.36</v>
      </c>
      <c r="N6" s="15">
        <f t="shared" si="2"/>
        <v>0</v>
      </c>
      <c r="O6" s="15">
        <f t="shared" si="2"/>
        <v>62.12</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4737.3500000000004</v>
      </c>
      <c r="AZ6" s="15" t="s">
        <v>3</v>
      </c>
      <c r="BA6" s="15">
        <f>ROUND($AY$6*BA5/$AZ$5,2)</f>
        <v>4737.3500000000004</v>
      </c>
      <c r="BB6" s="15">
        <f>ROUND($AY$6*BB5/$AZ$5,2)</f>
        <v>3873.23</v>
      </c>
      <c r="BC6" s="15">
        <f t="shared" ref="BC6:BH6" si="4">ROUND($AY$6*BC5/$AZ$5,2)</f>
        <v>92.65</v>
      </c>
      <c r="BD6" s="15">
        <f t="shared" si="4"/>
        <v>709.36</v>
      </c>
      <c r="BE6" s="15">
        <f t="shared" si="4"/>
        <v>62.12</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5.2">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3.2">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3.2">
      <c r="A10" s="2175"/>
      <c r="B10" s="2175"/>
      <c r="C10" s="2175"/>
      <c r="D10" s="2175"/>
      <c r="E10" s="2175"/>
      <c r="F10" s="2175"/>
      <c r="G10" s="1288"/>
      <c r="H10" s="27"/>
      <c r="I10" s="2184" t="s">
        <v>27</v>
      </c>
      <c r="J10" s="977"/>
      <c r="K10" s="2190" t="s">
        <v>1377</v>
      </c>
      <c r="L10" s="977"/>
      <c r="M10" s="2190" t="s">
        <v>3310</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3.2">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3.2">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3.2">
      <c r="A13" s="1268"/>
      <c r="B13" s="1268"/>
      <c r="C13" s="1268"/>
      <c r="D13" s="2206" t="s">
        <v>3045</v>
      </c>
      <c r="E13" s="15">
        <f>IF($C$3="是",ROUND($A$3*G13/$B$3,2),ROUND($A$3*(G13-AT13)/$B$3,2))</f>
        <v>4737.3500000000004</v>
      </c>
      <c r="F13" s="31"/>
      <c r="G13" s="32">
        <f>H13+AC13+AT13</f>
        <v>27944.309999999998</v>
      </c>
      <c r="H13" s="19">
        <f>SUMIF(I$12:AB$12,"总值",I13:AB13)</f>
        <v>27944.309999999998</v>
      </c>
      <c r="I13" s="2207">
        <f>面积表!J4</f>
        <v>22847.11</v>
      </c>
      <c r="J13" s="2207"/>
      <c r="K13" s="2207">
        <f>面积表!C124+面积表!C285</f>
        <v>546.51</v>
      </c>
      <c r="L13" s="2207"/>
      <c r="M13" s="2207">
        <f>面积表!L4</f>
        <v>4184.2899999999991</v>
      </c>
      <c r="N13" s="2207"/>
      <c r="O13" s="2207">
        <f>面积表!K4-K13</f>
        <v>366.40000000000009</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4737.3500000000004</v>
      </c>
      <c r="AZ13" s="15">
        <f>BA13+BL13</f>
        <v>27944.309999999998</v>
      </c>
      <c r="BA13" s="15">
        <f>SUM(BB13:BK13)</f>
        <v>27944.309999999998</v>
      </c>
      <c r="BB13" s="15">
        <f>IF($D13="是",I13-J13,0)</f>
        <v>22847.11</v>
      </c>
      <c r="BC13" s="15">
        <f>IF($D13="是",K13-L13,0)</f>
        <v>546.51</v>
      </c>
      <c r="BD13" s="15">
        <f>IF($D13="是",M13-N13,0)</f>
        <v>4184.2899999999991</v>
      </c>
      <c r="BE13" s="15">
        <f>IF($D13="是",O13-P13,0)</f>
        <v>366.40000000000009</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3.2">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3.2">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3.2">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3.2">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46.8">
      <c r="A3" s="3107"/>
      <c r="B3" s="3107"/>
      <c r="C3" s="3107"/>
      <c r="D3" s="3108"/>
      <c r="E3" s="310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Normal="100" zoomScaleSheetLayoutView="100" workbookViewId="0">
      <selection activeCell="H30" sqref="H30"/>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1937</v>
      </c>
      <c r="B1" s="1388"/>
      <c r="C1" s="1388"/>
      <c r="D1" s="1388"/>
      <c r="E1" s="1388"/>
      <c r="F1" s="1388"/>
      <c r="G1" s="1388"/>
      <c r="H1" s="1388"/>
      <c r="I1" s="1388"/>
      <c r="J1" s="1388"/>
      <c r="K1" s="1388"/>
      <c r="L1" s="1388"/>
      <c r="M1" s="1388"/>
      <c r="N1" s="1388"/>
      <c r="O1" s="1388"/>
      <c r="P1" s="1388"/>
    </row>
    <row r="2" spans="1:16" ht="14.4">
      <c r="A2" s="3118" t="s">
        <v>1938</v>
      </c>
      <c r="B2" s="3118"/>
      <c r="C2" s="3118"/>
      <c r="D2" s="963" t="s">
        <v>1914</v>
      </c>
      <c r="E2" s="2220" t="s">
        <v>1915</v>
      </c>
      <c r="F2" s="1388"/>
      <c r="G2" s="2221"/>
      <c r="H2" s="2222"/>
      <c r="I2" s="2223" t="s">
        <v>1939</v>
      </c>
      <c r="J2" s="1388"/>
      <c r="K2" s="1388"/>
      <c r="L2" s="1388"/>
      <c r="M2" s="1388"/>
      <c r="N2" s="1423"/>
      <c r="O2" s="1388"/>
      <c r="P2" s="1388"/>
    </row>
    <row r="3" spans="1:16" ht="15" thickBot="1">
      <c r="A3" s="3119" t="s">
        <v>1912</v>
      </c>
      <c r="B3" s="3119"/>
      <c r="C3" s="3119"/>
      <c r="D3" s="45">
        <f>'数据-基础表'!AY6</f>
        <v>4737.3500000000004</v>
      </c>
      <c r="E3" s="45">
        <f>'数据-基础表'!AZ5</f>
        <v>27944.309999999998</v>
      </c>
      <c r="F3" s="1388"/>
      <c r="G3" s="1395"/>
      <c r="H3" s="1243" t="s">
        <v>1913</v>
      </c>
      <c r="I3" s="54">
        <f>ROUND('数据-基础表'!B3/'数据-基础表'!A3,2)</f>
        <v>5.9</v>
      </c>
      <c r="J3" s="1388"/>
      <c r="K3" s="1388"/>
      <c r="L3" s="1388"/>
      <c r="M3" s="1388"/>
      <c r="N3" s="1423"/>
      <c r="O3" s="1388"/>
      <c r="P3" s="1388"/>
    </row>
    <row r="4" spans="1:16" ht="14.4">
      <c r="A4" s="3120"/>
      <c r="B4" s="3121"/>
      <c r="C4" s="3122"/>
      <c r="D4" s="2224" t="s">
        <v>1914</v>
      </c>
      <c r="E4" s="2225" t="s">
        <v>1915</v>
      </c>
      <c r="F4" s="1388"/>
      <c r="G4" s="2226" t="s">
        <v>1940</v>
      </c>
      <c r="H4" s="1243" t="s">
        <v>1920</v>
      </c>
      <c r="I4" s="54">
        <f>ROUND(SUMIF('数据-基础表'!I9:AS9,"地上",'数据-基础表'!I5:AS5)/'数据-基础表'!A3,2)</f>
        <v>4.9000000000000004</v>
      </c>
      <c r="J4" s="1388"/>
      <c r="K4" s="1388"/>
      <c r="L4" s="1388"/>
      <c r="M4" s="1388"/>
      <c r="N4" s="1423"/>
      <c r="O4" s="1388"/>
      <c r="P4" s="1388"/>
    </row>
    <row r="5" spans="1:16" ht="14.4">
      <c r="A5" s="46" t="s">
        <v>1916</v>
      </c>
      <c r="B5" s="3123" t="s">
        <v>1917</v>
      </c>
      <c r="C5" s="3123"/>
      <c r="D5" s="47">
        <f>ROUND($D$3*E5/$E$3,2)</f>
        <v>0</v>
      </c>
      <c r="E5" s="48">
        <f>SUMIF('数据-基础表'!$11:$11,"住宅",'数据-基础表'!$5:$5)</f>
        <v>0</v>
      </c>
      <c r="F5" s="1388"/>
      <c r="G5" s="1395"/>
      <c r="H5" s="1243" t="s">
        <v>1913</v>
      </c>
      <c r="I5" s="54">
        <f>ROUND(E31/D31,2)</f>
        <v>5.9</v>
      </c>
      <c r="J5" s="1388"/>
      <c r="K5" s="1388"/>
      <c r="L5" s="1388"/>
      <c r="M5" s="1388"/>
      <c r="N5" s="1388"/>
      <c r="O5" s="1388"/>
      <c r="P5" s="1388"/>
    </row>
    <row r="6" spans="1:16" ht="15" thickBot="1">
      <c r="A6" s="2227"/>
      <c r="B6" s="3123" t="s">
        <v>1918</v>
      </c>
      <c r="C6" s="3123"/>
      <c r="D6" s="47">
        <f>ROUND($D$3*E6/$E$3,2)</f>
        <v>4737.3500000000004</v>
      </c>
      <c r="E6" s="48">
        <f>E3-E5</f>
        <v>27944.309999999998</v>
      </c>
      <c r="F6" s="1388"/>
      <c r="G6" s="2228" t="s">
        <v>1919</v>
      </c>
      <c r="H6" s="1395" t="s">
        <v>1920</v>
      </c>
      <c r="I6" s="935">
        <f>ROUND(F31/D31,2)</f>
        <v>4.9000000000000004</v>
      </c>
      <c r="J6" s="1388"/>
      <c r="K6" s="1388"/>
      <c r="L6" s="1388"/>
      <c r="M6" s="1388"/>
      <c r="N6" s="1388"/>
      <c r="O6" s="1388"/>
      <c r="P6" s="1388"/>
    </row>
    <row r="7" spans="1:16" ht="14.4">
      <c r="A7" s="3115"/>
      <c r="B7" s="3116"/>
      <c r="C7" s="3117"/>
      <c r="D7" s="2224" t="s">
        <v>1914</v>
      </c>
      <c r="E7" s="2229" t="s">
        <v>1921</v>
      </c>
      <c r="F7" s="1388"/>
      <c r="G7" s="2221" t="s">
        <v>1922</v>
      </c>
      <c r="H7" s="63"/>
      <c r="I7" s="419">
        <v>3.8</v>
      </c>
      <c r="J7" s="1388"/>
      <c r="K7" s="1388"/>
      <c r="L7" s="1388"/>
      <c r="M7" s="1388"/>
      <c r="N7" s="1388"/>
      <c r="O7" s="1388"/>
      <c r="P7" s="1388"/>
    </row>
    <row r="8" spans="1:16" ht="14.4">
      <c r="A8" s="46" t="s">
        <v>1923</v>
      </c>
      <c r="B8" s="49" t="s">
        <v>1924</v>
      </c>
      <c r="C8" s="47" t="s">
        <v>1925</v>
      </c>
      <c r="D8" s="47">
        <f t="shared" ref="D8:D15" si="0">ROUND($D$3*E8/$E$3,2)</f>
        <v>3935.35</v>
      </c>
      <c r="E8" s="50">
        <f>SUMIF('数据-基础表'!BB10:BK10,"地上",'数据-基础表'!BB5:BK5)</f>
        <v>23213.510000000002</v>
      </c>
      <c r="F8" s="1388"/>
      <c r="G8" s="2230"/>
      <c r="H8" s="2230"/>
      <c r="I8" s="1388"/>
      <c r="J8" s="1388"/>
      <c r="K8" s="1388"/>
      <c r="L8" s="1388"/>
      <c r="M8" s="1388"/>
      <c r="N8" s="1388"/>
      <c r="O8" s="1388"/>
      <c r="P8" s="1388"/>
    </row>
    <row r="9" spans="1:16" ht="14.4">
      <c r="A9" s="2231"/>
      <c r="B9" s="2232"/>
      <c r="C9" s="47" t="s">
        <v>1926</v>
      </c>
      <c r="D9" s="47">
        <f t="shared" si="0"/>
        <v>0</v>
      </c>
      <c r="E9" s="51">
        <v>0</v>
      </c>
      <c r="F9" s="1388"/>
      <c r="G9" s="2230"/>
      <c r="H9" s="2230"/>
      <c r="I9" s="1388"/>
      <c r="J9" s="1388"/>
      <c r="K9" s="1388"/>
      <c r="L9" s="1388"/>
      <c r="M9" s="1388"/>
      <c r="N9" s="1388"/>
      <c r="O9" s="1388"/>
      <c r="P9" s="1388"/>
    </row>
    <row r="10" spans="1:16" ht="14.4">
      <c r="A10" s="2231"/>
      <c r="B10" s="2232"/>
      <c r="C10" s="47" t="s">
        <v>1935</v>
      </c>
      <c r="D10" s="47">
        <f t="shared" si="0"/>
        <v>92.65</v>
      </c>
      <c r="E10" s="50">
        <f>SUMPRODUCT(('数据-基础表'!BB10:BK10="地下")*('数据-基础表'!BB11:BK11="商业")*('数据-基础表'!BB5:BK5))</f>
        <v>546.51</v>
      </c>
      <c r="F10" s="1388"/>
      <c r="G10" s="2230"/>
      <c r="H10" s="2230"/>
      <c r="I10" s="1388"/>
      <c r="J10" s="1388"/>
      <c r="K10" s="1388"/>
      <c r="L10" s="1388"/>
      <c r="M10" s="1388"/>
      <c r="N10" s="1388"/>
      <c r="O10" s="1388"/>
      <c r="P10" s="1388"/>
    </row>
    <row r="11" spans="1:16" ht="14.4">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ht="14.4">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ht="14.4">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ht="14.4">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709.36</v>
      </c>
      <c r="E15" s="50">
        <f>SUMPRODUCT(('数据-基础表'!BB10:BK10="地下")*('数据-基础表'!BB11:BK11="车库—办公")*('数据-基础表'!BB5:BK5))</f>
        <v>4184.2899999999991</v>
      </c>
      <c r="F15" s="1388"/>
      <c r="G15" s="2230"/>
      <c r="H15" s="2230"/>
      <c r="I15" s="1388"/>
      <c r="J15" s="1388"/>
      <c r="K15" s="1388"/>
      <c r="L15" s="1388"/>
      <c r="M15" s="1388"/>
      <c r="N15" s="1388"/>
      <c r="O15" s="1388"/>
      <c r="P15" s="1388"/>
    </row>
    <row r="16" spans="1:16" ht="15" thickBot="1">
      <c r="A16" s="2227"/>
      <c r="B16" s="2232"/>
      <c r="C16" s="49" t="s">
        <v>1930</v>
      </c>
      <c r="D16" s="49">
        <f>SUM(D8:D15)</f>
        <v>4737.3599999999997</v>
      </c>
      <c r="E16" s="52">
        <f>SUM(E8:E15)</f>
        <v>27944.309999999998</v>
      </c>
      <c r="F16" s="1388"/>
      <c r="G16" s="2230"/>
      <c r="H16" s="2233" t="s">
        <v>1942</v>
      </c>
      <c r="I16" s="2234"/>
      <c r="J16" s="1388"/>
      <c r="K16" s="3112" t="s">
        <v>1942</v>
      </c>
      <c r="L16" s="3113"/>
      <c r="M16" s="3113"/>
      <c r="N16" s="3113"/>
      <c r="O16" s="3113"/>
      <c r="P16" s="3114"/>
    </row>
    <row r="17" spans="1:19" ht="14.4">
      <c r="A17" s="2235" t="s">
        <v>1943</v>
      </c>
      <c r="B17" s="2236" t="s">
        <v>1944</v>
      </c>
      <c r="C17" s="2237" t="s">
        <v>1945</v>
      </c>
      <c r="D17" s="2238" t="s">
        <v>1933</v>
      </c>
      <c r="E17" s="2239" t="s">
        <v>1934</v>
      </c>
      <c r="F17" s="2240"/>
      <c r="G17" s="2241"/>
      <c r="H17" s="2242" t="s">
        <v>1946</v>
      </c>
      <c r="I17" s="2243" t="s">
        <v>1931</v>
      </c>
      <c r="J17" s="1388"/>
      <c r="K17" s="3109" t="s">
        <v>1947</v>
      </c>
      <c r="L17" s="3110"/>
      <c r="M17" s="3111"/>
      <c r="N17" s="3109" t="s">
        <v>1948</v>
      </c>
      <c r="O17" s="3110"/>
      <c r="P17" s="3111"/>
      <c r="R17" s="2221" t="s">
        <v>1949</v>
      </c>
      <c r="S17" s="63"/>
    </row>
    <row r="18" spans="1:19" ht="14.4">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ht="14.4">
      <c r="A19" s="2252"/>
      <c r="B19" s="49" t="s">
        <v>1932</v>
      </c>
      <c r="C19" s="2933" t="s">
        <v>3279</v>
      </c>
      <c r="D19" s="47">
        <f>ROUND($D$3*E19/$E$3,2)</f>
        <v>3873.23</v>
      </c>
      <c r="E19" s="55">
        <f t="shared" ref="E19:E26" si="1">SUM(F19:G19)</f>
        <v>22847.11</v>
      </c>
      <c r="F19" s="56">
        <f>'数据-基础表'!I13</f>
        <v>22847.11</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3873.23</v>
      </c>
      <c r="S19" s="1244">
        <f t="shared" si="5"/>
        <v>22847.11</v>
      </c>
    </row>
    <row r="20" spans="1:19" ht="14.4">
      <c r="A20" s="2255"/>
      <c r="B20" s="49" t="s">
        <v>1960</v>
      </c>
      <c r="C20" s="2933" t="s">
        <v>3280</v>
      </c>
      <c r="D20" s="47">
        <f t="shared" ref="D20:D26" si="6">ROUND($D$3*E20/$E$3,2)</f>
        <v>154.76</v>
      </c>
      <c r="E20" s="55">
        <f t="shared" si="1"/>
        <v>912.91000000000008</v>
      </c>
      <c r="F20" s="56">
        <f>'数据-基础表'!O13</f>
        <v>366.40000000000009</v>
      </c>
      <c r="G20" s="57">
        <f>'数据-基础表'!K13</f>
        <v>546.51</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154.76</v>
      </c>
      <c r="S20" s="1244">
        <f t="shared" si="5"/>
        <v>912.91000000000008</v>
      </c>
    </row>
    <row r="21" spans="1:19" ht="14.4">
      <c r="A21" s="2255"/>
      <c r="B21" s="49" t="s">
        <v>1960</v>
      </c>
      <c r="C21" s="2933" t="s">
        <v>3395</v>
      </c>
      <c r="D21" s="47">
        <f t="shared" si="6"/>
        <v>709.36</v>
      </c>
      <c r="E21" s="55">
        <f t="shared" si="1"/>
        <v>4184.2899999999991</v>
      </c>
      <c r="F21" s="56"/>
      <c r="G21" s="57">
        <f>'数据-基础表'!M13</f>
        <v>4184.2899999999991</v>
      </c>
      <c r="H21" s="722">
        <f t="shared" si="7"/>
        <v>0</v>
      </c>
      <c r="I21" s="50">
        <f t="shared" si="2"/>
        <v>0</v>
      </c>
      <c r="J21" s="1388"/>
      <c r="K21" s="1387">
        <f t="shared" si="3"/>
        <v>0</v>
      </c>
      <c r="L21" s="1243">
        <f t="shared" si="4"/>
        <v>0</v>
      </c>
      <c r="M21" s="1399">
        <f t="shared" si="8"/>
        <v>0</v>
      </c>
      <c r="N21" s="2253"/>
      <c r="O21" s="2254"/>
      <c r="P21" s="1399">
        <f t="shared" si="9"/>
        <v>0</v>
      </c>
      <c r="R21" s="1243">
        <f t="shared" si="5"/>
        <v>709.36</v>
      </c>
      <c r="S21" s="1244">
        <f t="shared" si="5"/>
        <v>4184.2899999999991</v>
      </c>
    </row>
    <row r="22" spans="1:19" ht="14.4">
      <c r="A22" s="2255"/>
      <c r="B22" s="49" t="s">
        <v>1960</v>
      </c>
      <c r="C22" s="3019"/>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ht="14.4">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ht="14.4">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ht="14.4">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ht="14.4">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 thickBot="1">
      <c r="A27" s="2255"/>
      <c r="B27" s="47"/>
      <c r="C27" s="2258" t="s">
        <v>1961</v>
      </c>
      <c r="D27" s="1389">
        <f>SUM(D19:D26)</f>
        <v>4737.3499999999995</v>
      </c>
      <c r="E27" s="1390">
        <f>IF(SUM(E19:E26)='数据-基础表'!BA5,SUM(E19:E26),IF(F27="地上面积有误","面积有误","地下面积有误"))</f>
        <v>27944.309999999998</v>
      </c>
      <c r="F27" s="1389">
        <f>IF(SUM(F19:F26)=E8,SUM(F19:F26),"地上面积有误")</f>
        <v>23213.510000000002</v>
      </c>
      <c r="G27" s="1391">
        <f>SUM(G19:G26)</f>
        <v>4730.7999999999993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4737.3499999999995</v>
      </c>
      <c r="S27" s="1243">
        <f>IF(SUM(S19:S26)=$E$3,SUM(S19:S26),SUM(S19:S26)&amp;"误差"&amp;ROUND(SUM(S19:S26)-E3,2))</f>
        <v>27944.309999999998</v>
      </c>
    </row>
    <row r="28" spans="1:19" ht="14.4">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ht="14.4">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1"/>
      <c r="B31" s="2262"/>
      <c r="C31" s="1003" t="s">
        <v>1965</v>
      </c>
      <c r="D31" s="728">
        <f>D27+D30</f>
        <v>4737.3499999999995</v>
      </c>
      <c r="E31" s="728">
        <f>E27+E30</f>
        <v>27944.309999999998</v>
      </c>
      <c r="F31" s="729">
        <f>F27+F30</f>
        <v>23213.510000000002</v>
      </c>
      <c r="G31" s="730">
        <f>G27+G30</f>
        <v>4730.7999999999993</v>
      </c>
      <c r="H31" s="1388"/>
      <c r="I31" s="1388"/>
      <c r="J31" s="1388"/>
      <c r="K31" s="1388"/>
      <c r="L31" s="1388"/>
      <c r="M31" s="1388"/>
      <c r="N31" s="1388"/>
      <c r="O31" s="1388"/>
      <c r="P31" s="1388"/>
    </row>
    <row r="32" spans="1:19" ht="14.4">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G21" sqref="G21"/>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8" t="s">
        <v>1968</v>
      </c>
      <c r="B2" s="1262">
        <f>项目基本情况!D3</f>
        <v>43227</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4.4"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57.6">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3.8">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46.08</v>
      </c>
      <c r="G6" s="72">
        <f>IF(ISERROR(ROUND(POWER(1+H6,D6-F6)*(POWER(1+H6,F6)-1)/(POWER(1+H6,D6)-1),3)),0,ROUND(POWER(1+H6,D6-F6)*(POWER(1+H6,F6)-1)/(POWER(1+H6,D6)-1),3))</f>
        <v>0.98</v>
      </c>
      <c r="H6" s="801">
        <v>0.05</v>
      </c>
      <c r="I6" s="801">
        <v>5.5E-2</v>
      </c>
      <c r="J6" s="73">
        <v>8.5000000000000006E-2</v>
      </c>
      <c r="K6" s="1247">
        <f>SUMIF('数据-汇总表'!C$19:C$33,A6,'数据-汇总表'!E$19:E$33)</f>
        <v>22847.11</v>
      </c>
      <c r="L6" s="802">
        <v>4000</v>
      </c>
      <c r="M6" s="74">
        <f t="shared" ref="M6:M14" si="0">ROUND(K6*L6/10000,0)</f>
        <v>9139</v>
      </c>
      <c r="N6" s="800">
        <f>ROUND(1-(2018-2017)/60,2)</f>
        <v>0.98</v>
      </c>
      <c r="O6" s="74" t="str">
        <f>IF($N$5="成新度","——",ROUND(M6*N6,0))</f>
        <v>——</v>
      </c>
      <c r="P6" s="75" t="str">
        <f>IF($N$5="成新度","——",M6-O6)</f>
        <v>——</v>
      </c>
      <c r="Q6" s="803">
        <v>0.2</v>
      </c>
      <c r="R6" s="76">
        <f ca="1">SUMIF('数据-汇总表'!C$19:C$33,A6,'数据-汇总表'!R$19:R$27)</f>
        <v>3873.23</v>
      </c>
      <c r="S6" s="53">
        <f>IF('数据-汇总表'!$I$17="按面积比例",SUMIF('数据-汇总表'!C$19:C$33,A6,'数据-汇总表'!K$19:K$33),SUMIF('数据-汇总表'!C$19:C$33,A6,'数据-汇总表'!N$19:N$33))</f>
        <v>0</v>
      </c>
      <c r="T6" s="1439">
        <f>ROUND($L$14*S6/10000,0)</f>
        <v>0</v>
      </c>
      <c r="U6" s="77">
        <f>'比较法-办公'!B3</f>
        <v>6</v>
      </c>
      <c r="V6" s="78">
        <v>0.03</v>
      </c>
      <c r="W6" s="3020">
        <v>0.1</v>
      </c>
      <c r="X6" s="1257"/>
      <c r="Y6" s="79">
        <v>0.98</v>
      </c>
      <c r="Z6" s="80"/>
      <c r="AA6" s="73"/>
      <c r="AB6" s="73"/>
      <c r="AC6" s="1257"/>
      <c r="AD6" s="81"/>
      <c r="AE6" s="1258">
        <f ca="1">IF(AN6="",0,SUMIF(INDIRECT("'"&amp;AN6&amp;"'"&amp;"!E:E"),$AE$5,INDIRECT("'"&amp;AN6&amp;"'"&amp;"!F:F")))</f>
        <v>46.08</v>
      </c>
      <c r="AF6" s="1800"/>
      <c r="AG6" s="146">
        <f>IF(AF6="",0,AE6-AF6)</f>
        <v>0</v>
      </c>
      <c r="AH6" s="82"/>
      <c r="AI6" s="84">
        <v>365</v>
      </c>
      <c r="AJ6" s="85"/>
      <c r="AK6" s="86">
        <v>0.02</v>
      </c>
      <c r="AL6" s="87">
        <v>2E-3</v>
      </c>
      <c r="AM6" s="88">
        <v>0.02</v>
      </c>
      <c r="AN6" s="2301" t="s">
        <v>3371</v>
      </c>
      <c r="AO6" s="54">
        <f ca="1">SUMIF(INDIRECT("'"&amp;AN6&amp;"'"&amp;"!A:A"),"总价",INDIRECT("'"&amp;AN6&amp;"'"&amp;"!B:B"))</f>
        <v>100563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3.8">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36.07</v>
      </c>
      <c r="G7" s="72">
        <f t="shared" ref="G7:G11" si="2">IF(ISERROR(ROUND(POWER(1+H7,D7-F7)*(POWER(1+H7,F7)-1)/(POWER(1+H7,D7)-1),3)),0,ROUND(POWER(1+H7,D7-F7)*(POWER(1+H7,F7)-1)/(POWER(1+H7,D7)-1),3))</f>
        <v>0.97199999999999998</v>
      </c>
      <c r="H7" s="801">
        <v>0.06</v>
      </c>
      <c r="I7" s="801">
        <v>6.5000000000000002E-2</v>
      </c>
      <c r="J7" s="73">
        <v>8.5000000000000006E-2</v>
      </c>
      <c r="K7" s="1247">
        <f>SUMIF('数据-汇总表'!C$19:C$33,A7,'数据-汇总表'!E$19:E$33)</f>
        <v>912.91000000000008</v>
      </c>
      <c r="L7" s="802">
        <v>3500</v>
      </c>
      <c r="M7" s="74">
        <f t="shared" si="0"/>
        <v>320</v>
      </c>
      <c r="N7" s="800">
        <f>N6</f>
        <v>0.98</v>
      </c>
      <c r="O7" s="74" t="str">
        <f t="shared" ref="O7:O14" si="3">IF($N$5="成新度","——",ROUND(M7*N7,0))</f>
        <v>——</v>
      </c>
      <c r="P7" s="75" t="str">
        <f t="shared" ref="P7:P14" si="4">IF($N$5="成新度","——",M7-O7)</f>
        <v>——</v>
      </c>
      <c r="Q7" s="803">
        <v>0.2</v>
      </c>
      <c r="R7" s="76">
        <f ca="1">SUMIF('数据-汇总表'!C$19:C$33,A7,'数据-汇总表'!R$19:R$27)</f>
        <v>154.76</v>
      </c>
      <c r="S7" s="53">
        <f>IF('数据-汇总表'!$I$17="按面积比例",SUMIF('数据-汇总表'!C$19:C$33,A7,'数据-汇总表'!K$19:K$33),SUMIF('数据-汇总表'!C$19:C$33,A7,'数据-汇总表'!N$19:N$33))</f>
        <v>0</v>
      </c>
      <c r="T7" s="1439">
        <f t="shared" ref="T7:T13" si="5">ROUND($L$14*S7/10000,0)</f>
        <v>0</v>
      </c>
      <c r="U7" s="3026">
        <v>4.5</v>
      </c>
      <c r="V7" s="78">
        <v>0.03</v>
      </c>
      <c r="W7" s="78">
        <v>0.1</v>
      </c>
      <c r="X7" s="1257"/>
      <c r="Y7" s="79">
        <v>0.98</v>
      </c>
      <c r="Z7" s="80"/>
      <c r="AA7" s="73"/>
      <c r="AB7" s="73"/>
      <c r="AC7" s="1257"/>
      <c r="AD7" s="81"/>
      <c r="AE7" s="1258">
        <f t="shared" ref="AE7:AE13" ca="1" si="6">IF(AN7="",0,SUMIF(INDIRECT("'"&amp;AN7&amp;"'"&amp;"!E:E"),$AE$5,INDIRECT("'"&amp;AN7&amp;"'"&amp;"!F:F")))</f>
        <v>36.07</v>
      </c>
      <c r="AF7" s="1800"/>
      <c r="AG7" s="146">
        <f t="shared" ref="AG7:AG13" si="7">IF(AF7="",0,AE7-AF7)</f>
        <v>0</v>
      </c>
      <c r="AH7" s="82"/>
      <c r="AI7" s="84">
        <v>365</v>
      </c>
      <c r="AJ7" s="85"/>
      <c r="AK7" s="86">
        <v>0.02</v>
      </c>
      <c r="AL7" s="87">
        <v>2E-3</v>
      </c>
      <c r="AM7" s="88">
        <v>0.02</v>
      </c>
      <c r="AN7" s="2301" t="s">
        <v>3373</v>
      </c>
      <c r="AO7" s="54">
        <f t="shared" ref="AO7:AO13" ca="1" si="8">SUMIF(INDIRECT("'"&amp;AN7&amp;"'"&amp;"!A:A"),"总价",INDIRECT("'"&amp;AN7&amp;"'"&amp;"!B:B"))</f>
        <v>2210</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3.8">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46.08</v>
      </c>
      <c r="G8" s="72">
        <f t="shared" si="2"/>
        <v>0.97699999999999998</v>
      </c>
      <c r="H8" s="801">
        <v>4.4999999999999998E-2</v>
      </c>
      <c r="I8" s="801">
        <v>0.05</v>
      </c>
      <c r="J8" s="73">
        <v>8.5000000000000006E-2</v>
      </c>
      <c r="K8" s="1247">
        <f>SUMIF('数据-汇总表'!C$19:C$33,A8,'数据-汇总表'!E$19:E$33)</f>
        <v>4184.2899999999991</v>
      </c>
      <c r="L8" s="802">
        <v>2500</v>
      </c>
      <c r="M8" s="74">
        <f>ROUND(K8*L8/10000,0)</f>
        <v>1046</v>
      </c>
      <c r="N8" s="800">
        <f>N6</f>
        <v>0.98</v>
      </c>
      <c r="O8" s="74" t="str">
        <f t="shared" si="3"/>
        <v>——</v>
      </c>
      <c r="P8" s="75" t="str">
        <f t="shared" si="4"/>
        <v>——</v>
      </c>
      <c r="Q8" s="803">
        <v>0.1</v>
      </c>
      <c r="R8" s="76">
        <f ca="1">SUMIF('数据-汇总表'!C$19:C$33,A8,'数据-汇总表'!R$19:R$27)</f>
        <v>709.36</v>
      </c>
      <c r="S8" s="53">
        <f>IF('数据-汇总表'!$I$17="按面积比例",SUMIF('数据-汇总表'!C$19:C$33,A8,'数据-汇总表'!K$19:K$33),SUMIF('数据-汇总表'!C$19:C$33,A8,'数据-汇总表'!N$19:N$33))</f>
        <v>0</v>
      </c>
      <c r="T8" s="1439">
        <f t="shared" si="5"/>
        <v>0</v>
      </c>
      <c r="U8" s="2999">
        <f>面积表!J11</f>
        <v>2.1</v>
      </c>
      <c r="V8" s="804">
        <v>0.02</v>
      </c>
      <c r="W8" s="804">
        <v>0.05</v>
      </c>
      <c r="X8" s="1257"/>
      <c r="Y8" s="79">
        <v>0.98</v>
      </c>
      <c r="Z8" s="80"/>
      <c r="AA8" s="73"/>
      <c r="AB8" s="73"/>
      <c r="AC8" s="1257"/>
      <c r="AD8" s="81"/>
      <c r="AE8" s="1258">
        <f t="shared" ca="1" si="6"/>
        <v>46.08</v>
      </c>
      <c r="AF8" s="1800"/>
      <c r="AG8" s="146">
        <f t="shared" si="7"/>
        <v>0</v>
      </c>
      <c r="AH8" s="3000"/>
      <c r="AI8" s="3001">
        <v>365</v>
      </c>
      <c r="AJ8" s="85"/>
      <c r="AK8" s="86">
        <v>0.02</v>
      </c>
      <c r="AL8" s="87">
        <v>2E-3</v>
      </c>
      <c r="AM8" s="88">
        <v>0.02</v>
      </c>
      <c r="AN8" s="2301" t="s">
        <v>3375</v>
      </c>
      <c r="AO8" s="54">
        <f t="shared" ca="1" si="8"/>
        <v>5809</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3.8">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3.8">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3.8">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3.8">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3.8">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4">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8.8">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 thickBot="1">
      <c r="A16" s="2305" t="s">
        <v>2016</v>
      </c>
      <c r="B16" s="96"/>
      <c r="C16" s="1001"/>
      <c r="D16" s="2306"/>
      <c r="E16" s="96"/>
      <c r="F16" s="96"/>
      <c r="G16" s="97">
        <f>ROUND(SUMPRODUCT(G6:G13,K6:K13)/SUMPRODUCT((G6:G13&gt;0)*(K6:K13)),3)</f>
        <v>0.97899999999999998</v>
      </c>
      <c r="H16" s="98">
        <f>ROUND(SUMPRODUCT(H6:H13,K6:K13)/SUMPRODUCT((H6:H13&gt;0)*(K6:K13)),3)</f>
        <v>0.05</v>
      </c>
      <c r="I16" s="99"/>
      <c r="J16" s="99"/>
      <c r="K16" s="100">
        <f>SUM(K6:K15)</f>
        <v>27944.309999999998</v>
      </c>
      <c r="L16" s="101">
        <f>ROUND(M16*10000/SUM(K6:K14),0)</f>
        <v>3759</v>
      </c>
      <c r="M16" s="101">
        <f>SUM(M6:M14)</f>
        <v>10505</v>
      </c>
      <c r="N16" s="102">
        <f>ROUND(SUMPRODUCT(M6:M14,N6:N14)/M16,3)</f>
        <v>0.98</v>
      </c>
      <c r="O16" s="101">
        <f>SUM(O6:O14)</f>
        <v>0</v>
      </c>
      <c r="P16" s="101">
        <f>SUM(P6:P14)</f>
        <v>0</v>
      </c>
      <c r="Q16" s="103">
        <f>ROUND(SUMPRODUCT(Q6:Q13,K6:K13)/SUMPRODUCT((Q6:Q13&gt;0)*(K6:K13)),2)</f>
        <v>0.19</v>
      </c>
      <c r="R16" s="1251">
        <f ca="1">SUM(R6:R13)</f>
        <v>4737.3499999999995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8.8">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8.8">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9.4"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8.8">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8.8">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9.4"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4">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4">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4">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61"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60"/>
    <col min="30" max="16384" width="9" style="2361"/>
  </cols>
  <sheetData>
    <row r="1" spans="1:29" s="2354" customFormat="1" ht="18" thickBot="1">
      <c r="A1" s="3124" t="s">
        <v>2083</v>
      </c>
      <c r="B1" s="3125"/>
      <c r="C1" s="3125"/>
      <c r="D1" s="3125"/>
      <c r="E1" s="3125"/>
      <c r="F1" s="3125"/>
      <c r="G1" s="312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2084</v>
      </c>
      <c r="D2" s="2358"/>
      <c r="E2" s="2359"/>
      <c r="F2" s="2278"/>
      <c r="G2" s="2357" t="s">
        <v>2085</v>
      </c>
      <c r="H2" s="2360"/>
      <c r="I2" s="2360"/>
      <c r="J2" s="2360"/>
      <c r="K2" s="2360"/>
      <c r="L2" s="2360"/>
      <c r="M2" s="2360"/>
      <c r="N2" s="2360"/>
      <c r="O2" s="2360"/>
      <c r="P2" s="2360"/>
      <c r="Q2" s="2360"/>
      <c r="R2" s="2360"/>
    </row>
    <row r="3" spans="1:29" ht="43.2">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72">
      <c r="A4" s="430"/>
      <c r="B4" s="1791" t="s">
        <v>2090</v>
      </c>
      <c r="C4" s="2986" t="s">
        <v>3311</v>
      </c>
      <c r="D4" s="2363"/>
      <c r="E4" s="2366"/>
      <c r="F4" s="41" t="s">
        <v>2091</v>
      </c>
      <c r="G4" s="2367" t="s">
        <v>2092</v>
      </c>
      <c r="H4" s="2360"/>
      <c r="I4" s="2360"/>
      <c r="J4" s="2360"/>
      <c r="K4" s="2360"/>
      <c r="L4" s="2360"/>
      <c r="M4" s="2360"/>
      <c r="N4" s="2360"/>
      <c r="O4" s="2360"/>
      <c r="P4" s="2360"/>
      <c r="Q4" s="2360"/>
      <c r="R4" s="2360"/>
    </row>
    <row r="5" spans="1:29" ht="57.6">
      <c r="A5" s="430"/>
      <c r="B5" s="1791" t="s">
        <v>2093</v>
      </c>
      <c r="C5" s="2986" t="s">
        <v>3312</v>
      </c>
      <c r="D5" s="2363"/>
      <c r="E5" s="2366"/>
      <c r="F5" s="1791" t="s">
        <v>2094</v>
      </c>
      <c r="G5" s="2367" t="s">
        <v>2095</v>
      </c>
      <c r="H5" s="2360"/>
      <c r="I5" s="2360"/>
      <c r="J5" s="2360"/>
      <c r="K5" s="2360"/>
      <c r="L5" s="2360"/>
      <c r="M5" s="2360"/>
      <c r="N5" s="2360"/>
      <c r="O5" s="2360"/>
      <c r="P5" s="2360"/>
      <c r="Q5" s="2360"/>
      <c r="R5" s="2360"/>
    </row>
    <row r="6" spans="1:29" ht="158.4">
      <c r="A6" s="430"/>
      <c r="B6" s="1791" t="s">
        <v>2096</v>
      </c>
      <c r="C6" s="2987" t="s">
        <v>3313</v>
      </c>
      <c r="D6" s="2363"/>
      <c r="E6" s="2366"/>
      <c r="F6" s="1791" t="s">
        <v>2097</v>
      </c>
      <c r="G6" s="2367" t="s">
        <v>2098</v>
      </c>
      <c r="H6" s="2360"/>
      <c r="I6" s="2360"/>
      <c r="J6" s="2360"/>
      <c r="K6" s="2360"/>
      <c r="L6" s="2360"/>
      <c r="M6" s="2360"/>
      <c r="N6" s="2360"/>
      <c r="O6" s="2360"/>
      <c r="P6" s="2360"/>
      <c r="Q6" s="2360"/>
      <c r="R6" s="2360"/>
    </row>
    <row r="7" spans="1:29" ht="43.8" thickBot="1">
      <c r="A7" s="430"/>
      <c r="B7" s="1791" t="s">
        <v>2094</v>
      </c>
      <c r="C7" s="2987" t="s">
        <v>3314</v>
      </c>
      <c r="D7" s="2368"/>
      <c r="E7" s="2369"/>
      <c r="F7" s="2370" t="s">
        <v>2099</v>
      </c>
      <c r="G7" s="2371" t="s">
        <v>2100</v>
      </c>
      <c r="H7" s="2360"/>
      <c r="I7" s="2360"/>
      <c r="J7" s="2360"/>
      <c r="K7" s="2360"/>
      <c r="L7" s="2360"/>
      <c r="M7" s="2360"/>
      <c r="N7" s="2360"/>
      <c r="O7" s="2360"/>
      <c r="P7" s="2360"/>
      <c r="Q7" s="2360"/>
      <c r="R7" s="2360"/>
    </row>
    <row r="8" spans="1:29" ht="28.8">
      <c r="A8" s="430"/>
      <c r="B8" s="1791" t="s">
        <v>2097</v>
      </c>
      <c r="C8" s="2987" t="s">
        <v>3315</v>
      </c>
      <c r="D8" s="2368"/>
      <c r="E8" s="2368"/>
      <c r="F8" s="1129"/>
      <c r="G8" s="1129"/>
      <c r="H8" s="2360"/>
      <c r="I8" s="2360"/>
      <c r="J8" s="2360"/>
      <c r="K8" s="2360"/>
      <c r="L8" s="2360"/>
      <c r="M8" s="2360"/>
      <c r="N8" s="2360"/>
      <c r="O8" s="2360"/>
      <c r="P8" s="2360"/>
      <c r="Q8" s="2360"/>
      <c r="R8" s="2360"/>
    </row>
    <row r="9" spans="1:29" ht="100.8">
      <c r="A9" s="430"/>
      <c r="B9" s="1791" t="s">
        <v>2101</v>
      </c>
      <c r="C9" s="2986" t="s">
        <v>3316</v>
      </c>
      <c r="D9" s="2363"/>
      <c r="E9" s="2368"/>
      <c r="F9" s="1129"/>
      <c r="G9" s="1129"/>
      <c r="H9" s="2360"/>
      <c r="I9" s="2360"/>
      <c r="J9" s="2360"/>
      <c r="K9" s="2360"/>
      <c r="L9" s="2360"/>
      <c r="M9" s="2360"/>
      <c r="N9" s="2360"/>
      <c r="O9" s="2360"/>
      <c r="P9" s="2360"/>
      <c r="Q9" s="2360"/>
      <c r="R9" s="2360"/>
    </row>
    <row r="10" spans="1:29" s="116" customFormat="1" ht="15" thickBot="1">
      <c r="A10" s="2372"/>
      <c r="B10" s="2373" t="s">
        <v>2102</v>
      </c>
      <c r="C10" s="2988" t="s">
        <v>3317</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7.399999999999999">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 thickBot="1">
      <c r="A13" s="2384" t="s">
        <v>2103</v>
      </c>
      <c r="B13" s="2378"/>
      <c r="C13" s="2378"/>
      <c r="D13" s="2385"/>
      <c r="E13" s="2378"/>
      <c r="F13" s="2378"/>
      <c r="G13" s="2378"/>
    </row>
    <row r="14" spans="1:29" ht="15" thickBot="1">
      <c r="A14" s="2389"/>
      <c r="B14" s="2390"/>
      <c r="C14" s="2391" t="s">
        <v>2104</v>
      </c>
      <c r="D14" s="2363"/>
      <c r="E14" s="2392"/>
      <c r="F14" s="2392"/>
      <c r="G14" s="2357" t="s">
        <v>2105</v>
      </c>
    </row>
    <row r="15" spans="1:29" ht="41.4">
      <c r="A15" s="67" t="s">
        <v>2106</v>
      </c>
      <c r="B15" s="1263" t="s">
        <v>2087</v>
      </c>
      <c r="C15" s="2393">
        <f>C3</f>
        <v>0</v>
      </c>
      <c r="D15" s="2363"/>
      <c r="E15" s="2394" t="s">
        <v>2107</v>
      </c>
      <c r="F15" s="1263" t="s">
        <v>2108</v>
      </c>
      <c r="G15" s="134" t="str">
        <f>G3</f>
        <v>估价对象位于XX开发区，园区建设成熟度XX，产业集聚程度XX</v>
      </c>
    </row>
    <row r="16" spans="1:29" ht="69">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5.2">
      <c r="A17" s="644"/>
      <c r="B17" s="2395" t="s">
        <v>2093</v>
      </c>
      <c r="C17" s="2396" t="str">
        <f>C5</f>
        <v>区域内分布有盈润大厦、绿地中央广场，写字楼规模一般，综合考虑办公集聚程度一般。</v>
      </c>
      <c r="D17" s="2368"/>
      <c r="E17" s="2397"/>
      <c r="F17" s="2398" t="s">
        <v>2109</v>
      </c>
      <c r="G17" s="1565"/>
    </row>
    <row r="18" spans="1:18" ht="151.80000000000001">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7.6">
      <c r="A19" s="644"/>
      <c r="B19" s="2398" t="s">
        <v>2110</v>
      </c>
      <c r="C19" s="1565"/>
      <c r="D19" s="2363"/>
      <c r="E19" s="2397"/>
      <c r="F19" s="1791" t="s">
        <v>2094</v>
      </c>
      <c r="G19" s="135" t="str">
        <f>G5</f>
        <v>估价对象所在区域公共配套设施齐备情况</v>
      </c>
    </row>
    <row r="20" spans="1:18" ht="96.6">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7.6">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 thickBot="1">
      <c r="A23" s="644"/>
      <c r="B23" s="2398" t="s">
        <v>2113</v>
      </c>
      <c r="C23" s="2399" t="s">
        <v>3288</v>
      </c>
      <c r="D23" s="2386"/>
      <c r="E23" s="2400"/>
      <c r="F23" s="2401" t="s">
        <v>2114</v>
      </c>
      <c r="G23" s="2402"/>
      <c r="H23" s="2386"/>
      <c r="I23" s="2387"/>
      <c r="J23" s="2386"/>
      <c r="K23" s="2386"/>
      <c r="L23" s="2387"/>
      <c r="M23" s="2386"/>
      <c r="N23" s="2386"/>
      <c r="O23" s="2387"/>
      <c r="P23" s="2386"/>
      <c r="Q23" s="2386"/>
      <c r="R23" s="2388"/>
    </row>
    <row r="24" spans="1:18" s="2360" customFormat="1" ht="1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8" sqref="E8"/>
    </sheetView>
  </sheetViews>
  <sheetFormatPr defaultColWidth="9" defaultRowHeight="14.4"/>
  <cols>
    <col min="1" max="1" width="23.33203125" style="1734" customWidth="1"/>
    <col min="2" max="9" width="15.77734375" style="1734" customWidth="1"/>
    <col min="10" max="16384" width="9" style="1734"/>
  </cols>
  <sheetData>
    <row r="1" spans="1:10" ht="16.2">
      <c r="A1" s="1739" t="s">
        <v>1365</v>
      </c>
      <c r="B1" s="1739">
        <f>SUM(B14:B23)</f>
        <v>27944.309999999998</v>
      </c>
      <c r="C1" s="1738"/>
      <c r="D1" s="1738"/>
      <c r="E1" s="1738"/>
      <c r="F1" s="1738"/>
      <c r="G1" s="1736"/>
    </row>
    <row r="2" spans="1:10" ht="16.2">
      <c r="A2" s="1739" t="s">
        <v>1353</v>
      </c>
      <c r="B2" s="1739">
        <f>SUM(C14:C23)</f>
        <v>4737.3499999999995</v>
      </c>
      <c r="C2" s="1738"/>
      <c r="D2" s="1738"/>
      <c r="E2" s="1738"/>
      <c r="F2" s="1738"/>
      <c r="G2" s="1736"/>
    </row>
    <row r="3" spans="1:10" ht="15.6">
      <c r="A3" s="1739" t="s">
        <v>1362</v>
      </c>
      <c r="B3" s="1740">
        <f>项目基本情况!D3</f>
        <v>43227</v>
      </c>
      <c r="C3" s="1738"/>
      <c r="D3" s="1738"/>
      <c r="E3" s="1738"/>
      <c r="F3" s="1738"/>
      <c r="G3" s="1736"/>
    </row>
    <row r="4" spans="1:10" ht="31.2">
      <c r="A4" s="1739" t="s">
        <v>1361</v>
      </c>
      <c r="B4" s="1739" t="s">
        <v>1360</v>
      </c>
      <c r="C4" s="1739" t="s">
        <v>1359</v>
      </c>
      <c r="D4" s="1739" t="s">
        <v>1358</v>
      </c>
      <c r="E4" s="1738"/>
      <c r="F4" s="1736"/>
      <c r="G4" s="1736"/>
    </row>
    <row r="5" spans="1:10" ht="15.6">
      <c r="A5" s="1739" t="s">
        <v>1357</v>
      </c>
      <c r="B5" s="1739">
        <f ca="1">SUM(D14:D23)</f>
        <v>106860</v>
      </c>
      <c r="C5" s="1739">
        <f ca="1">ROUND(B5*10000/$B$1,0)</f>
        <v>38240</v>
      </c>
      <c r="D5" s="1739">
        <f ca="1">ROUND(B5*10000/$B$2,0)</f>
        <v>225569</v>
      </c>
      <c r="E5" s="1738"/>
      <c r="F5" s="1736"/>
      <c r="G5" s="1736"/>
    </row>
    <row r="6" spans="1:10" ht="15.6">
      <c r="A6" s="1739" t="s">
        <v>1356</v>
      </c>
      <c r="B6" s="1739">
        <f>SUM(G14:G23)</f>
        <v>0</v>
      </c>
      <c r="C6" s="1739">
        <f>ROUND(B6*10000/$B$1,0)</f>
        <v>0</v>
      </c>
      <c r="D6" s="1739">
        <f>ROUND(B6*10000/$B$2,0)</f>
        <v>0</v>
      </c>
      <c r="E6" s="1738"/>
      <c r="F6" s="1736"/>
      <c r="G6" s="1736"/>
    </row>
    <row r="7" spans="1:10" ht="15.6">
      <c r="A7" s="1739" t="s">
        <v>1364</v>
      </c>
      <c r="B7" s="1739">
        <f ca="1">SUM(H14:H23)</f>
        <v>100361</v>
      </c>
      <c r="C7" s="1739">
        <f ca="1">ROUND(B7*10000/$B$1,0)</f>
        <v>35915</v>
      </c>
      <c r="D7" s="1739">
        <f ca="1">ROUND(B7*10000/$B$2,0)</f>
        <v>211851</v>
      </c>
      <c r="E7" s="1738"/>
      <c r="F7" s="1736"/>
      <c r="G7" s="1736"/>
    </row>
    <row r="8" spans="1:10" ht="15.6">
      <c r="A8" s="1739" t="s">
        <v>1285</v>
      </c>
      <c r="B8" s="1739">
        <f>SUM(I14:I23)</f>
        <v>0</v>
      </c>
      <c r="C8" s="1739">
        <f>ROUND(B8*10000/$B$1,0)</f>
        <v>0</v>
      </c>
      <c r="D8" s="1739">
        <f>ROUND(B8*10000/$B$2,0)</f>
        <v>0</v>
      </c>
      <c r="E8" s="1738"/>
      <c r="F8" s="1736"/>
      <c r="G8" s="1736"/>
    </row>
    <row r="9" spans="1:10" ht="15.6">
      <c r="A9" s="1739" t="s">
        <v>1355</v>
      </c>
      <c r="B9" s="1741"/>
      <c r="C9" s="1738"/>
      <c r="D9" s="1738"/>
      <c r="E9" s="1738"/>
      <c r="F9" s="1736"/>
      <c r="G9" s="1736"/>
    </row>
    <row r="10" spans="1:10" ht="15.6">
      <c r="A10" s="1739" t="s">
        <v>1354</v>
      </c>
      <c r="B10" s="1741"/>
      <c r="C10" s="1738"/>
      <c r="D10" s="1738"/>
      <c r="E10" s="1738"/>
      <c r="F10" s="1736"/>
      <c r="G10" s="1736"/>
    </row>
    <row r="11" spans="1:10" ht="15.6">
      <c r="A11" s="1739" t="s">
        <v>1370</v>
      </c>
      <c r="B11" s="1741"/>
      <c r="C11" s="1738"/>
      <c r="D11" s="1738"/>
      <c r="E11" s="1738"/>
      <c r="F11" s="1736"/>
      <c r="G11" s="1736"/>
    </row>
    <row r="12" spans="1:10" ht="15.6">
      <c r="A12" s="1738"/>
      <c r="B12" s="1738"/>
      <c r="C12" s="1738"/>
      <c r="D12" s="1738"/>
      <c r="E12" s="1738"/>
      <c r="F12" s="1736"/>
      <c r="G12" s="1736"/>
    </row>
    <row r="13" spans="1:10" ht="31.8">
      <c r="A13" s="1744" t="s">
        <v>1369</v>
      </c>
      <c r="B13" s="1737" t="s">
        <v>1366</v>
      </c>
      <c r="C13" s="1737" t="s">
        <v>1368</v>
      </c>
      <c r="D13" s="1737" t="s">
        <v>1367</v>
      </c>
      <c r="E13" s="1739" t="s">
        <v>1359</v>
      </c>
      <c r="F13" s="1739" t="s">
        <v>1358</v>
      </c>
      <c r="G13" s="1737" t="s">
        <v>1352</v>
      </c>
      <c r="H13" s="1737" t="s">
        <v>1363</v>
      </c>
      <c r="I13" s="1737" t="s">
        <v>1351</v>
      </c>
      <c r="J13" s="1736"/>
    </row>
    <row r="14" spans="1:10" ht="15.6">
      <c r="A14" s="1735" t="s">
        <v>1350</v>
      </c>
      <c r="B14" s="1737">
        <f>'结果表（办公）'!B118</f>
        <v>22847.11</v>
      </c>
      <c r="C14" s="1737">
        <f>'结果表（办公）'!C118</f>
        <v>3873.23</v>
      </c>
      <c r="D14" s="1737">
        <f ca="1">'结果表（办公）'!H118</f>
        <v>100361</v>
      </c>
      <c r="E14" s="1737">
        <f ca="1">ROUND(D14*10000/B14,0)</f>
        <v>43927</v>
      </c>
      <c r="F14" s="1737">
        <f ca="1">ROUND(D14*10000/C14,0)</f>
        <v>259114</v>
      </c>
      <c r="G14" s="1737" t="str">
        <f>'结果表（办公）'!D122</f>
        <v>——</v>
      </c>
      <c r="H14" s="1737">
        <f ca="1">'结果表（办公）'!D124</f>
        <v>100361</v>
      </c>
      <c r="I14" s="1737" t="str">
        <f>'结果表（办公）'!D126</f>
        <v>——</v>
      </c>
      <c r="J14" s="1736"/>
    </row>
    <row r="15" spans="1:10" ht="15.6">
      <c r="A15" s="1735" t="s">
        <v>1349</v>
      </c>
      <c r="B15" s="1742">
        <f>'数据-汇总表'!E20</f>
        <v>912.91000000000008</v>
      </c>
      <c r="C15" s="1742">
        <f>'数据-汇总表'!D20</f>
        <v>154.76</v>
      </c>
      <c r="D15" s="1742">
        <f ca="1">'结果表（商业）'!G19</f>
        <v>2197</v>
      </c>
      <c r="E15" s="1737">
        <f t="shared" ref="E15:E23" ca="1" si="0">ROUND(D15*10000/B15,0)</f>
        <v>24066</v>
      </c>
      <c r="F15" s="1737">
        <f t="shared" ref="F15:F23" ca="1" si="1">ROUND(D15*10000/C15,0)</f>
        <v>141962</v>
      </c>
      <c r="G15" s="1743"/>
      <c r="H15" s="1743"/>
      <c r="I15" s="1742"/>
      <c r="J15" s="1736"/>
    </row>
    <row r="16" spans="1:10" ht="15.6">
      <c r="A16" s="1735" t="s">
        <v>1348</v>
      </c>
      <c r="B16" s="1742">
        <f>'数据-汇总表'!G21</f>
        <v>4184.2899999999991</v>
      </c>
      <c r="C16" s="1742">
        <f>'数据-汇总表'!D21</f>
        <v>709.36</v>
      </c>
      <c r="D16" s="1742">
        <f ca="1">'结果表（地下车库）'!G19</f>
        <v>4302</v>
      </c>
      <c r="E16" s="1737">
        <f t="shared" ca="1" si="0"/>
        <v>10281</v>
      </c>
      <c r="F16" s="1737">
        <f t="shared" ca="1" si="1"/>
        <v>60646</v>
      </c>
      <c r="G16" s="1743"/>
      <c r="H16" s="1743"/>
      <c r="I16" s="1742"/>
    </row>
    <row r="17" spans="1:9" ht="15.6">
      <c r="A17" s="1735" t="s">
        <v>1347</v>
      </c>
      <c r="B17" s="1742"/>
      <c r="C17" s="1742"/>
      <c r="D17" s="1742"/>
      <c r="E17" s="1737" t="e">
        <f t="shared" si="0"/>
        <v>#DIV/0!</v>
      </c>
      <c r="F17" s="1737" t="e">
        <f t="shared" si="1"/>
        <v>#DIV/0!</v>
      </c>
      <c r="G17" s="1743"/>
      <c r="H17" s="1743"/>
      <c r="I17" s="1742"/>
    </row>
    <row r="18" spans="1:9" ht="15.6">
      <c r="A18" s="1735" t="s">
        <v>1346</v>
      </c>
      <c r="B18" s="1742"/>
      <c r="C18" s="1742"/>
      <c r="D18" s="1742"/>
      <c r="E18" s="1737" t="e">
        <f t="shared" si="0"/>
        <v>#DIV/0!</v>
      </c>
      <c r="F18" s="1737" t="e">
        <f t="shared" si="1"/>
        <v>#DIV/0!</v>
      </c>
      <c r="G18" s="1742"/>
      <c r="H18" s="1742"/>
      <c r="I18" s="1742"/>
    </row>
    <row r="19" spans="1:9" ht="15.6">
      <c r="A19" s="1735" t="s">
        <v>1345</v>
      </c>
      <c r="B19" s="1742"/>
      <c r="C19" s="1742"/>
      <c r="D19" s="1742"/>
      <c r="E19" s="1737" t="e">
        <f t="shared" si="0"/>
        <v>#DIV/0!</v>
      </c>
      <c r="F19" s="1737" t="e">
        <f t="shared" si="1"/>
        <v>#DIV/0!</v>
      </c>
      <c r="G19" s="1742"/>
      <c r="H19" s="1742"/>
      <c r="I19" s="1742"/>
    </row>
    <row r="20" spans="1:9" ht="15.6">
      <c r="A20" s="1735" t="s">
        <v>1344</v>
      </c>
      <c r="B20" s="1742"/>
      <c r="C20" s="1742"/>
      <c r="D20" s="1742"/>
      <c r="E20" s="1737" t="e">
        <f t="shared" si="0"/>
        <v>#DIV/0!</v>
      </c>
      <c r="F20" s="1737" t="e">
        <f t="shared" si="1"/>
        <v>#DIV/0!</v>
      </c>
      <c r="G20" s="1742"/>
      <c r="H20" s="1742"/>
      <c r="I20" s="1742"/>
    </row>
    <row r="21" spans="1:9" ht="15.6">
      <c r="A21" s="1735" t="s">
        <v>1343</v>
      </c>
      <c r="B21" s="1742"/>
      <c r="C21" s="1742"/>
      <c r="D21" s="1742"/>
      <c r="E21" s="1737" t="e">
        <f t="shared" si="0"/>
        <v>#DIV/0!</v>
      </c>
      <c r="F21" s="1737" t="e">
        <f t="shared" si="1"/>
        <v>#DIV/0!</v>
      </c>
      <c r="G21" s="1742"/>
      <c r="H21" s="1742"/>
      <c r="I21" s="1742"/>
    </row>
    <row r="22" spans="1:9" ht="15.6">
      <c r="A22" s="1735" t="s">
        <v>1342</v>
      </c>
      <c r="B22" s="1742"/>
      <c r="C22" s="1742"/>
      <c r="D22" s="1742"/>
      <c r="E22" s="1737" t="e">
        <f t="shared" si="0"/>
        <v>#DIV/0!</v>
      </c>
      <c r="F22" s="1737" t="e">
        <f t="shared" si="1"/>
        <v>#DIV/0!</v>
      </c>
      <c r="G22" s="1742"/>
      <c r="H22" s="1742"/>
      <c r="I22" s="1742"/>
    </row>
    <row r="23" spans="1:9" ht="15.6">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C35" sqref="C35"/>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3318</v>
      </c>
      <c r="D1" s="2409"/>
      <c r="E1" s="2409"/>
      <c r="F1" s="2411" t="s">
        <v>2117</v>
      </c>
      <c r="G1" s="2063" t="s">
        <v>3388</v>
      </c>
      <c r="H1" s="2412" t="str">
        <f>IF(G1="现房","——","估价对象范围")</f>
        <v>——</v>
      </c>
      <c r="I1" s="2413"/>
    </row>
    <row r="2" spans="1:12" ht="21.75" customHeight="1" thickBot="1">
      <c r="A2" s="3159" t="str">
        <f>项目基本情况!S2</f>
        <v>北京市大兴区黄村镇房地产</v>
      </c>
      <c r="B2" s="3160"/>
      <c r="C2" s="3160"/>
      <c r="D2" s="3160"/>
      <c r="E2" s="3160"/>
      <c r="F2" s="3160"/>
      <c r="G2" s="3160"/>
      <c r="H2" s="3160"/>
      <c r="I2" s="3161"/>
    </row>
    <row r="3" spans="1:12" ht="13.2">
      <c r="A3" s="3163" t="s">
        <v>2118</v>
      </c>
      <c r="B3" s="3164"/>
      <c r="C3" s="3164"/>
      <c r="D3" s="3164"/>
      <c r="E3" s="3164"/>
      <c r="F3" s="3164"/>
      <c r="G3" s="3164"/>
      <c r="H3" s="3164"/>
      <c r="I3" s="3164"/>
    </row>
    <row r="4" spans="1:12" ht="14.4">
      <c r="A4" s="2416" t="s">
        <v>2119</v>
      </c>
      <c r="B4" s="2417" t="s">
        <v>2120</v>
      </c>
      <c r="C4" s="2418" t="s">
        <v>3377</v>
      </c>
      <c r="D4" s="2418" t="s">
        <v>3371</v>
      </c>
      <c r="E4" s="3156" t="s">
        <v>2121</v>
      </c>
      <c r="F4" s="3157"/>
      <c r="G4" s="3157"/>
      <c r="H4" s="3157"/>
      <c r="I4" s="3165"/>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39" t="s">
        <v>2122</v>
      </c>
      <c r="B5" s="3077">
        <v>25</v>
      </c>
      <c r="C5" s="3142"/>
      <c r="D5" s="3162"/>
      <c r="E5" s="139" t="s">
        <v>2123</v>
      </c>
      <c r="F5" s="2420"/>
      <c r="G5" s="2420"/>
      <c r="H5" s="2420"/>
      <c r="I5" s="1827"/>
    </row>
    <row r="6" spans="1:12" ht="13.2">
      <c r="A6" s="3139"/>
      <c r="B6" s="3077"/>
      <c r="C6" s="3143"/>
      <c r="D6" s="3162"/>
      <c r="E6" s="139" t="s">
        <v>2124</v>
      </c>
      <c r="F6" s="2420"/>
      <c r="G6" s="2420"/>
      <c r="H6" s="2420"/>
      <c r="I6" s="1827"/>
    </row>
    <row r="7" spans="1:12" ht="13.2">
      <c r="A7" s="3139"/>
      <c r="B7" s="3077"/>
      <c r="C7" s="3144"/>
      <c r="D7" s="3162"/>
      <c r="E7" s="139" t="s">
        <v>2125</v>
      </c>
      <c r="F7" s="2420"/>
      <c r="G7" s="2420"/>
      <c r="H7" s="2420"/>
      <c r="I7" s="1827"/>
    </row>
    <row r="8" spans="1:12" ht="13.2">
      <c r="A8" s="3139" t="s">
        <v>2126</v>
      </c>
      <c r="B8" s="3077">
        <v>15</v>
      </c>
      <c r="C8" s="3142"/>
      <c r="D8" s="3162"/>
      <c r="E8" s="139" t="s">
        <v>2127</v>
      </c>
      <c r="F8" s="2420"/>
      <c r="G8" s="2420"/>
      <c r="H8" s="2420"/>
      <c r="I8" s="1827"/>
    </row>
    <row r="9" spans="1:12" ht="13.2">
      <c r="A9" s="3139"/>
      <c r="B9" s="3077"/>
      <c r="C9" s="3144"/>
      <c r="D9" s="3162"/>
      <c r="E9" s="139" t="s">
        <v>2128</v>
      </c>
      <c r="F9" s="2420"/>
      <c r="G9" s="2420"/>
      <c r="H9" s="2420"/>
      <c r="I9" s="1827"/>
    </row>
    <row r="10" spans="1:12" ht="13.2">
      <c r="A10" s="3139" t="s">
        <v>2129</v>
      </c>
      <c r="B10" s="3077">
        <v>15</v>
      </c>
      <c r="C10" s="3142"/>
      <c r="D10" s="3162"/>
      <c r="E10" s="139" t="s">
        <v>2130</v>
      </c>
      <c r="F10" s="2420"/>
      <c r="G10" s="2420"/>
      <c r="H10" s="2420"/>
      <c r="I10" s="1827"/>
    </row>
    <row r="11" spans="1:12" ht="13.2">
      <c r="A11" s="3139"/>
      <c r="B11" s="3077"/>
      <c r="C11" s="3144"/>
      <c r="D11" s="3162"/>
      <c r="E11" s="139" t="s">
        <v>2131</v>
      </c>
      <c r="F11" s="2420"/>
      <c r="G11" s="2420"/>
      <c r="H11" s="2420"/>
      <c r="I11" s="1827"/>
    </row>
    <row r="12" spans="1:12" ht="13.2">
      <c r="A12" s="3139" t="s">
        <v>2132</v>
      </c>
      <c r="B12" s="3077">
        <v>15</v>
      </c>
      <c r="C12" s="3142"/>
      <c r="D12" s="3162"/>
      <c r="E12" s="139" t="s">
        <v>2133</v>
      </c>
      <c r="F12" s="2420"/>
      <c r="G12" s="2420"/>
      <c r="H12" s="2420"/>
      <c r="I12" s="1827"/>
    </row>
    <row r="13" spans="1:12" ht="13.2">
      <c r="A13" s="3139"/>
      <c r="B13" s="3077"/>
      <c r="C13" s="3144"/>
      <c r="D13" s="3162"/>
      <c r="E13" s="139" t="s">
        <v>2134</v>
      </c>
      <c r="F13" s="2420"/>
      <c r="G13" s="2420"/>
      <c r="H13" s="2420"/>
      <c r="I13" s="1827"/>
    </row>
    <row r="14" spans="1:12" ht="13.2">
      <c r="A14" s="3139" t="s">
        <v>2135</v>
      </c>
      <c r="B14" s="3077">
        <v>30</v>
      </c>
      <c r="C14" s="3142">
        <v>5</v>
      </c>
      <c r="D14" s="3162">
        <v>5</v>
      </c>
      <c r="E14" s="139" t="s">
        <v>2136</v>
      </c>
      <c r="F14" s="2420"/>
      <c r="G14" s="2420"/>
      <c r="H14" s="2420"/>
      <c r="I14" s="1827"/>
    </row>
    <row r="15" spans="1:12" ht="13.2">
      <c r="A15" s="3139"/>
      <c r="B15" s="3077"/>
      <c r="C15" s="3143"/>
      <c r="D15" s="3162"/>
      <c r="E15" s="139" t="s">
        <v>2137</v>
      </c>
      <c r="F15" s="2420"/>
      <c r="G15" s="2420"/>
      <c r="H15" s="2420"/>
      <c r="I15" s="1827"/>
    </row>
    <row r="16" spans="1:12" ht="13.2">
      <c r="A16" s="3139"/>
      <c r="B16" s="3077"/>
      <c r="C16" s="3144"/>
      <c r="D16" s="3162"/>
      <c r="E16" s="139" t="s">
        <v>2138</v>
      </c>
      <c r="F16" s="2420"/>
      <c r="G16" s="2420"/>
      <c r="H16" s="2420"/>
      <c r="I16" s="1827"/>
    </row>
    <row r="17" spans="1:35" ht="14.4">
      <c r="A17" s="2421" t="s">
        <v>2139</v>
      </c>
      <c r="B17" s="63"/>
      <c r="C17" s="140">
        <f>SUM(C5:C16)</f>
        <v>5</v>
      </c>
      <c r="D17" s="140">
        <f>SUM(D5:D16)</f>
        <v>5</v>
      </c>
      <c r="E17" s="137"/>
      <c r="F17" s="137"/>
      <c r="G17" s="137"/>
      <c r="H17" s="137"/>
      <c r="I17" s="137"/>
      <c r="K17" s="2419"/>
      <c r="L17" s="2422" t="s">
        <v>2140</v>
      </c>
      <c r="M17" s="2422" t="s">
        <v>2141</v>
      </c>
    </row>
    <row r="18" spans="1:35" ht="1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22847.11</v>
      </c>
      <c r="M18" s="2419">
        <f>IF(C1="",'数据-汇总表'!E3,SUMIF(项目类型,C1,'数据-汇总表'!E17:E26))</f>
        <v>22847.11</v>
      </c>
    </row>
    <row r="19" spans="1:35" ht="14.4">
      <c r="A19" s="2425" t="s">
        <v>2144</v>
      </c>
      <c r="B19" s="2426" t="s">
        <v>2145</v>
      </c>
      <c r="C19" s="142">
        <f ca="1">SUMIF(INDIRECT("'"&amp;C4&amp;"'"&amp;"!A:A"),'结果表（办公）'!B19,INDIRECT("'"&amp;C4&amp;"'"&amp;"!B:B"))</f>
        <v>100159</v>
      </c>
      <c r="D19" s="143">
        <f ca="1">SUMIF(INDIRECT("'"&amp;D4&amp;"'"&amp;"!A:A"),'结果表（办公）'!B19,INDIRECT("'"&amp;D4&amp;"'"&amp;"!B:B"))</f>
        <v>100563</v>
      </c>
      <c r="E19" s="2425" t="s">
        <v>2146</v>
      </c>
      <c r="F19" s="2426" t="s">
        <v>2145</v>
      </c>
      <c r="G19" s="144">
        <f ca="1">ROUND(C19*$C$18+D19*$D$18,0)</f>
        <v>100361</v>
      </c>
      <c r="H19" s="2427" t="s">
        <v>2147</v>
      </c>
      <c r="I19" s="137"/>
      <c r="K19" s="2419" t="s">
        <v>2148</v>
      </c>
      <c r="L19" s="2419">
        <f>IF(C1="",'数据-汇总表'!D3,SUMIF(项目类型,C1,'数据-汇总表'!D17:D26)+SUMIF(项目类型,C1,'数据-汇总表'!H17:H27))</f>
        <v>3873.23</v>
      </c>
      <c r="M19" s="2419">
        <f>IF(C1="",'数据-汇总表'!D3,SUMIF(项目类型,C1,'数据-汇总表'!D17:D26))</f>
        <v>3873.23</v>
      </c>
    </row>
    <row r="20" spans="1:35" ht="14.4">
      <c r="A20" s="2428"/>
      <c r="B20" s="1243" t="s">
        <v>2149</v>
      </c>
      <c r="C20" s="145">
        <f ca="1">SUMIF(INDIRECT("'"&amp;C4&amp;"'"&amp;"!A:A"),'结果表（办公）'!B20,INDIRECT("'"&amp;C4&amp;"'"&amp;"!B:B"))</f>
        <v>43839</v>
      </c>
      <c r="D20" s="146">
        <f ca="1">SUMIF(INDIRECT("'"&amp;D4&amp;"'"&amp;"!A:A"),'结果表（办公）'!B20,INDIRECT("'"&amp;D4&amp;"'"&amp;"!B:B"))</f>
        <v>44016</v>
      </c>
      <c r="E20" s="2428"/>
      <c r="F20" s="1243" t="s">
        <v>2149</v>
      </c>
      <c r="G20" s="147">
        <f ca="1">ROUND(C20*$C$18+D20*$D$18,0)</f>
        <v>43928</v>
      </c>
      <c r="H20" s="976" t="s">
        <v>2150</v>
      </c>
      <c r="I20" s="137"/>
    </row>
    <row r="21" spans="1:35" ht="15" customHeight="1" thickBot="1">
      <c r="A21" s="996"/>
      <c r="B21" s="2429" t="s">
        <v>2151</v>
      </c>
      <c r="C21" s="788">
        <f ca="1">ROUND(C19*10000/L19,0)</f>
        <v>258593</v>
      </c>
      <c r="D21" s="789">
        <f ca="1">ROUND(D19*10000/L19,0)</f>
        <v>259636</v>
      </c>
      <c r="E21" s="996"/>
      <c r="F21" s="2429" t="s">
        <v>2151</v>
      </c>
      <c r="G21" s="148">
        <f ca="1">ROUND(G19*10000/L19,0)</f>
        <v>259114</v>
      </c>
      <c r="H21" s="2430" t="s">
        <v>2150</v>
      </c>
      <c r="I21" s="137"/>
    </row>
    <row r="22" spans="1:35" ht="15" thickBot="1">
      <c r="A22" s="2273" t="s">
        <v>2152</v>
      </c>
      <c r="B22" s="2431"/>
      <c r="C22" s="2432"/>
      <c r="D22" s="790">
        <f ca="1">IF(C19&lt;D19,D19/C19-1,C19/D19-1)</f>
        <v>4.0335865973102347E-3</v>
      </c>
      <c r="E22" s="137"/>
      <c r="F22" s="137"/>
      <c r="G22" s="137"/>
      <c r="H22" s="137"/>
      <c r="I22" s="137"/>
    </row>
    <row r="23" spans="1:35" ht="13.8" thickBot="1">
      <c r="A23" s="2409"/>
      <c r="B23" s="2409"/>
      <c r="C23" s="2409"/>
      <c r="D23" s="2409"/>
      <c r="E23" s="137"/>
      <c r="F23" s="137"/>
      <c r="G23" s="137"/>
      <c r="H23" s="137"/>
      <c r="I23" s="137"/>
    </row>
    <row r="24" spans="1:35" ht="14.4">
      <c r="A24" s="3133" t="s">
        <v>2153</v>
      </c>
      <c r="B24" s="2426" t="s">
        <v>2145</v>
      </c>
      <c r="C24" s="144">
        <f>IF(B30=0,0,D30)</f>
        <v>0</v>
      </c>
      <c r="D24" s="2433"/>
      <c r="E24" s="137"/>
      <c r="F24" s="137"/>
      <c r="G24" s="137"/>
      <c r="H24" s="137"/>
      <c r="I24" s="137"/>
    </row>
    <row r="25" spans="1:35" ht="14.4">
      <c r="A25" s="313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100361</v>
      </c>
      <c r="D32" s="2440" t="s">
        <v>2160</v>
      </c>
      <c r="E32" s="137"/>
      <c r="F32" s="137"/>
      <c r="G32" s="137"/>
      <c r="H32" s="137"/>
      <c r="I32" s="137"/>
    </row>
    <row r="33" spans="1:15" ht="14.4">
      <c r="A33" s="953" t="s">
        <v>2161</v>
      </c>
      <c r="B33" s="2441"/>
      <c r="C33" s="2442" t="s">
        <v>3389</v>
      </c>
      <c r="D33" s="2443" t="s">
        <v>3377</v>
      </c>
      <c r="E33" s="2444" t="s">
        <v>2162</v>
      </c>
      <c r="F33" s="2445" t="str">
        <f>IF(D32="楼面单价","取值（单价）","取值（总价）")</f>
        <v>取值（总价）</v>
      </c>
      <c r="G33" s="137"/>
      <c r="H33" s="137"/>
      <c r="I33" s="137"/>
    </row>
    <row r="34" spans="1:15" ht="14.4">
      <c r="A34" s="2446"/>
      <c r="B34" s="2447" t="s">
        <v>2163</v>
      </c>
      <c r="C34" s="156">
        <f ca="1">IF(C33="自定义",F34,C32-C35)</f>
        <v>86511</v>
      </c>
      <c r="D34" s="1051">
        <f ca="1">IF(C33="自定义",ROUND(C34/C32,3),IF(C33="收益比率",SUMIF(INDIRECT("'"&amp;D33&amp;"'"&amp;"!b:b"),"土地收益比率",INDIRECT("'"&amp;D33&amp;"'"&amp;"!c:c")),SUMIF(INDIRECT("'"&amp;D33&amp;"'"&amp;"!b:b"),"土地成本比率",INDIRECT("'"&amp;D33&amp;"'"&amp;"!c:c"))))</f>
        <v>0.86199999999999999</v>
      </c>
      <c r="E34" s="2448" t="s">
        <v>2164</v>
      </c>
      <c r="F34" s="1732"/>
      <c r="G34" s="137"/>
      <c r="H34" s="137"/>
      <c r="I34" s="137"/>
    </row>
    <row r="35" spans="1:15" ht="15" thickBot="1">
      <c r="A35" s="2449"/>
      <c r="B35" s="2450" t="s">
        <v>2165</v>
      </c>
      <c r="C35" s="1437">
        <f ca="1">IF(C33="自定义",F35,ROUND(C32*D35,0))</f>
        <v>13850</v>
      </c>
      <c r="D35" s="1438">
        <f ca="1">IF(C33="自定义",ROUND(C35/C32,3),IF(C33="收益比率",SUMIF(INDIRECT("'"&amp;D33&amp;"'"&amp;"!b:b"),"建筑物收益比率",INDIRECT("'"&amp;D33&amp;"'"&amp;"!c:c")),SUMIF(INDIRECT("'"&amp;D33&amp;"'"&amp;"!b:b"),"建筑物成本比率",INDIRECT("'"&amp;D33&amp;"'"&amp;"!c:c"))))</f>
        <v>0.13800000000000001</v>
      </c>
      <c r="E35" s="2451" t="s">
        <v>2166</v>
      </c>
      <c r="F35" s="162"/>
      <c r="G35" s="137"/>
      <c r="H35" s="137"/>
      <c r="I35" s="137"/>
    </row>
    <row r="36" spans="1:15" ht="15" thickBot="1">
      <c r="A36" s="3151" t="s">
        <v>2167</v>
      </c>
      <c r="B36" s="2452" t="s">
        <v>2168</v>
      </c>
      <c r="C36" s="153"/>
      <c r="D36" s="2453"/>
      <c r="E36" s="2454"/>
      <c r="F36" s="2455"/>
      <c r="G36" s="137"/>
      <c r="H36" s="137"/>
      <c r="I36" s="137"/>
    </row>
    <row r="37" spans="1:15" ht="15" thickBot="1">
      <c r="A37" s="3152"/>
      <c r="B37" s="2259" t="s">
        <v>2169</v>
      </c>
      <c r="C37" s="155"/>
      <c r="D37" s="1388"/>
      <c r="E37" s="1388"/>
      <c r="F37" s="2455"/>
      <c r="G37" s="137"/>
      <c r="H37" s="137"/>
      <c r="I37" s="137"/>
    </row>
    <row r="38" spans="1:15" ht="15" thickBot="1">
      <c r="A38" s="3153"/>
      <c r="B38" s="2456" t="s">
        <v>2170</v>
      </c>
      <c r="C38" s="726"/>
      <c r="D38" s="2457" t="s">
        <v>2171</v>
      </c>
      <c r="E38" s="1388"/>
      <c r="F38" s="2455"/>
      <c r="G38" s="137"/>
      <c r="H38" s="137"/>
      <c r="I38" s="137"/>
    </row>
    <row r="39" spans="1:15" ht="14.4">
      <c r="A39" s="2428" t="s">
        <v>2172</v>
      </c>
      <c r="B39" s="2458" t="s">
        <v>2173</v>
      </c>
      <c r="C39" s="2459" t="s">
        <v>2174</v>
      </c>
      <c r="D39" s="2459" t="s">
        <v>2175</v>
      </c>
      <c r="E39" s="2460" t="s">
        <v>2176</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30" t="s">
        <v>2181</v>
      </c>
      <c r="B45" s="3131"/>
      <c r="C45" s="3132"/>
      <c r="D45" s="163">
        <f ca="1">ROUND(H101*F45,0)</f>
        <v>100361</v>
      </c>
      <c r="E45" s="164" t="s">
        <v>2182</v>
      </c>
      <c r="F45" s="165">
        <v>1</v>
      </c>
      <c r="G45" s="166" t="s">
        <v>2183</v>
      </c>
      <c r="H45" s="137"/>
      <c r="I45" s="137"/>
      <c r="J45" s="3190" t="s">
        <v>2184</v>
      </c>
      <c r="K45" s="3190"/>
      <c r="L45" s="3190"/>
      <c r="M45" s="3190"/>
      <c r="N45" s="3190"/>
      <c r="O45" s="3190"/>
    </row>
    <row r="46" spans="1:15" ht="14.25" customHeight="1">
      <c r="A46" s="3127" t="s">
        <v>2185</v>
      </c>
      <c r="B46" s="3128"/>
      <c r="C46" s="3128"/>
      <c r="D46" s="3128"/>
      <c r="E46" s="3128"/>
      <c r="F46" s="3128"/>
      <c r="G46" s="3129"/>
      <c r="H46" s="2471"/>
      <c r="I46" s="167"/>
      <c r="J46" s="1805">
        <v>1</v>
      </c>
      <c r="K46" s="3190" t="s">
        <v>2186</v>
      </c>
      <c r="L46" s="3190"/>
      <c r="M46" s="3210"/>
      <c r="N46" s="3210"/>
      <c r="O46" s="3210"/>
    </row>
    <row r="47" spans="1:15" ht="12" customHeight="1">
      <c r="A47" s="168" t="s">
        <v>2187</v>
      </c>
      <c r="B47" s="169"/>
      <c r="C47" s="170"/>
      <c r="D47" s="171" t="s">
        <v>2188</v>
      </c>
      <c r="E47" s="23" t="s">
        <v>2189</v>
      </c>
      <c r="F47" s="172" t="s">
        <v>2190</v>
      </c>
      <c r="G47" s="173" t="s">
        <v>2191</v>
      </c>
      <c r="H47" s="2471"/>
      <c r="I47" s="167"/>
      <c r="J47" s="1805">
        <v>2</v>
      </c>
      <c r="K47" s="3190" t="s">
        <v>2192</v>
      </c>
      <c r="L47" s="3190"/>
      <c r="M47" s="3211">
        <f>'数据-取费表'!B2</f>
        <v>43227</v>
      </c>
      <c r="N47" s="3211"/>
      <c r="O47" s="3211"/>
    </row>
    <row r="48" spans="1:15" ht="26.4">
      <c r="A48" s="3158" t="s">
        <v>2193</v>
      </c>
      <c r="B48" s="3141"/>
      <c r="C48" s="3141"/>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90" t="s">
        <v>2196</v>
      </c>
      <c r="L48" s="3190"/>
      <c r="M48" s="3212">
        <f ca="1">H101</f>
        <v>100361</v>
      </c>
      <c r="N48" s="3212"/>
      <c r="O48" s="3212"/>
    </row>
    <row r="49" spans="1:35" ht="25.5" customHeight="1">
      <c r="A49" s="175" t="s">
        <v>2197</v>
      </c>
      <c r="B49" s="3126" t="s">
        <v>2198</v>
      </c>
      <c r="C49" s="3126"/>
      <c r="D49" s="176">
        <v>0</v>
      </c>
      <c r="E49" s="22" t="s">
        <v>2199</v>
      </c>
      <c r="F49" s="27" t="s">
        <v>34</v>
      </c>
      <c r="G49" s="3196"/>
      <c r="H49" s="137"/>
      <c r="I49" s="2474"/>
      <c r="J49" s="1805">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100361</v>
      </c>
      <c r="N49" s="3212"/>
      <c r="O49" s="3212"/>
    </row>
    <row r="50" spans="1:35" ht="25.5" customHeight="1">
      <c r="A50" s="177"/>
      <c r="B50" s="3126" t="s">
        <v>2200</v>
      </c>
      <c r="C50" s="3126"/>
      <c r="D50" s="178"/>
      <c r="E50" s="30"/>
      <c r="F50" s="179"/>
      <c r="G50" s="3197"/>
      <c r="H50" s="137"/>
      <c r="I50" s="2474"/>
      <c r="J50" s="3190" t="s">
        <v>2201</v>
      </c>
      <c r="K50" s="3190"/>
      <c r="L50" s="3190"/>
      <c r="M50" s="3190"/>
      <c r="N50" s="3190"/>
      <c r="O50" s="3190"/>
    </row>
    <row r="51" spans="1:35" ht="12" customHeight="1">
      <c r="A51" s="180"/>
      <c r="B51" s="3126" t="s">
        <v>2202</v>
      </c>
      <c r="C51" s="3126"/>
      <c r="D51" s="181"/>
      <c r="E51" s="29"/>
      <c r="F51" s="179"/>
      <c r="G51" s="3198"/>
      <c r="H51" s="137"/>
      <c r="I51" s="2474"/>
      <c r="J51" s="2475" t="s">
        <v>2203</v>
      </c>
      <c r="K51" s="3190" t="s">
        <v>2204</v>
      </c>
      <c r="L51" s="3190"/>
      <c r="M51" s="2475" t="s">
        <v>2205</v>
      </c>
      <c r="N51" s="2475" t="s">
        <v>2206</v>
      </c>
      <c r="O51" s="2475" t="s">
        <v>2207</v>
      </c>
    </row>
    <row r="52" spans="1:35" ht="24" customHeight="1">
      <c r="A52" s="182" t="s">
        <v>2208</v>
      </c>
      <c r="B52" s="3126" t="s">
        <v>2209</v>
      </c>
      <c r="C52" s="3126"/>
      <c r="D52" s="181">
        <f ca="1">ROUND(D45*'数据-取费表'!B41/(1+'数据-取费表'!C42),0)</f>
        <v>5257</v>
      </c>
      <c r="E52" s="11" t="s">
        <v>2210</v>
      </c>
      <c r="F52" s="183">
        <f>'数据-取费表'!B41</f>
        <v>5.5000000000000007E-2</v>
      </c>
      <c r="G52" s="2476"/>
      <c r="H52" s="137"/>
      <c r="I52" s="2474"/>
      <c r="J52" s="1805">
        <v>1</v>
      </c>
      <c r="K52" s="3191" t="s">
        <v>2211</v>
      </c>
      <c r="L52" s="3191"/>
      <c r="M52" s="1747">
        <f>D48</f>
        <v>0</v>
      </c>
      <c r="N52" s="1805" t="str">
        <f>E48</f>
        <v>销售额×税（费）率</v>
      </c>
      <c r="O52" s="1748" t="str">
        <f>F48</f>
        <v>免征</v>
      </c>
    </row>
    <row r="53" spans="1:35" ht="12" customHeight="1">
      <c r="A53" s="182" t="s">
        <v>2212</v>
      </c>
      <c r="B53" s="3149" t="s">
        <v>2213</v>
      </c>
      <c r="C53" s="3150"/>
      <c r="D53" s="181">
        <f ca="1">ROUND(D45*'数据-取费表'!B41/(1+'数据-取费表'!C42),0)</f>
        <v>5257</v>
      </c>
      <c r="E53" s="11" t="s">
        <v>2210</v>
      </c>
      <c r="F53" s="183">
        <f>'数据-取费表'!B41</f>
        <v>5.5000000000000007E-2</v>
      </c>
      <c r="G53" s="2476"/>
      <c r="H53" s="137"/>
      <c r="I53" s="2474"/>
      <c r="J53" s="1805">
        <v>2</v>
      </c>
      <c r="K53" s="3191" t="s">
        <v>2214</v>
      </c>
      <c r="L53" s="3191"/>
      <c r="M53" s="1747">
        <f t="shared" ref="M53:O54" ca="1" si="0">D55</f>
        <v>50</v>
      </c>
      <c r="N53" s="1805" t="str">
        <f t="shared" si="0"/>
        <v>销售额×税（费）率</v>
      </c>
      <c r="O53" s="1748">
        <f t="shared" si="0"/>
        <v>5.0000000000000001E-4</v>
      </c>
    </row>
    <row r="54" spans="1:35" ht="12" customHeight="1">
      <c r="A54" s="182" t="s">
        <v>2215</v>
      </c>
      <c r="B54" s="3149" t="s">
        <v>2216</v>
      </c>
      <c r="C54" s="3150"/>
      <c r="D54" s="181">
        <f ca="1">C68</f>
        <v>5257</v>
      </c>
      <c r="E54" s="29" t="s">
        <v>2217</v>
      </c>
      <c r="F54" s="183">
        <f>'数据-取费表'!B41</f>
        <v>5.5000000000000007E-2</v>
      </c>
      <c r="G54" s="2476"/>
      <c r="H54" s="2477"/>
      <c r="I54" s="2474"/>
      <c r="J54" s="1805">
        <v>3</v>
      </c>
      <c r="K54" s="3191" t="s">
        <v>2218</v>
      </c>
      <c r="L54" s="3191"/>
      <c r="M54" s="1747">
        <f t="shared" ca="1" si="0"/>
        <v>56895</v>
      </c>
      <c r="N54" s="1805" t="str">
        <f t="shared" si="0"/>
        <v>增值额×税（费）率</v>
      </c>
      <c r="O54" s="1749" t="str">
        <f t="shared" si="0"/>
        <v>——</v>
      </c>
    </row>
    <row r="55" spans="1:35" ht="24" customHeight="1">
      <c r="A55" s="3140" t="s">
        <v>2219</v>
      </c>
      <c r="B55" s="3141"/>
      <c r="C55" s="3141"/>
      <c r="D55" s="184">
        <f ca="1">IF(H55="个人住宅",0,ROUND(D45*I55,0))</f>
        <v>50</v>
      </c>
      <c r="E55" s="11" t="s">
        <v>2220</v>
      </c>
      <c r="F55" s="183">
        <f>IF(H55="正常",I55,"免征")</f>
        <v>5.0000000000000001E-4</v>
      </c>
      <c r="G55" s="2476"/>
      <c r="H55" s="2473" t="s">
        <v>2221</v>
      </c>
      <c r="I55" s="185">
        <f>'数据-取费表'!B49</f>
        <v>5.0000000000000001E-4</v>
      </c>
      <c r="J55" s="1805" t="str">
        <f>IF(H59="非个人房产","",4)</f>
        <v/>
      </c>
      <c r="K55" s="3191" t="str">
        <f>IF(H59="非个人房产","——","个人所得税")</f>
        <v>——</v>
      </c>
      <c r="L55" s="3191"/>
      <c r="M55" s="1750" t="str">
        <f>D59</f>
        <v>——</v>
      </c>
      <c r="N55" s="1803" t="str">
        <f>E59</f>
        <v>——</v>
      </c>
      <c r="O55" s="1751" t="str">
        <f>F59</f>
        <v>——</v>
      </c>
    </row>
    <row r="56" spans="1:35" ht="25.2">
      <c r="A56" s="3140" t="s">
        <v>2222</v>
      </c>
      <c r="B56" s="3141"/>
      <c r="C56" s="3141"/>
      <c r="D56" s="184">
        <f ca="1">IF(H56="个人住宅",D57,D58)</f>
        <v>56895</v>
      </c>
      <c r="E56" s="11" t="s">
        <v>2223</v>
      </c>
      <c r="F56" s="183" t="str">
        <f>IF(H56="正常",F58,"免征")</f>
        <v>——</v>
      </c>
      <c r="G56" s="2478" t="s">
        <v>2224</v>
      </c>
      <c r="H56" s="2479" t="s">
        <v>2221</v>
      </c>
      <c r="I56" s="2480"/>
      <c r="J56" s="1805" t="str">
        <f>IF(项目基本情况!K6="上海银行",IF(J55="",4,J55+1),"")</f>
        <v/>
      </c>
      <c r="K56" s="3214" t="str">
        <f>IF(项目基本情况!K6="上海银行","其他处置费用","")</f>
        <v/>
      </c>
      <c r="L56" s="3215"/>
      <c r="M56" s="1747" t="str">
        <f>IF(项目基本情况!K6="上海银行",M69,"")</f>
        <v/>
      </c>
      <c r="N56" s="3217" t="str">
        <f>IF(项目基本情况!K6="上海银行","包含处置中涉及的律师、诉讼、拍卖、评估等费用","")</f>
        <v/>
      </c>
      <c r="O56" s="3218"/>
    </row>
    <row r="57" spans="1:35" ht="13.2">
      <c r="A57" s="182" t="s">
        <v>2197</v>
      </c>
      <c r="B57" s="3156" t="s">
        <v>2225</v>
      </c>
      <c r="C57" s="3165"/>
      <c r="D57" s="186">
        <v>0</v>
      </c>
      <c r="E57" s="22" t="s">
        <v>2199</v>
      </c>
      <c r="F57" s="154"/>
      <c r="G57" s="2476"/>
      <c r="H57" s="2480"/>
      <c r="I57" s="2480"/>
      <c r="J57" s="3191">
        <f>IF(AND(J55="",J56=""),4,IF(项目基本情况!K6="上海银行",'结果表（办公）'!J56+1,'结果表（办公）'!J55+1))</f>
        <v>4</v>
      </c>
      <c r="K57" s="3191" t="s">
        <v>2226</v>
      </c>
      <c r="L57" s="2481" t="s">
        <v>2227</v>
      </c>
      <c r="M57" s="1752"/>
      <c r="N57" s="1753">
        <f ca="1">SUMIF(M52:M56,"&lt;9e307")</f>
        <v>56945</v>
      </c>
      <c r="O57" s="2482"/>
      <c r="P57" s="1746">
        <f ca="1">N57/M49</f>
        <v>0.56740167993543311</v>
      </c>
    </row>
    <row r="58" spans="1:35" ht="25.2">
      <c r="A58" s="182" t="s">
        <v>2208</v>
      </c>
      <c r="B58" s="3156" t="s">
        <v>2228</v>
      </c>
      <c r="C58" s="3157"/>
      <c r="D58" s="184">
        <f ca="1">IF(H58="转让取得",C81,C97)</f>
        <v>56895</v>
      </c>
      <c r="E58" s="11" t="s">
        <v>2223</v>
      </c>
      <c r="F58" s="23" t="s">
        <v>34</v>
      </c>
      <c r="G58" s="2476"/>
      <c r="H58" s="2479" t="s">
        <v>2229</v>
      </c>
      <c r="I58" s="2480"/>
      <c r="J58" s="3191"/>
      <c r="K58" s="3191"/>
      <c r="L58" s="2481" t="s">
        <v>2230</v>
      </c>
      <c r="M58" s="1754"/>
      <c r="N58" s="2483" t="str">
        <f ca="1">NUMBERSTRING(INT(N57*10000),2)&amp;"元整"</f>
        <v>伍亿陆仟玖佰肆拾伍万元整</v>
      </c>
      <c r="O58" s="2484"/>
    </row>
    <row r="59" spans="1:35" ht="24.6" thickBot="1">
      <c r="A59" s="3194" t="s">
        <v>2231</v>
      </c>
      <c r="B59" s="3195"/>
      <c r="C59" s="319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2">
        <f>J57+1</f>
        <v>5</v>
      </c>
      <c r="K59" s="3191" t="s">
        <v>2233</v>
      </c>
      <c r="L59" s="1805" t="s">
        <v>2227</v>
      </c>
      <c r="M59" s="1755"/>
      <c r="N59" s="1756">
        <f ca="1">M49-N57</f>
        <v>43416</v>
      </c>
      <c r="O59" s="2486"/>
    </row>
    <row r="60" spans="1:35" ht="12" customHeight="1">
      <c r="A60" s="2487"/>
      <c r="B60" s="2409"/>
      <c r="C60" s="2409"/>
      <c r="D60" s="2409"/>
      <c r="E60" s="2159"/>
      <c r="F60" s="2480"/>
      <c r="G60" s="2480"/>
      <c r="H60" s="2488"/>
      <c r="I60" s="137"/>
      <c r="J60" s="3193"/>
      <c r="K60" s="3191"/>
      <c r="L60" s="2481" t="s">
        <v>2230</v>
      </c>
      <c r="M60" s="1754"/>
      <c r="N60" s="2483" t="str">
        <f ca="1">NUMBERSTRING(INT(N59*10000),2)&amp;"元整"</f>
        <v>肆亿叁仟肆佰壹拾陆万元整</v>
      </c>
      <c r="O60" s="2484"/>
    </row>
    <row r="61" spans="1:35" ht="13.8" thickBot="1">
      <c r="A61" s="3138" t="s">
        <v>2234</v>
      </c>
      <c r="B61" s="3138"/>
      <c r="C61" s="3138"/>
      <c r="D61" s="3138"/>
      <c r="E61" s="3138"/>
      <c r="F61" s="2480"/>
      <c r="G61" s="2480"/>
      <c r="H61" s="2488"/>
      <c r="I61" s="137"/>
      <c r="J61" s="1805">
        <f>J59+1</f>
        <v>6</v>
      </c>
      <c r="K61" s="3191" t="s">
        <v>2235</v>
      </c>
      <c r="L61" s="3191"/>
      <c r="M61" s="1757"/>
      <c r="N61" s="1758">
        <f ca="1">ROUND(N59*10000/'数据-汇总表'!E3,0)</f>
        <v>15537</v>
      </c>
      <c r="O61" s="2489"/>
    </row>
    <row r="62" spans="1:35" ht="13.2">
      <c r="A62" s="3154" t="s">
        <v>2236</v>
      </c>
      <c r="B62" s="3155"/>
      <c r="C62" s="1797"/>
      <c r="D62" s="1797" t="s">
        <v>2237</v>
      </c>
      <c r="E62" s="191" t="s">
        <v>2238</v>
      </c>
      <c r="F62" s="2480"/>
      <c r="G62" s="2480"/>
      <c r="H62" s="2488"/>
      <c r="I62" s="137"/>
    </row>
    <row r="63" spans="1:35" ht="13.2">
      <c r="A63" s="202" t="s">
        <v>775</v>
      </c>
      <c r="B63" s="192" t="s">
        <v>2239</v>
      </c>
      <c r="C63" s="193">
        <f ca="1">ROUND((C64+C65)/(1+'数据-取费表'!C42),0)</f>
        <v>95582</v>
      </c>
      <c r="D63" s="194"/>
      <c r="E63" s="195"/>
      <c r="F63" s="2480"/>
      <c r="G63" s="2480"/>
      <c r="H63" s="2488"/>
      <c r="I63" s="137"/>
      <c r="J63" s="3216" t="s">
        <v>2240</v>
      </c>
      <c r="K63" s="2490" t="s">
        <v>2241</v>
      </c>
      <c r="L63" s="1745">
        <f ca="1">IF(M49&gt;10000,M49*0.5%,IF(AND(M49&gt;1000,M49&lt;=10000),M49*1%,IF(AND(M49&gt;100,M49&lt;=1000),M49*3%,IF(AND(M49&gt;10,M49&lt;=100),M49*5%,M49*8%))))</f>
        <v>501.80500000000001</v>
      </c>
      <c r="M63" s="23">
        <f ca="1">ROUND(L63,1)</f>
        <v>501.8</v>
      </c>
      <c r="Z63" s="2414"/>
      <c r="AI63" s="2415"/>
    </row>
    <row r="64" spans="1:35" ht="14.25" customHeight="1">
      <c r="A64" s="196" t="s">
        <v>770</v>
      </c>
      <c r="B64" s="197" t="s">
        <v>2242</v>
      </c>
      <c r="C64" s="198">
        <f ca="1">D45</f>
        <v>100361</v>
      </c>
      <c r="D64" s="199" t="s">
        <v>32</v>
      </c>
      <c r="E64" s="200"/>
      <c r="F64" s="2480"/>
      <c r="G64" s="2480"/>
      <c r="H64" s="2488"/>
      <c r="I64" s="137"/>
      <c r="J64" s="3216"/>
      <c r="K64" s="2490" t="s">
        <v>2243</v>
      </c>
      <c r="L64" s="1745">
        <f ca="1">IF(M49&gt;2000,M49*0.5%,IF(AND(M49&gt;1000,M49&lt;=2000),M49*0.6%,IF(AND(M49&gt;500,M49&lt;=1000),M49*0.7%,IF(AND(M49&gt;200,M49&lt;=500),M49*0.8%,IF(AND(M49&gt;100,M49&lt;=200),M49*0.9%,IF(AND(M49&gt;50,M49&lt;=100),M49*1%,IF(AND(M49&gt;20,M49&lt;=50),M49*1.5%,IF(AND(M49&gt;10,M49&lt;=20),M49*2%,IF(AND(M49&gt;1,M49&lt;=10),M49*2.5%)))))))))</f>
        <v>501.80500000000001</v>
      </c>
      <c r="M64" s="23">
        <f t="shared" ref="M64:M65" ca="1" si="1">ROUND(L64,1)</f>
        <v>501.8</v>
      </c>
      <c r="N64" s="137" t="s">
        <v>2244</v>
      </c>
      <c r="Z64" s="2414"/>
      <c r="AI64" s="2415"/>
    </row>
    <row r="65" spans="1:35" ht="14.25" customHeight="1">
      <c r="A65" s="196" t="s">
        <v>771</v>
      </c>
      <c r="B65" s="197" t="s">
        <v>2245</v>
      </c>
      <c r="C65" s="201"/>
      <c r="D65" s="199"/>
      <c r="E65" s="200"/>
      <c r="F65" s="2480"/>
      <c r="G65" s="2480"/>
      <c r="H65" s="2488"/>
      <c r="I65" s="137"/>
      <c r="J65" s="3216"/>
      <c r="K65" s="2490" t="s">
        <v>2246</v>
      </c>
      <c r="L65" s="1745">
        <f ca="1">IF(M49&gt;1000,M49*0.1%,IF(AND(M49&gt;500,M49&lt;=1000),M49*0.5%,IF(AND(M49&gt;50,M49&lt;=500),M49*1%,IF(AND(M49&gt;1,M49&lt;=50),M49*1.5%))))</f>
        <v>100.361</v>
      </c>
      <c r="M65" s="23">
        <f t="shared" ca="1" si="1"/>
        <v>100.4</v>
      </c>
      <c r="N65" s="137" t="s">
        <v>2244</v>
      </c>
      <c r="Z65" s="2414"/>
      <c r="AI65" s="2415"/>
    </row>
    <row r="66" spans="1:35" ht="14.25" customHeight="1">
      <c r="A66" s="202" t="s">
        <v>772</v>
      </c>
      <c r="B66" s="203" t="s">
        <v>2247</v>
      </c>
      <c r="C66" s="204"/>
      <c r="D66" s="205" t="s">
        <v>32</v>
      </c>
      <c r="E66" s="1769" t="s">
        <v>1371</v>
      </c>
      <c r="F66" s="2480"/>
      <c r="G66" s="2480"/>
      <c r="H66" s="2488"/>
      <c r="I66" s="137"/>
      <c r="J66" s="3216"/>
      <c r="K66" s="2490" t="s">
        <v>2248</v>
      </c>
      <c r="L66" s="1745">
        <f ca="1">M49*0.5%</f>
        <v>501.80500000000001</v>
      </c>
      <c r="M66" s="23">
        <f ca="1">IF(L66&gt;0.5,0.5,ROUND(L66,0))</f>
        <v>0.5</v>
      </c>
      <c r="N66" s="137" t="s">
        <v>2249</v>
      </c>
      <c r="Z66" s="2414"/>
      <c r="AI66" s="2415"/>
    </row>
    <row r="67" spans="1:35" ht="14.25" customHeight="1">
      <c r="A67" s="202" t="s">
        <v>773</v>
      </c>
      <c r="B67" s="203" t="s">
        <v>2250</v>
      </c>
      <c r="C67" s="206">
        <f ca="1">C63-C66</f>
        <v>95582</v>
      </c>
      <c r="D67" s="199" t="s">
        <v>32</v>
      </c>
      <c r="E67" s="200"/>
      <c r="F67" s="2480"/>
      <c r="G67" s="2480"/>
      <c r="H67" s="2488"/>
      <c r="I67" s="137"/>
      <c r="J67" s="3216"/>
      <c r="K67" s="2490" t="s">
        <v>2251</v>
      </c>
      <c r="L67" s="1745">
        <f ca="1">IF(M49&gt;=10000,(8.25+(M49-10000)*0.01%),IF(AND(M49&gt;=8000,M49&lt;10000),(7.85+(M49-8000)*0.02%),IF(AND(M49&gt;=5000,M49&lt;8000),(6.65+(M49-5000)*0.04%),IF(AND(M49&gt;=2000,M49&lt;5000),(4.25+(PM49-2000)*0.08%),IF(AND(M49&gt;=1000,M49&lt;2000),(2.75+(M49-1000)*0.15%),IF(AND(M49&gt;=100,M49&lt;1000),(0.5+(M49-100)*0.25%),IF(AND(M49&gt;0,M49&lt;100),M49*0.5%)))))))</f>
        <v>17.286100000000001</v>
      </c>
      <c r="M67" s="23">
        <f ca="1">ROUND(L67*0.9,1)</f>
        <v>15.6</v>
      </c>
      <c r="Z67" s="2414"/>
      <c r="AI67" s="2415"/>
    </row>
    <row r="68" spans="1:35" ht="14.25" customHeight="1" thickBot="1">
      <c r="A68" s="207" t="s">
        <v>774</v>
      </c>
      <c r="B68" s="208" t="s">
        <v>2252</v>
      </c>
      <c r="C68" s="209">
        <f ca="1">IF(C67&lt;=0,0,ROUND(C67*D68,0))</f>
        <v>5257</v>
      </c>
      <c r="D68" s="210">
        <f>'数据-取费表'!B41</f>
        <v>5.5000000000000007E-2</v>
      </c>
      <c r="E68" s="211"/>
      <c r="F68" s="2480"/>
      <c r="G68" s="2480"/>
      <c r="H68" s="2488"/>
      <c r="I68" s="137"/>
      <c r="J68" s="3216"/>
      <c r="K68" s="2490" t="s">
        <v>2253</v>
      </c>
      <c r="L68" s="1745">
        <f ca="1">IF(M49&gt;10000,M49*0.5%,IF(AND(M49&gt;5000,M49&lt;=10000),M49*1%,IF(AND(M49&gt;1000,M49&lt;=5000),M49*2%,IF(AND(M49&gt;200,M49&lt;=1000),M49*3%,M49*5%))))</f>
        <v>501.80500000000001</v>
      </c>
      <c r="M68" s="23">
        <f ca="1">ROUND(L68,1)</f>
        <v>501.8</v>
      </c>
      <c r="Z68" s="2414"/>
      <c r="AI68" s="2415"/>
    </row>
    <row r="69" spans="1:35" s="2437" customFormat="1" ht="16.5" customHeight="1">
      <c r="A69" s="2491"/>
      <c r="B69" s="2492"/>
      <c r="C69" s="2493"/>
      <c r="D69" s="2494"/>
      <c r="E69" s="2495"/>
      <c r="F69" s="2159"/>
      <c r="G69" s="2159"/>
      <c r="H69" s="2158"/>
      <c r="I69" s="2409"/>
      <c r="J69" s="3216"/>
      <c r="K69" s="2490" t="s">
        <v>2254</v>
      </c>
      <c r="L69" s="2496"/>
      <c r="M69" s="23">
        <f ca="1">ROUND(SUM(M63:M68),0)</f>
        <v>1622</v>
      </c>
      <c r="N69" s="1746">
        <f ca="1">M69/M49</f>
        <v>1.6161656420322634E-2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5" t="s">
        <v>2255</v>
      </c>
      <c r="B70" s="3176"/>
      <c r="C70" s="3176"/>
      <c r="D70" s="3176"/>
      <c r="E70" s="3176"/>
      <c r="F70" s="3176"/>
      <c r="G70" s="3176"/>
      <c r="H70" s="317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54" t="s">
        <v>2236</v>
      </c>
      <c r="B71" s="3155"/>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95582</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478</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49" t="s">
        <v>2264</v>
      </c>
      <c r="F76" s="3126"/>
      <c r="G76" s="3126"/>
      <c r="H76" s="317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478</v>
      </c>
      <c r="D78" s="225">
        <f>'数据-取费表'!B43</f>
        <v>5.000000000000001E-3</v>
      </c>
      <c r="E78" s="3135" t="s">
        <v>2269</v>
      </c>
      <c r="F78" s="3136"/>
      <c r="G78" s="3136"/>
      <c r="H78" s="314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2270</v>
      </c>
      <c r="C79" s="206">
        <f ca="1">C72-C73</f>
        <v>95104</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198.96234309623432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56895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5" t="s">
        <v>2273</v>
      </c>
      <c r="B83" s="3176"/>
      <c r="C83" s="3176"/>
      <c r="D83" s="3176"/>
      <c r="E83" s="3176"/>
      <c r="F83" s="3176"/>
      <c r="G83" s="3176"/>
      <c r="H83" s="317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54" t="s">
        <v>2236</v>
      </c>
      <c r="B84" s="3155"/>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95582</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478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35" t="s">
        <v>2282</v>
      </c>
      <c r="F91" s="3136"/>
      <c r="G91" s="3136"/>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35" t="s">
        <v>2286</v>
      </c>
      <c r="F92" s="3136"/>
      <c r="G92" s="3136"/>
      <c r="H92" s="314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478</v>
      </c>
      <c r="D93" s="225">
        <f>'数据-取费表'!B43</f>
        <v>5.000000000000001E-3</v>
      </c>
      <c r="E93" s="3135" t="s">
        <v>2269</v>
      </c>
      <c r="F93" s="3136"/>
      <c r="G93" s="3136"/>
      <c r="H93" s="314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46" t="s">
        <v>2290</v>
      </c>
      <c r="F94" s="3147"/>
      <c r="G94" s="3147"/>
      <c r="H94" s="314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2270</v>
      </c>
      <c r="C95" s="206">
        <f ca="1">ROUND(C85-C86,0)</f>
        <v>95104</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198.96234309623432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56895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0" t="s">
        <v>2292</v>
      </c>
      <c r="B100" s="3121"/>
      <c r="C100" s="3121"/>
      <c r="D100" s="3137"/>
      <c r="E100" s="3121" t="s">
        <v>2293</v>
      </c>
      <c r="F100" s="3121"/>
      <c r="G100" s="3121"/>
      <c r="H100" s="3137"/>
      <c r="I100" s="137"/>
    </row>
    <row r="101" spans="1:35" ht="18.75" customHeight="1">
      <c r="A101" s="3199" t="s">
        <v>2294</v>
      </c>
      <c r="B101" s="3200"/>
      <c r="C101" s="735" t="str">
        <f>C4</f>
        <v>成本法（办公）</v>
      </c>
      <c r="D101" s="736" t="str">
        <f>D4</f>
        <v>收益法（办公）</v>
      </c>
      <c r="E101" s="3213" t="s">
        <v>2295</v>
      </c>
      <c r="F101" s="3167"/>
      <c r="G101" s="2511" t="s">
        <v>2296</v>
      </c>
      <c r="H101" s="1041">
        <f ca="1">H118</f>
        <v>100361</v>
      </c>
      <c r="I101" s="137"/>
    </row>
    <row r="102" spans="1:35" ht="18.75" customHeight="1">
      <c r="A102" s="3169" t="s">
        <v>2297</v>
      </c>
      <c r="B102" s="2511" t="s">
        <v>2296</v>
      </c>
      <c r="C102" s="735">
        <f ca="1">C19</f>
        <v>100159</v>
      </c>
      <c r="D102" s="736">
        <f ca="1">D19</f>
        <v>100563</v>
      </c>
      <c r="E102" s="3213"/>
      <c r="F102" s="3167"/>
      <c r="G102" s="2511" t="s">
        <v>2298</v>
      </c>
      <c r="H102" s="370">
        <f ca="1">I118</f>
        <v>43927</v>
      </c>
      <c r="I102" s="137"/>
    </row>
    <row r="103" spans="1:35" ht="42.75" customHeight="1">
      <c r="A103" s="3169"/>
      <c r="B103" s="2511" t="s">
        <v>2298</v>
      </c>
      <c r="C103" s="737">
        <f ca="1">C20</f>
        <v>43839</v>
      </c>
      <c r="D103" s="738">
        <f ca="1">D20</f>
        <v>44016</v>
      </c>
      <c r="E103" s="3208" t="s">
        <v>2299</v>
      </c>
      <c r="F103" s="3209"/>
      <c r="G103" s="2512" t="s">
        <v>2300</v>
      </c>
      <c r="H103" s="1041">
        <f>IF(D36="正常操作",H104+H105+H106,H105+H106)</f>
        <v>0</v>
      </c>
      <c r="I103" s="137"/>
    </row>
    <row r="104" spans="1:35" ht="18.75" customHeight="1">
      <c r="A104" s="3169" t="s">
        <v>2301</v>
      </c>
      <c r="B104" s="2513" t="s">
        <v>2296</v>
      </c>
      <c r="C104" s="739">
        <f ca="1">H118</f>
        <v>100361</v>
      </c>
      <c r="D104" s="740"/>
      <c r="E104" s="2259" t="s">
        <v>2302</v>
      </c>
      <c r="F104" s="2251"/>
      <c r="G104" s="2512" t="s">
        <v>2300</v>
      </c>
      <c r="H104" s="1042">
        <f>IF(D36="同一抵押权人同一抵押物续贷",C36&amp;"（未扣减，详见特别提示）",C36)</f>
        <v>0</v>
      </c>
      <c r="I104" s="137"/>
    </row>
    <row r="105" spans="1:35" ht="18.75" customHeight="1" thickBot="1">
      <c r="A105" s="3170"/>
      <c r="B105" s="2514" t="s">
        <v>2298</v>
      </c>
      <c r="C105" s="741">
        <f ca="1">I118</f>
        <v>43927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6" t="str">
        <f>IF(项目基本情况!E8="已注销","——","3.房地产抵押价值")</f>
        <v>——</v>
      </c>
      <c r="F107" s="3167"/>
      <c r="G107" s="2511" t="s">
        <v>2296</v>
      </c>
      <c r="H107" s="1041" t="str">
        <f>IF(E107="——","——",H101-H103)</f>
        <v>——</v>
      </c>
      <c r="I107" s="137"/>
    </row>
    <row r="108" spans="1:35" ht="18.75" customHeight="1">
      <c r="A108" s="137"/>
      <c r="B108" s="137"/>
      <c r="C108" s="137"/>
      <c r="D108" s="137"/>
      <c r="E108" s="3166"/>
      <c r="F108" s="3167"/>
      <c r="G108" s="2511" t="s">
        <v>2298</v>
      </c>
      <c r="H108" s="370" t="e">
        <f>ROUND(H107*10000/'数据-汇总表'!E3,0)</f>
        <v>#VALUE!</v>
      </c>
      <c r="I108" s="137"/>
    </row>
    <row r="109" spans="1:35" ht="18.75" customHeight="1">
      <c r="A109" s="137"/>
      <c r="B109" s="137"/>
      <c r="C109" s="137"/>
      <c r="D109" s="137"/>
      <c r="E109" s="3166" t="str">
        <f>IF(项目基本情况!E8="已注销及未注销","4.抵押担保权已注销时的房地产抵押价值",IF(项目基本情况!E8="已注销","3.抵押担保权已注销时的房地产抵押价值","——"))</f>
        <v>3.抵押担保权已注销时的房地产抵押价值</v>
      </c>
      <c r="F109" s="3167"/>
      <c r="G109" s="2511" t="s">
        <v>2296</v>
      </c>
      <c r="H109" s="347">
        <f ca="1">IF(E109="——","——",H101-H105-H106)</f>
        <v>100361</v>
      </c>
      <c r="I109" s="137"/>
    </row>
    <row r="110" spans="1:35" ht="18.75" customHeight="1">
      <c r="A110" s="137"/>
      <c r="B110" s="137"/>
      <c r="C110" s="137"/>
      <c r="D110" s="137"/>
      <c r="E110" s="3166"/>
      <c r="F110" s="3167"/>
      <c r="G110" s="2511" t="s">
        <v>2298</v>
      </c>
      <c r="H110" s="370">
        <f ca="1">IF(H109="——","——",ROUND(H109*10000/'数据-汇总表'!E3,0))</f>
        <v>35915</v>
      </c>
      <c r="I110" s="137"/>
    </row>
    <row r="111" spans="1:35" ht="18.75" customHeight="1">
      <c r="A111" s="137"/>
      <c r="B111" s="137"/>
      <c r="C111" s="137"/>
      <c r="D111" s="137"/>
      <c r="E111" s="3201" t="str">
        <f>IF(项目基本情况!E9="抵押净值",IF(OR(项目基本情况!E8="已注销",项目基本情况!E8="房地产抵押价值"),"4.抵押净值","5.抵押净值"),"——")</f>
        <v>——</v>
      </c>
      <c r="F111" s="3202"/>
      <c r="G111" s="2511" t="s">
        <v>2296</v>
      </c>
      <c r="H111" s="1041" t="str">
        <f>IF(E111="——","——",N59)</f>
        <v>——</v>
      </c>
      <c r="I111" s="137"/>
    </row>
    <row r="112" spans="1:35" ht="18.75" customHeight="1" thickBot="1">
      <c r="A112" s="137"/>
      <c r="B112" s="137"/>
      <c r="C112" s="137"/>
      <c r="D112" s="137"/>
      <c r="E112" s="3203"/>
      <c r="F112" s="3204"/>
      <c r="G112" s="2516" t="s">
        <v>2298</v>
      </c>
      <c r="H112" s="789" t="str">
        <f>IF(E111="——","——",N61)</f>
        <v>——</v>
      </c>
      <c r="I112" s="137"/>
    </row>
    <row r="113" spans="1:11" ht="18.75" customHeight="1">
      <c r="A113" s="137"/>
      <c r="B113" s="137"/>
      <c r="C113" s="137"/>
      <c r="D113" s="137"/>
      <c r="E113" s="3171" t="s">
        <v>2304</v>
      </c>
      <c r="F113" s="3171"/>
      <c r="G113" s="3171"/>
      <c r="H113" s="3171"/>
      <c r="I113" s="137"/>
    </row>
    <row r="114" spans="1:11" ht="3.75" customHeight="1">
      <c r="A114" s="2409"/>
      <c r="B114" s="2409"/>
      <c r="C114" s="2409"/>
      <c r="D114" s="2409"/>
      <c r="E114" s="2487"/>
      <c r="F114" s="2487"/>
      <c r="G114" s="2487"/>
      <c r="H114" s="2487"/>
      <c r="I114" s="2409"/>
    </row>
    <row r="115" spans="1:11" ht="18.75" customHeight="1">
      <c r="A115" s="3184" t="s">
        <v>2306</v>
      </c>
      <c r="B115" s="3185"/>
      <c r="C115" s="3185"/>
      <c r="D115" s="3185"/>
      <c r="E115" s="3185"/>
      <c r="F115" s="3185"/>
      <c r="G115" s="3185"/>
      <c r="H115" s="3185"/>
      <c r="I115" s="3186"/>
    </row>
    <row r="116" spans="1:11" ht="27" customHeight="1">
      <c r="A116" s="3077" t="s">
        <v>2307</v>
      </c>
      <c r="B116" s="3172" t="s">
        <v>2308</v>
      </c>
      <c r="C116" s="3172" t="s">
        <v>2309</v>
      </c>
      <c r="D116" s="3188" t="s">
        <v>2310</v>
      </c>
      <c r="E116" s="3189"/>
      <c r="F116" s="3180" t="s">
        <v>2311</v>
      </c>
      <c r="G116" s="3180"/>
      <c r="H116" s="3077" t="s">
        <v>2312</v>
      </c>
      <c r="I116" s="3077"/>
    </row>
    <row r="117" spans="1:11" ht="18.75" customHeight="1">
      <c r="A117" s="3077"/>
      <c r="B117" s="3173"/>
      <c r="C117" s="3173"/>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22847.11</v>
      </c>
      <c r="C118" s="1791">
        <f>M19</f>
        <v>3873.23</v>
      </c>
      <c r="D118" s="1791">
        <f ca="1">ROUND(IF(D32="总价",C34,E118*B118/10000),0)</f>
        <v>86511</v>
      </c>
      <c r="E118" s="1791">
        <f ca="1">ROUND(IF(C33="自定义",IF(D32="楼面单价",C34,D118*10000/B118),I118-G118),0)</f>
        <v>37865</v>
      </c>
      <c r="F118" s="1791">
        <f ca="1">ROUND(IF(D32="总价",C35,G118*B118/10000),0)</f>
        <v>13850</v>
      </c>
      <c r="G118" s="1791">
        <f ca="1">ROUND(IF(D32="楼面单价",C35,F118*10000/B118),0)</f>
        <v>6062</v>
      </c>
      <c r="H118" s="1791">
        <f ca="1">ROUND(IF(D32="总价",C32,I118*B118/10000),0)</f>
        <v>100361</v>
      </c>
      <c r="I118" s="1791">
        <f ca="1">ROUND(IF(D32="楼面单价",C32,H118*10000/B118),0)</f>
        <v>43927</v>
      </c>
    </row>
    <row r="119" spans="1:11" ht="18.75" customHeight="1">
      <c r="A119" s="3077" t="s">
        <v>2316</v>
      </c>
      <c r="B119" s="3077"/>
      <c r="C119" s="3077"/>
      <c r="D119" s="3177" t="str">
        <f ca="1">NUMBERSTRING(INT(D118*10000),2)&amp;"元整"</f>
        <v>捌亿陆仟伍佰壹拾壹万元整</v>
      </c>
      <c r="E119" s="3179"/>
      <c r="F119" s="3177" t="str">
        <f ca="1">NUMBERSTRING(INT(F118*10000),2)&amp;"元整"</f>
        <v>壹亿叁仟捌佰伍拾万元整</v>
      </c>
      <c r="G119" s="3179"/>
      <c r="H119" s="3177" t="str">
        <f ca="1">NUMBERSTRING(INT(H118*10000),2)&amp;"元整"</f>
        <v>壹拾亿零叁佰陆拾壹万元整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4" t="str">
        <f>IF(D120=0,"故，本次评估不存在"&amp;A120,"故，本次评估"&amp;A120&amp;"为人民币"&amp;D120&amp;"万元整。")</f>
        <v>故，本次评估不存在估价师知悉的法定优先受偿款</v>
      </c>
    </row>
    <row r="121" spans="1:11" ht="18.75" customHeight="1">
      <c r="A121" s="3181" t="s">
        <v>2316</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
      </c>
      <c r="B122" s="3168"/>
      <c r="C122" s="3168"/>
      <c r="D122" s="3205" t="str">
        <f>H107</f>
        <v>——</v>
      </c>
      <c r="E122" s="3206"/>
      <c r="F122" s="3206"/>
      <c r="G122" s="3206"/>
      <c r="H122" s="3206"/>
      <c r="I122" s="3207"/>
    </row>
    <row r="123" spans="1:11" ht="18.75" customHeight="1">
      <c r="A123" s="3077" t="s">
        <v>2316</v>
      </c>
      <c r="B123" s="3077"/>
      <c r="C123" s="3077"/>
      <c r="D123" s="3177" t="e">
        <f>NUMBERSTRING(INT(D122*10000),2)&amp;"元整"</f>
        <v>#VALUE!</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100361</v>
      </c>
      <c r="E124" s="3206"/>
      <c r="F124" s="3206"/>
      <c r="G124" s="3206"/>
      <c r="H124" s="3206"/>
      <c r="I124" s="3207"/>
    </row>
    <row r="125" spans="1:11" ht="18.75" customHeight="1">
      <c r="A125" s="3077" t="s">
        <v>2316</v>
      </c>
      <c r="B125" s="3077"/>
      <c r="C125" s="3077"/>
      <c r="D125" s="3177" t="str">
        <f ca="1">NUMBERSTRING(INT(D124*10000),2)&amp;"元整"</f>
        <v>壹拾亿零叁佰陆拾壹万元整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2316</v>
      </c>
      <c r="B127" s="3077"/>
      <c r="C127" s="3077"/>
      <c r="D127" s="3177" t="e">
        <f>NUMBERSTRING(INT(D126*10000),2)&amp;"元整"</f>
        <v>#VALUE!</v>
      </c>
      <c r="E127" s="3178"/>
      <c r="F127" s="3178"/>
      <c r="G127" s="3178"/>
      <c r="H127" s="3178"/>
      <c r="I127" s="3179"/>
    </row>
    <row r="128" spans="1:11" ht="21.75" customHeight="1">
      <c r="A128" s="3187" t="s">
        <v>2317</v>
      </c>
      <c r="B128" s="3187"/>
      <c r="C128" s="3187"/>
      <c r="D128" s="3187"/>
      <c r="E128" s="3187"/>
      <c r="F128" s="3187"/>
      <c r="G128" s="3187"/>
      <c r="H128" s="3187"/>
      <c r="I128" s="3187"/>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3318</v>
      </c>
      <c r="C1" s="241"/>
      <c r="D1" s="241"/>
      <c r="E1" s="241"/>
      <c r="F1" s="241"/>
      <c r="G1" s="1375">
        <f>MATCH(B1,'数据-取费表'!A6:A16,0)+5</f>
        <v>6</v>
      </c>
    </row>
    <row r="2" spans="1:9" s="243" customFormat="1" ht="18" customHeight="1">
      <c r="A2" s="244" t="s">
        <v>2326</v>
      </c>
      <c r="B2" s="245">
        <f ca="1">IF(D2="——",C52,C52-E2)</f>
        <v>100159</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43839</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C6+C7+C8</f>
        <v>57930</v>
      </c>
      <c r="D5" s="254" t="s">
        <v>2333</v>
      </c>
      <c r="E5" s="255" t="s">
        <v>2334</v>
      </c>
      <c r="F5" s="255" t="s">
        <v>2335</v>
      </c>
      <c r="G5" s="256"/>
    </row>
    <row r="6" spans="1:9" s="257" customFormat="1" ht="13.5" customHeight="1">
      <c r="A6" s="945" t="s">
        <v>2336</v>
      </c>
      <c r="B6" s="258" t="s">
        <v>2337</v>
      </c>
      <c r="C6" s="259">
        <f>ROUND('数据-汇总表'!F19*'土地比较法-住宅、综合'!C48/10000,0)</f>
        <v>56215</v>
      </c>
      <c r="D6" s="260"/>
      <c r="E6" s="261"/>
      <c r="F6" s="261"/>
      <c r="G6" s="262"/>
    </row>
    <row r="7" spans="1:9" s="257" customFormat="1" ht="13.5" customHeight="1">
      <c r="A7" s="945" t="s">
        <v>2338</v>
      </c>
      <c r="B7" s="258" t="s">
        <v>2339</v>
      </c>
      <c r="C7" s="263">
        <f>ROUND(C6*F7,0)</f>
        <v>1715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457</v>
      </c>
      <c r="D10" s="1028">
        <f ca="1">IF(B1="",'数据-汇总表'!E6,IF(INDIRECT("'数据-取费表'!c"&amp;$G$1)="住宅",INDIRECT("'数据-取费表'!s"&amp;$G$1),INDIRECT("'数据-取费表'!k"&amp;$G$1)+INDIRECT("'数据-取费表'!s"&amp;$G$1)))</f>
        <v>22847.11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22847.11</v>
      </c>
      <c r="E19" s="254">
        <f>'数据-取费表'!B31</f>
        <v>200</v>
      </c>
      <c r="F19" s="274"/>
      <c r="G19" s="2543" t="s">
        <v>3054</v>
      </c>
    </row>
    <row r="20" spans="1:7" s="257" customFormat="1" ht="13.5" customHeight="1">
      <c r="A20" s="298" t="s">
        <v>2357</v>
      </c>
      <c r="B20" s="253" t="s">
        <v>2358</v>
      </c>
      <c r="C20" s="275">
        <f>ROUND((C5+C19)*F20,0)</f>
        <v>1159</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8737</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8653</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84</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11818</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11818</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86363</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10007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9139</v>
      </c>
      <c r="D34" s="260"/>
      <c r="E34" s="263"/>
      <c r="F34" s="300">
        <f ca="1">IF('数据-取费表'!B24=0,1,IF(B1="",'数据-取费表'!N16,INDIRECT("'数据-取费表'!n"&amp;$G$1)))</f>
        <v>1</v>
      </c>
      <c r="G34" s="262" t="s">
        <v>2390</v>
      </c>
    </row>
    <row r="35" spans="1:7" ht="13.5" customHeight="1">
      <c r="A35" s="947" t="s">
        <v>796</v>
      </c>
      <c r="B35" s="258" t="s">
        <v>2391</v>
      </c>
      <c r="C35" s="263">
        <f ca="1">ROUND(C34*F35,0)</f>
        <v>274</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457</v>
      </c>
      <c r="D37" s="260">
        <f ca="1">D19</f>
        <v>22847.11</v>
      </c>
      <c r="E37" s="292">
        <f>'数据-取费表'!B35</f>
        <v>200</v>
      </c>
      <c r="F37" s="302"/>
      <c r="G37" s="304" t="s">
        <v>2396</v>
      </c>
    </row>
    <row r="38" spans="1:7" ht="13.5" customHeight="1">
      <c r="A38" s="947" t="s">
        <v>799</v>
      </c>
      <c r="B38" s="258" t="s">
        <v>2397</v>
      </c>
      <c r="C38" s="263">
        <f ca="1">ROUND(C34*F38,0)</f>
        <v>137</v>
      </c>
      <c r="D38" s="263"/>
      <c r="E38" s="263"/>
      <c r="F38" s="302">
        <f>'数据-取费表'!B36</f>
        <v>1.4999999999999999E-2</v>
      </c>
      <c r="G38" s="262" t="s">
        <v>2392</v>
      </c>
    </row>
    <row r="39" spans="1:7" s="257" customFormat="1" ht="13.5" customHeight="1">
      <c r="A39" s="298" t="s">
        <v>2398</v>
      </c>
      <c r="B39" s="253" t="s">
        <v>2399</v>
      </c>
      <c r="C39" s="275">
        <f ca="1">ROUND(C33*F20,0)</f>
        <v>200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735</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721</v>
      </c>
      <c r="D42" s="281"/>
      <c r="E42" s="281"/>
      <c r="F42" s="282"/>
      <c r="G42" s="3219" t="s">
        <v>2408</v>
      </c>
    </row>
    <row r="43" spans="1:7" ht="13.5" customHeight="1">
      <c r="A43" s="947" t="s">
        <v>792</v>
      </c>
      <c r="B43" s="258" t="s">
        <v>2409</v>
      </c>
      <c r="C43" s="281">
        <f ca="1">ROUND(IF('数据-取费表'!B22&lt;=1,C39*F22*'数据-取费表'!B21/2,C39*(POWER((1+F22),'数据-取费表'!B21/2)-1)),0)</f>
        <v>14</v>
      </c>
      <c r="D43" s="281"/>
      <c r="E43" s="281"/>
      <c r="F43" s="282"/>
      <c r="G43" s="3220"/>
    </row>
    <row r="44" spans="1:7" ht="13.5" customHeight="1">
      <c r="A44" s="947" t="s">
        <v>793</v>
      </c>
      <c r="B44" s="258" t="s">
        <v>2410</v>
      </c>
      <c r="C44" s="281">
        <f ca="1">ROUND(IF('数据-取费表'!B22&lt;=1,C40*F22*'数据-取费表'!B21/2,C40*(POWER((1+F22),'数据-取费表'!B21/2)-1)),4)</f>
        <v>1.4E-3</v>
      </c>
      <c r="D44" s="281"/>
      <c r="E44" s="281"/>
      <c r="F44" s="282"/>
      <c r="G44" s="3221"/>
    </row>
    <row r="45" spans="1:7" s="257" customFormat="1" ht="13.5" customHeight="1">
      <c r="A45" s="298" t="s">
        <v>2411</v>
      </c>
      <c r="B45" s="287" t="s">
        <v>2377</v>
      </c>
      <c r="C45" s="288">
        <f ca="1">C46</f>
        <v>2041</v>
      </c>
      <c r="D45" s="278">
        <f ca="1">C47</f>
        <v>4.0000000000000001E-3</v>
      </c>
      <c r="E45" s="279" t="s">
        <v>2403</v>
      </c>
      <c r="F45" s="289"/>
      <c r="G45" s="290" t="s">
        <v>2412</v>
      </c>
    </row>
    <row r="46" spans="1:7" s="257" customFormat="1" ht="13.5" customHeight="1">
      <c r="A46" s="947" t="s">
        <v>791</v>
      </c>
      <c r="B46" s="291" t="s">
        <v>2413</v>
      </c>
      <c r="C46" s="292">
        <f ca="1">ROUND((C33+C39)*F27,0)</f>
        <v>2041</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14078</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13796</v>
      </c>
      <c r="D51" s="275"/>
      <c r="E51" s="275"/>
      <c r="F51" s="307"/>
      <c r="G51" s="277" t="s">
        <v>2424</v>
      </c>
    </row>
    <row r="52" spans="1:7" s="251" customFormat="1" ht="16.8" thickBot="1">
      <c r="A52" s="308" t="s">
        <v>2425</v>
      </c>
      <c r="B52" s="309"/>
      <c r="C52" s="310">
        <f ca="1">C31+C51</f>
        <v>100159</v>
      </c>
      <c r="D52" s="309"/>
      <c r="E52" s="309"/>
      <c r="F52" s="309"/>
      <c r="G52" s="311"/>
    </row>
    <row r="55" spans="1:7" ht="15">
      <c r="B55" s="313" t="s">
        <v>2426</v>
      </c>
      <c r="C55" s="314"/>
    </row>
    <row r="56" spans="1:7">
      <c r="B56" s="316" t="s">
        <v>1514</v>
      </c>
      <c r="C56" s="318">
        <f ca="1">1-C57</f>
        <v>0.86199999999999999</v>
      </c>
    </row>
    <row r="57" spans="1:7">
      <c r="B57" s="316" t="s">
        <v>1515</v>
      </c>
      <c r="C57" s="317">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3033" t="str">
        <f>项目基本情况!B1</f>
        <v>北京市大兴区黄村镇房地产抵押价值预评估</v>
      </c>
      <c r="C37" s="3033"/>
      <c r="D37" s="3033"/>
      <c r="E37" s="3033"/>
      <c r="F37" s="3033"/>
      <c r="G37" s="3033"/>
      <c r="H37" s="3033"/>
      <c r="I37" s="3033"/>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15778</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5646</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f ca="1">基准地价修正!B2*10000</f>
        <v>0</v>
      </c>
      <c r="D6" s="260"/>
      <c r="E6" s="261"/>
      <c r="F6" s="261"/>
      <c r="G6" s="262"/>
    </row>
    <row r="7" spans="1:8" s="257" customFormat="1" ht="13.5" customHeight="1">
      <c r="A7" s="945" t="s">
        <v>2338</v>
      </c>
      <c r="B7" s="258" t="s">
        <v>2339</v>
      </c>
      <c r="C7" s="263">
        <f ca="1">ROUND(C6*F7,0)</f>
        <v>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5588862</v>
      </c>
      <c r="D10" s="1028">
        <f ca="1">IF(B1="",'数据-汇总表'!E6,IF(INDIRECT("'数据-取费表'!c"&amp;$G$1)="住宅",INDIRECT("'数据-取费表'!s"&amp;$G$1),INDIRECT("'数据-取费表'!k"&amp;$G$1)+INDIRECT("'数据-取费表'!s"&amp;$G$1)))</f>
        <v>27944.309999999998</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27944.309999999998</v>
      </c>
      <c r="E19" s="254">
        <f>'数据-取费表'!B31</f>
        <v>200</v>
      </c>
      <c r="F19" s="274"/>
      <c r="G19" s="2543" t="s">
        <v>3054</v>
      </c>
    </row>
    <row r="20" spans="1:7" s="257" customFormat="1" ht="13.5" customHeight="1">
      <c r="A20" s="298" t="s">
        <v>2438</v>
      </c>
      <c r="B20" s="253" t="s">
        <v>2439</v>
      </c>
      <c r="C20" s="275">
        <f ca="1">ROUND((C5+C19)*F20,0)</f>
        <v>0</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0</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0</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6.4">
      <c r="A27" s="298" t="s">
        <v>2376</v>
      </c>
      <c r="B27" s="287" t="s">
        <v>2377</v>
      </c>
      <c r="C27" s="288">
        <f ca="1">C28</f>
        <v>0</v>
      </c>
      <c r="D27" s="278">
        <f ca="1">C29</f>
        <v>3.8E-3</v>
      </c>
      <c r="E27" s="279" t="s">
        <v>2378</v>
      </c>
      <c r="F27" s="289">
        <f ca="1">IF(B1="",'数据-取费表'!Q16,INDIRECT("'数据-取费表'!q"&amp;$G$1))</f>
        <v>0.19</v>
      </c>
      <c r="G27" s="290" t="s">
        <v>2379</v>
      </c>
    </row>
    <row r="28" spans="1:7" s="257" customFormat="1" ht="13.5" customHeight="1">
      <c r="A28" s="947" t="s">
        <v>791</v>
      </c>
      <c r="B28" s="291" t="s">
        <v>2380</v>
      </c>
      <c r="C28" s="292">
        <f ca="1">ROUND((C5+C19+C20)*F27,0)</f>
        <v>0</v>
      </c>
      <c r="D28" s="278"/>
      <c r="E28" s="279"/>
      <c r="F28" s="289"/>
      <c r="G28" s="290"/>
    </row>
    <row r="29" spans="1:7" s="257" customFormat="1" ht="13.5" customHeight="1">
      <c r="A29" s="947" t="s">
        <v>792</v>
      </c>
      <c r="B29" s="291" t="s">
        <v>2381</v>
      </c>
      <c r="C29" s="281">
        <f ca="1">ROUND(C21*F27,4)</f>
        <v>3.8E-3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0</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115360208</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105044350</v>
      </c>
      <c r="D34" s="260"/>
      <c r="E34" s="263"/>
      <c r="F34" s="300"/>
      <c r="G34" s="262"/>
    </row>
    <row r="35" spans="1:7" ht="13.5" customHeight="1">
      <c r="A35" s="947" t="s">
        <v>796</v>
      </c>
      <c r="B35" s="258" t="s">
        <v>2391</v>
      </c>
      <c r="C35" s="263">
        <f ca="1">ROUND(C34*F35,0)</f>
        <v>3151331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5588862</v>
      </c>
      <c r="D37" s="260">
        <f ca="1">D19</f>
        <v>27944.309999999998</v>
      </c>
      <c r="E37" s="292">
        <f>'数据-取费表'!B35</f>
        <v>200</v>
      </c>
      <c r="F37" s="302"/>
      <c r="G37" s="304"/>
    </row>
    <row r="38" spans="1:7" ht="13.5" customHeight="1">
      <c r="A38" s="947" t="s">
        <v>799</v>
      </c>
      <c r="B38" s="258" t="s">
        <v>2397</v>
      </c>
      <c r="C38" s="263">
        <f ca="1">ROUND(C34*F38,0)</f>
        <v>1575665</v>
      </c>
      <c r="D38" s="263"/>
      <c r="E38" s="263"/>
      <c r="F38" s="302">
        <f>'数据-取费表'!B36</f>
        <v>1.4999999999999999E-2</v>
      </c>
      <c r="G38" s="262" t="s">
        <v>2392</v>
      </c>
    </row>
    <row r="39" spans="1:7" s="257" customFormat="1" ht="13.5" customHeight="1">
      <c r="A39" s="298" t="s">
        <v>2398</v>
      </c>
      <c r="B39" s="253" t="s">
        <v>2399</v>
      </c>
      <c r="C39" s="275">
        <f ca="1">ROUND(C33*F20,0)</f>
        <v>2307204</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8482586</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8316261</v>
      </c>
      <c r="D42" s="281"/>
      <c r="E42" s="281"/>
      <c r="F42" s="282"/>
      <c r="G42" s="3219" t="s">
        <v>2455</v>
      </c>
    </row>
    <row r="43" spans="1:7" ht="13.5" customHeight="1">
      <c r="A43" s="947" t="s">
        <v>792</v>
      </c>
      <c r="B43" s="258" t="s">
        <v>2409</v>
      </c>
      <c r="C43" s="281">
        <f ca="1">ROUND(IF('数据-取费表'!B22&lt;=1,C39*F22*'数据-取费表'!B20/2,C39*(POWER((1+F22),'数据-取费表'!B20/2)-1)),0)</f>
        <v>166325</v>
      </c>
      <c r="D43" s="281"/>
      <c r="E43" s="281"/>
      <c r="F43" s="282"/>
      <c r="G43" s="3220"/>
    </row>
    <row r="44" spans="1:7" ht="13.5" customHeight="1">
      <c r="A44" s="947" t="s">
        <v>793</v>
      </c>
      <c r="B44" s="258" t="s">
        <v>2410</v>
      </c>
      <c r="C44" s="281">
        <f ca="1">ROUND(IF('数据-取费表'!B22&lt;=1,C40*F22*'数据-取费表'!B20/2,C40*(POWER((1+F22),'数据-取费表'!B20/2)-1)),4)</f>
        <v>1.4E-3</v>
      </c>
      <c r="D44" s="281"/>
      <c r="E44" s="281"/>
      <c r="F44" s="282"/>
      <c r="G44" s="3221"/>
    </row>
    <row r="45" spans="1:7" s="257" customFormat="1" ht="13.5" customHeight="1">
      <c r="A45" s="298" t="s">
        <v>2411</v>
      </c>
      <c r="B45" s="287" t="s">
        <v>2377</v>
      </c>
      <c r="C45" s="288">
        <f ca="1">C46</f>
        <v>22356808</v>
      </c>
      <c r="D45" s="278">
        <f ca="1">C47</f>
        <v>3.8E-3</v>
      </c>
      <c r="E45" s="279" t="s">
        <v>2403</v>
      </c>
      <c r="F45" s="289"/>
      <c r="G45" s="290" t="s">
        <v>2412</v>
      </c>
    </row>
    <row r="46" spans="1:7" s="257" customFormat="1" ht="13.5" customHeight="1">
      <c r="A46" s="947" t="s">
        <v>791</v>
      </c>
      <c r="B46" s="291" t="s">
        <v>2413</v>
      </c>
      <c r="C46" s="292">
        <f ca="1">ROUND((C33+C39)*F27,0)</f>
        <v>22356808</v>
      </c>
      <c r="D46" s="306"/>
      <c r="E46" s="279"/>
      <c r="F46" s="289"/>
      <c r="G46" s="290"/>
    </row>
    <row r="47" spans="1:7" s="257" customFormat="1" ht="13.5" customHeight="1">
      <c r="A47" s="947" t="s">
        <v>792</v>
      </c>
      <c r="B47" s="291" t="s">
        <v>2414</v>
      </c>
      <c r="C47" s="281">
        <f ca="1">ROUND(C40*F27,4)</f>
        <v>3.8E-3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161000440</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157780431</v>
      </c>
      <c r="D51" s="275"/>
      <c r="E51" s="275"/>
      <c r="F51" s="307"/>
      <c r="G51" s="277" t="s">
        <v>2424</v>
      </c>
    </row>
    <row r="52" spans="1:7" s="251" customFormat="1" ht="16.8" thickBot="1">
      <c r="A52" s="308" t="s">
        <v>2425</v>
      </c>
      <c r="B52" s="309"/>
      <c r="C52" s="310">
        <f ca="1">C31+C51</f>
        <v>157780431</v>
      </c>
      <c r="D52" s="309"/>
      <c r="E52" s="309"/>
      <c r="F52" s="309"/>
      <c r="G52" s="311"/>
    </row>
    <row r="55" spans="1:7" ht="15">
      <c r="B55" s="313" t="s">
        <v>2426</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48" customWidth="1"/>
    <col min="3" max="3" width="10.33203125" style="991" customWidth="1"/>
    <col min="4" max="4" width="9.88671875" style="948" customWidth="1"/>
    <col min="5" max="5" width="9.44140625" style="797"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2458</v>
      </c>
      <c r="B1" s="1577"/>
      <c r="C1" s="1578"/>
      <c r="D1" s="1576"/>
      <c r="E1" s="319"/>
      <c r="F1" s="319"/>
      <c r="G1" s="1577"/>
      <c r="H1" s="319"/>
      <c r="I1" s="319"/>
      <c r="J1" s="319"/>
      <c r="K1" s="319">
        <f>MATCH(C1,'数据-取费表'!A6:A16,0)+5</f>
        <v>9</v>
      </c>
    </row>
    <row r="2" spans="1:33" ht="18" customHeight="1">
      <c r="A2" s="244" t="s">
        <v>2326</v>
      </c>
      <c r="B2" s="247">
        <f ca="1">C32</f>
        <v>-659</v>
      </c>
      <c r="C2" s="319" t="s">
        <v>2459</v>
      </c>
      <c r="D2" s="319"/>
      <c r="E2" s="319"/>
      <c r="F2" s="319"/>
      <c r="G2" s="319"/>
      <c r="H2" s="319"/>
      <c r="I2" s="319"/>
      <c r="J2" s="319"/>
      <c r="K2" s="319"/>
    </row>
    <row r="3" spans="1:33" ht="18" customHeight="1" thickBot="1">
      <c r="A3" s="246" t="s">
        <v>2328</v>
      </c>
      <c r="B3" s="247">
        <f ca="1">ROUND(B2*10000/IF(C1="",'数据-汇总表'!E3,INDIRECT("'数据-取费表'!K"&amp;$K$1)),0)</f>
        <v>-236</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5.2">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4184.2899999999991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27944.309999999998</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27944.309999999998</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559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559</v>
      </c>
      <c r="D20" s="1029">
        <f ca="1">IF(C1="",'数据-汇总表'!E6,IF(INDIRECT("'数据-取费表'!c"&amp;$K$1)="住宅",INDIRECT("'数据-取费表'!s"&amp;$K$1),INDIRECT("'数据-取费表'!k"&amp;$K$1)+INDIRECT("'数据-取费表'!s"&amp;$K$1)))</f>
        <v>27944.309999999998</v>
      </c>
      <c r="E20" s="23">
        <f>'数据-取费表'!B28</f>
        <v>200</v>
      </c>
      <c r="F20" s="972"/>
      <c r="G20" s="14"/>
      <c r="H20" s="977"/>
      <c r="I20" s="977"/>
      <c r="J20" s="977"/>
      <c r="K20" s="978"/>
    </row>
    <row r="21" spans="1:33" s="971" customFormat="1" ht="13.5" customHeight="1">
      <c r="A21" s="957" t="s">
        <v>802</v>
      </c>
      <c r="B21" s="981" t="s">
        <v>2495</v>
      </c>
      <c r="C21" s="982">
        <f ca="1">C16+C17+C18</f>
        <v>559</v>
      </c>
      <c r="D21" s="983"/>
      <c r="E21" s="324"/>
      <c r="F21" s="324"/>
      <c r="G21" s="139" t="s">
        <v>2496</v>
      </c>
      <c r="H21" s="975"/>
      <c r="I21" s="975"/>
      <c r="J21" s="975"/>
      <c r="K21" s="976"/>
    </row>
    <row r="22" spans="1:33" s="971" customFormat="1" ht="13.5" customHeight="1">
      <c r="A22" s="957" t="s">
        <v>2468</v>
      </c>
      <c r="B22" s="981" t="s">
        <v>2497</v>
      </c>
      <c r="C22" s="982">
        <f ca="1">ROUND(C21*F22,0)</f>
        <v>11</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108</v>
      </c>
      <c r="D28" s="323">
        <f ca="1">C29</f>
        <v>0</v>
      </c>
      <c r="E28" s="325" t="s">
        <v>15</v>
      </c>
      <c r="F28" s="331">
        <f ca="1">IF(C1="",'数据-取费表'!Q16,INDIRECT("'数据-取费表'!q"&amp;$K$1))</f>
        <v>0.19</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108</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-659</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6" sqref="C36:C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3318</v>
      </c>
      <c r="D1" s="1816" t="s">
        <v>70</v>
      </c>
      <c r="E1" s="1817" t="s">
        <v>1387</v>
      </c>
      <c r="F1" s="1279">
        <f ca="1">J53</f>
        <v>46.08</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100563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44016</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4509</v>
      </c>
      <c r="D5" s="1818" t="s">
        <v>1402</v>
      </c>
      <c r="E5" s="1289"/>
      <c r="F5" s="1290"/>
      <c r="G5" s="1847"/>
      <c r="H5" s="343">
        <v>1</v>
      </c>
      <c r="I5" s="344" t="s">
        <v>1401</v>
      </c>
      <c r="J5" s="1288">
        <f ca="1">J6+J10+J12</f>
        <v>0</v>
      </c>
      <c r="K5" s="1818" t="s">
        <v>1402</v>
      </c>
      <c r="L5" s="1289"/>
      <c r="M5" s="1290"/>
    </row>
    <row r="6" spans="1:37" ht="18" customHeight="1">
      <c r="A6" s="1287" t="s">
        <v>1035</v>
      </c>
      <c r="B6" s="3224" t="s">
        <v>1403</v>
      </c>
      <c r="C6" s="1292">
        <f ca="1">ROUND(F6*F8*F7*(1-F9)/10000,0)</f>
        <v>4503</v>
      </c>
      <c r="D6" s="163" t="s">
        <v>3034</v>
      </c>
      <c r="E6" s="346" t="s">
        <v>1405</v>
      </c>
      <c r="F6" s="347">
        <f ca="1">INDIRECT("'数据-取费表'!u"&amp;$G$1)</f>
        <v>6</v>
      </c>
      <c r="G6" s="1847"/>
      <c r="H6" s="1287" t="s">
        <v>1035</v>
      </c>
      <c r="I6" s="3224" t="s">
        <v>1403</v>
      </c>
      <c r="J6" s="345">
        <f ca="1">ROUND(M6*M8*M7*(1-M9)/10000,0)</f>
        <v>0</v>
      </c>
      <c r="K6" s="163" t="s">
        <v>3033</v>
      </c>
      <c r="L6" s="346" t="s">
        <v>1405</v>
      </c>
      <c r="M6" s="347">
        <f ca="1">INDIRECT("'数据-取费表'!z"&amp;$G$1)</f>
        <v>0</v>
      </c>
    </row>
    <row r="7" spans="1:37" ht="18" customHeight="1">
      <c r="A7" s="1291"/>
      <c r="B7" s="3225"/>
      <c r="C7" s="1293"/>
      <c r="D7" s="351"/>
      <c r="E7" s="1294" t="s">
        <v>1406</v>
      </c>
      <c r="F7" s="347">
        <f ca="1">IF(INDIRECT("'数据-取费表'!ah"&amp;$G$1)="",INDIRECT("'数据-取费表'!k"&amp;$G$1),INDIRECT("'数据-取费表'!ah"&amp;$G$1))</f>
        <v>22847.11</v>
      </c>
      <c r="G7" s="1847"/>
      <c r="H7" s="348"/>
      <c r="I7" s="3225"/>
      <c r="J7" s="350"/>
      <c r="K7" s="351"/>
      <c r="L7" s="346" t="s">
        <v>1406</v>
      </c>
      <c r="M7" s="347">
        <f ca="1">F7</f>
        <v>22847.11</v>
      </c>
    </row>
    <row r="8" spans="1:37" ht="18" customHeight="1">
      <c r="A8" s="348"/>
      <c r="B8" s="3225"/>
      <c r="C8" s="350"/>
      <c r="D8" s="351"/>
      <c r="E8" s="346" t="s">
        <v>1407</v>
      </c>
      <c r="F8" s="347">
        <f ca="1">INDIRECT("'数据-取费表'!ai"&amp;$G$1)</f>
        <v>365</v>
      </c>
      <c r="G8" s="1847"/>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0.1</v>
      </c>
      <c r="G9" s="1847"/>
      <c r="H9" s="348"/>
      <c r="I9" s="322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6</v>
      </c>
      <c r="D10" s="1820" t="s">
        <v>3035</v>
      </c>
      <c r="E10" s="357" t="s">
        <v>1411</v>
      </c>
      <c r="F10" s="1362" t="s">
        <v>3383</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13796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9139</v>
      </c>
      <c r="D14" s="1796" t="s">
        <v>1419</v>
      </c>
      <c r="E14" s="1790"/>
      <c r="F14" s="363"/>
      <c r="G14" s="1847"/>
      <c r="H14" s="1197" t="s">
        <v>1035</v>
      </c>
      <c r="I14" s="346" t="s">
        <v>1420</v>
      </c>
      <c r="J14" s="23">
        <f ca="1">C29</f>
        <v>14078</v>
      </c>
      <c r="K14" s="14"/>
      <c r="L14" s="975"/>
      <c r="M14" s="976"/>
    </row>
    <row r="15" spans="1:37" s="1854" customFormat="1" ht="18" customHeight="1" thickBot="1">
      <c r="A15" s="1197" t="s">
        <v>1036</v>
      </c>
      <c r="B15" s="346" t="s">
        <v>1421</v>
      </c>
      <c r="C15" s="23">
        <f ca="1">ROUND(C14*F15,0)</f>
        <v>274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400</v>
      </c>
      <c r="K16" s="1333" t="s">
        <v>1426</v>
      </c>
      <c r="L16" s="1334"/>
      <c r="M16" s="1290"/>
    </row>
    <row r="17" spans="1:37" s="1854" customFormat="1" ht="18" customHeight="1">
      <c r="A17" s="1197" t="s">
        <v>1390</v>
      </c>
      <c r="B17" s="346" t="s">
        <v>1427</v>
      </c>
      <c r="C17" s="23">
        <f ca="1">ROUND(F17*(F43+INDIRECT("'数据-取费表'!S"&amp;$G$1))/10000,0)</f>
        <v>457</v>
      </c>
      <c r="D17" s="346" t="s">
        <v>1428</v>
      </c>
      <c r="E17" s="346" t="s">
        <v>1429</v>
      </c>
      <c r="F17" s="25">
        <f>'数据-取费表'!B35</f>
        <v>200</v>
      </c>
      <c r="G17" s="1850"/>
      <c r="H17" s="1197" t="s">
        <v>1035</v>
      </c>
      <c r="I17" s="346" t="s">
        <v>1430</v>
      </c>
      <c r="J17" s="23">
        <f ca="1">ROUND(IF(项目基本情况!B11="自然人",J5*M17,J18+J19+J20),1)</f>
        <v>118.8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137</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10007</v>
      </c>
      <c r="D19" s="139" t="s">
        <v>1437</v>
      </c>
      <c r="E19" s="1814"/>
      <c r="F19" s="25"/>
      <c r="G19" s="1847"/>
      <c r="H19" s="1197" t="s">
        <v>1036</v>
      </c>
      <c r="I19" s="346" t="s">
        <v>1438</v>
      </c>
      <c r="J19" s="23">
        <f ca="1">IF(K19="按租金收入计税",ROUND(J5*M19,2),ROUND(C29*M19*0.7,2))</f>
        <v>118.26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200</v>
      </c>
      <c r="D20" s="368" t="s">
        <v>1441</v>
      </c>
      <c r="E20" s="346" t="s">
        <v>1423</v>
      </c>
      <c r="F20" s="366">
        <f>'数据-取费表'!B37</f>
        <v>0.02</v>
      </c>
      <c r="G20" s="1850"/>
      <c r="H20" s="1197" t="s">
        <v>1389</v>
      </c>
      <c r="I20" s="163" t="s">
        <v>1442</v>
      </c>
      <c r="J20" s="24">
        <f ca="1">ROUND(M20*M21/10000,2)</f>
        <v>0.57999999999999996</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3873.23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281.60000000000002</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735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-400</v>
      </c>
      <c r="K25" s="1341" t="s">
        <v>1465</v>
      </c>
      <c r="L25" s="1342"/>
      <c r="M25" s="1343"/>
    </row>
    <row r="26" spans="1:37">
      <c r="A26" s="1197" t="s">
        <v>1034</v>
      </c>
      <c r="B26" s="346" t="s">
        <v>1466</v>
      </c>
      <c r="C26" s="23">
        <f ca="1">ROUND((C19+C20)*F26,0)</f>
        <v>2041</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14078</v>
      </c>
      <c r="D29" s="1338"/>
      <c r="E29" s="1336"/>
      <c r="F29" s="1339"/>
      <c r="G29" s="1850"/>
      <c r="H29" s="379" t="s">
        <v>1033</v>
      </c>
      <c r="I29" s="380" t="s">
        <v>1480</v>
      </c>
      <c r="J29" s="381">
        <f ca="1">ROUND(J26/(1+F40)^F41,0)</f>
        <v>0</v>
      </c>
      <c r="K29" s="382" t="s">
        <v>1481</v>
      </c>
      <c r="L29" s="383"/>
      <c r="M29" s="384">
        <f ca="1">INDIRECT("'数据-取费表'!k"&amp;$G$1)</f>
        <v>22847.11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754</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355</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236.19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118.26</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0.57999999999999996</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3873.23</v>
      </c>
      <c r="G35" s="1847"/>
      <c r="H35" s="744"/>
      <c r="I35" s="1856"/>
      <c r="J35" s="1857"/>
      <c r="K35" s="1858"/>
      <c r="L35" s="1855"/>
      <c r="M35" s="1855"/>
    </row>
    <row r="36" spans="1:18" ht="18" customHeight="1">
      <c r="A36" s="1348" t="s">
        <v>1039</v>
      </c>
      <c r="B36" s="346" t="s">
        <v>1450</v>
      </c>
      <c r="C36" s="23">
        <f ca="1">ROUND(C29*F36,1)</f>
        <v>281.60000000000002</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27.6</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90.2</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3755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100457</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43969</v>
      </c>
      <c r="D43" s="382" t="s">
        <v>1489</v>
      </c>
      <c r="E43" s="383" t="s">
        <v>1490</v>
      </c>
      <c r="F43" s="384">
        <f ca="1">INDIRECT("'数据-取费表'!k"&amp;$G$1)</f>
        <v>22847.11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-107579</v>
      </c>
      <c r="D46" s="1868" t="str">
        <f>C2</f>
        <v>万元</v>
      </c>
      <c r="E46" s="1862"/>
      <c r="F46" s="1862"/>
      <c r="I46" s="1869" t="s">
        <v>1522</v>
      </c>
      <c r="J46" s="1870"/>
      <c r="K46" s="1871"/>
      <c r="L46" s="1872">
        <f ca="1">IF(M47="住宅",0,IF(L48&gt;J51,L60,J60))</f>
        <v>106</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100457</v>
      </c>
      <c r="R47" s="1882" t="s">
        <v>1530</v>
      </c>
    </row>
    <row r="48" spans="1:18" s="1838" customFormat="1" ht="40.200000000000003" thickBot="1">
      <c r="A48" s="1356" t="s">
        <v>1135</v>
      </c>
      <c r="B48" s="344" t="s">
        <v>1401</v>
      </c>
      <c r="C48" s="1813">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106</v>
      </c>
      <c r="R48" s="1882" t="s">
        <v>1534</v>
      </c>
    </row>
    <row r="49" spans="1:18" s="1838" customFormat="1" ht="13.8" thickBot="1">
      <c r="A49" s="1190" t="s">
        <v>1136</v>
      </c>
      <c r="B49" s="1825" t="s">
        <v>1491</v>
      </c>
      <c r="C49" s="1360">
        <f ca="1">ROUND(F49*F51*F50*(1-F52)/10000,0)</f>
        <v>0</v>
      </c>
      <c r="D49" s="1272" t="s">
        <v>3037</v>
      </c>
      <c r="E49" s="1826" t="s">
        <v>1492</v>
      </c>
      <c r="F49" s="1277"/>
      <c r="G49" s="1887"/>
      <c r="H49" s="792"/>
      <c r="I49" s="1883" t="s">
        <v>1535</v>
      </c>
      <c r="J49" s="2998">
        <v>2017</v>
      </c>
      <c r="K49" s="1885" t="s">
        <v>1536</v>
      </c>
      <c r="L49" s="1889"/>
      <c r="O49" s="1890" t="s">
        <v>1042</v>
      </c>
      <c r="P49" s="1881" t="s">
        <v>1537</v>
      </c>
      <c r="Q49" s="1882">
        <f ca="1">C29</f>
        <v>14078</v>
      </c>
      <c r="R49" s="1882" t="s">
        <v>1530</v>
      </c>
    </row>
    <row r="50" spans="1:18" s="1838" customFormat="1" ht="13.8" thickBot="1">
      <c r="A50" s="1191"/>
      <c r="B50" s="1194"/>
      <c r="C50" s="1364"/>
      <c r="D50" s="1168"/>
      <c r="E50" s="1273" t="s">
        <v>1406</v>
      </c>
      <c r="F50" s="1274">
        <f ca="1">F7</f>
        <v>22847.11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46194</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36.6"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46.08</v>
      </c>
      <c r="K53" s="3222" t="s">
        <v>1549</v>
      </c>
      <c r="L53" s="3223"/>
      <c r="O53" s="1880" t="s">
        <v>1046</v>
      </c>
      <c r="P53" s="1881" t="s">
        <v>1550</v>
      </c>
      <c r="Q53" s="1882">
        <f ca="1">Q47+Q48</f>
        <v>100563</v>
      </c>
      <c r="R53" s="1882" t="s">
        <v>1047</v>
      </c>
    </row>
    <row r="54" spans="1:18" s="1838" customFormat="1" ht="24.6"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1828"/>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13796</v>
      </c>
      <c r="D56" s="1910"/>
      <c r="E56" s="1911"/>
      <c r="F56" s="1903"/>
      <c r="I56" s="1912" t="s">
        <v>1554</v>
      </c>
      <c r="J56" s="1913" t="s">
        <v>3385</v>
      </c>
      <c r="K56" s="1883" t="s">
        <v>1555</v>
      </c>
      <c r="L56" s="1886" t="str">
        <f ca="1">IF(L48&lt;J51,"——",L48-J53)</f>
        <v>——</v>
      </c>
      <c r="O56" s="1880" t="s">
        <v>1040</v>
      </c>
      <c r="P56" s="1881" t="s">
        <v>1529</v>
      </c>
      <c r="Q56" s="1882">
        <f ca="1">C40+J29</f>
        <v>100457</v>
      </c>
      <c r="R56" s="1882" t="s">
        <v>1530</v>
      </c>
    </row>
    <row r="57" spans="1:18" s="1838" customFormat="1" ht="24.6" thickBot="1">
      <c r="A57" s="1914"/>
      <c r="B57" s="1165" t="s">
        <v>1479</v>
      </c>
      <c r="C57" s="281">
        <f ca="1">C29</f>
        <v>14078</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428</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118.8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5631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106</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1494</v>
      </c>
      <c r="C61" s="23">
        <f ca="1">IF(项目基本情况!B11="自然人","——",IF(D61="按租金收入计税",ROUND(C48*F61,2),IF(D61="按房产原值计税",ROUND(C57*F61*0.7,2),INDIRECT("'数据-取费表'!Aj"&amp;$G$1))))</f>
        <v>118.26</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1497</v>
      </c>
      <c r="C62" s="24">
        <f ca="1">IF(项目基本情况!B11="自然人","——",ROUND(F62*F63/10000,2))</f>
        <v>0.57999999999999996</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100457</v>
      </c>
      <c r="R62" s="1882" t="s">
        <v>1047</v>
      </c>
    </row>
    <row r="63" spans="1:18" s="1838" customFormat="1" ht="13.8" thickBot="1">
      <c r="A63" s="371"/>
      <c r="B63" s="1171"/>
      <c r="C63" s="28"/>
      <c r="D63" s="1181"/>
      <c r="E63" s="1165" t="s">
        <v>1500</v>
      </c>
      <c r="F63" s="347">
        <f t="shared" ca="1" si="0"/>
        <v>3873.23</v>
      </c>
      <c r="I63" s="1925" t="s">
        <v>1576</v>
      </c>
      <c r="J63" s="1926">
        <v>70</v>
      </c>
      <c r="K63" s="1926">
        <v>50</v>
      </c>
      <c r="L63" s="1926">
        <v>80</v>
      </c>
      <c r="M63" s="1928">
        <v>0.02</v>
      </c>
      <c r="O63" s="1865" t="s">
        <v>1577</v>
      </c>
      <c r="P63" s="1835"/>
      <c r="Q63" s="1835"/>
      <c r="R63" s="1835"/>
    </row>
    <row r="64" spans="1:18" s="1838" customFormat="1" ht="13.8" thickBot="1">
      <c r="A64" s="1197" t="s">
        <v>1501</v>
      </c>
      <c r="B64" s="1165" t="s">
        <v>1502</v>
      </c>
      <c r="C64" s="23">
        <f ca="1">ROUND(C57*F64,1)</f>
        <v>281.60000000000002</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27.6</v>
      </c>
      <c r="D65" s="1179" t="s">
        <v>1455</v>
      </c>
      <c r="E65" s="1165" t="s">
        <v>1456</v>
      </c>
      <c r="F65" s="375">
        <f t="shared" ca="1" si="0"/>
        <v>2E-3</v>
      </c>
      <c r="I65" s="1925" t="s">
        <v>1579</v>
      </c>
      <c r="J65" s="1926">
        <v>40</v>
      </c>
      <c r="K65" s="1926">
        <v>30</v>
      </c>
      <c r="L65" s="1926">
        <v>50</v>
      </c>
      <c r="M65" s="1928">
        <v>0.02</v>
      </c>
      <c r="O65" s="1880" t="s">
        <v>1040</v>
      </c>
      <c r="P65" s="1881" t="s">
        <v>1580</v>
      </c>
      <c r="Q65" s="1882">
        <f ca="1">C40+J29</f>
        <v>100457</v>
      </c>
      <c r="R65" s="1882" t="s">
        <v>1530</v>
      </c>
    </row>
    <row r="66" spans="1:18" s="1838" customFormat="1" ht="16.2"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-428</v>
      </c>
      <c r="D67" s="1178" t="s">
        <v>1465</v>
      </c>
      <c r="E67" s="1183"/>
      <c r="F67" s="1184"/>
      <c r="O67" s="1890" t="s">
        <v>1042</v>
      </c>
      <c r="P67" s="1881" t="s">
        <v>1562</v>
      </c>
      <c r="Q67" s="1929">
        <f ca="1">L51</f>
        <v>46194</v>
      </c>
      <c r="R67" s="1882" t="s">
        <v>1582</v>
      </c>
    </row>
    <row r="68" spans="1:18" s="1838" customFormat="1" ht="16.2" thickBot="1">
      <c r="A68" s="1162" t="s">
        <v>1032</v>
      </c>
      <c r="B68" s="1163" t="s">
        <v>1486</v>
      </c>
      <c r="C68" s="345">
        <f ca="1">ROUND(C67*(1-((1+F70)/(1+F68))^F69)/(F68-F70),0)</f>
        <v>-7122</v>
      </c>
      <c r="D68" s="1180" t="s">
        <v>1470</v>
      </c>
      <c r="E68" s="1165" t="s">
        <v>1471</v>
      </c>
      <c r="F68" s="356">
        <f ca="1">F40</f>
        <v>5.5E-2</v>
      </c>
      <c r="O68" s="1890" t="s">
        <v>1043</v>
      </c>
      <c r="P68" s="1930" t="s">
        <v>1583</v>
      </c>
      <c r="Q68" s="1882">
        <f ca="1">ROUND(Q69-Q70*Q71,0)</f>
        <v>2582</v>
      </c>
      <c r="R68" s="1882" t="s">
        <v>1051</v>
      </c>
    </row>
    <row r="69" spans="1:18" s="1838" customFormat="1" ht="13.8" thickBot="1">
      <c r="A69" s="1166"/>
      <c r="B69" s="1167"/>
      <c r="C69" s="350"/>
      <c r="D69" s="1185" t="s">
        <v>1474</v>
      </c>
      <c r="E69" s="1165" t="s">
        <v>1475</v>
      </c>
      <c r="F69" s="378">
        <f ca="1">F41</f>
        <v>46.08</v>
      </c>
      <c r="O69" s="1890" t="s">
        <v>1048</v>
      </c>
      <c r="P69" s="1930" t="s">
        <v>1584</v>
      </c>
      <c r="Q69" s="1882">
        <f ca="1">C39</f>
        <v>3755</v>
      </c>
      <c r="R69" s="1882" t="s">
        <v>1530</v>
      </c>
    </row>
    <row r="70" spans="1:18" s="1838" customFormat="1" ht="13.8" thickBot="1">
      <c r="A70" s="1169"/>
      <c r="B70" s="1170"/>
      <c r="C70" s="354"/>
      <c r="D70" s="1181"/>
      <c r="E70" s="1165" t="s">
        <v>1478</v>
      </c>
      <c r="F70" s="1271"/>
      <c r="O70" s="1890" t="s">
        <v>1049</v>
      </c>
      <c r="P70" s="1930" t="s">
        <v>1585</v>
      </c>
      <c r="Q70" s="1882">
        <f ca="1">C13</f>
        <v>13796</v>
      </c>
      <c r="R70" s="1882" t="s">
        <v>1530</v>
      </c>
    </row>
    <row r="71" spans="1:18" s="1838" customFormat="1" ht="13.8" thickBot="1">
      <c r="A71" s="1186" t="s">
        <v>1033</v>
      </c>
      <c r="B71" s="1187" t="s">
        <v>1488</v>
      </c>
      <c r="C71" s="381">
        <f ca="1">ROUND(C68*10000/F71,0)</f>
        <v>-3117</v>
      </c>
      <c r="D71" s="1188" t="s">
        <v>1489</v>
      </c>
      <c r="E71" s="1189" t="s">
        <v>1490</v>
      </c>
      <c r="F71" s="384">
        <f ca="1">F43</f>
        <v>22847.11</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1173</v>
      </c>
      <c r="D75" s="1838"/>
      <c r="E75" s="1838"/>
      <c r="F75" s="1838"/>
      <c r="K75" s="1864"/>
      <c r="L75" s="1838"/>
      <c r="O75" s="1880" t="s">
        <v>1046</v>
      </c>
      <c r="P75" s="1881" t="s">
        <v>1550</v>
      </c>
      <c r="Q75" s="1882">
        <f ca="1">Q65+Q66</f>
        <v>100457</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8" zoomScale="90" zoomScaleNormal="90" workbookViewId="0">
      <selection activeCell="G15" sqref="G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662" t="s">
        <v>2685</v>
      </c>
      <c r="C1" s="1616" t="s">
        <v>2529</v>
      </c>
      <c r="D1" s="1617" t="s">
        <v>3318</v>
      </c>
      <c r="E1" s="1626"/>
      <c r="F1" s="2577" t="s">
        <v>3319</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14</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22847.11</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49" t="s">
        <v>2650</v>
      </c>
      <c r="Q4" s="3250"/>
      <c r="R4" s="3255" t="s">
        <v>2646</v>
      </c>
      <c r="S4" s="3256"/>
      <c r="T4" s="3255" t="s">
        <v>2647</v>
      </c>
      <c r="U4" s="3256"/>
      <c r="V4" s="3261" t="s">
        <v>2648</v>
      </c>
      <c r="W4" s="3261"/>
      <c r="X4" s="2663"/>
      <c r="Y4" s="3255" t="s">
        <v>2650</v>
      </c>
      <c r="Z4" s="3256"/>
      <c r="AA4" s="3274" t="s">
        <v>2646</v>
      </c>
      <c r="AB4" s="3274" t="s">
        <v>2647</v>
      </c>
      <c r="AC4" s="3242" t="s">
        <v>2648</v>
      </c>
    </row>
    <row r="5" spans="1:29">
      <c r="A5" s="403"/>
      <c r="B5" s="404"/>
      <c r="C5" s="3271" t="s">
        <v>2541</v>
      </c>
      <c r="D5" s="3266"/>
      <c r="E5" s="3277" t="s">
        <v>3320</v>
      </c>
      <c r="F5" s="3278"/>
      <c r="G5" s="3265" t="s">
        <v>3369</v>
      </c>
      <c r="H5" s="3266"/>
      <c r="I5" s="3265" t="s">
        <v>3370</v>
      </c>
      <c r="J5" s="3266"/>
      <c r="K5" s="609"/>
      <c r="L5" s="1126"/>
      <c r="M5" s="1127"/>
      <c r="N5" s="1127"/>
      <c r="O5" s="1127"/>
      <c r="P5" s="3251"/>
      <c r="Q5" s="3252"/>
      <c r="R5" s="3257"/>
      <c r="S5" s="3258"/>
      <c r="T5" s="3257"/>
      <c r="U5" s="3258"/>
      <c r="V5" s="3262"/>
      <c r="W5" s="3262"/>
      <c r="X5" s="1809"/>
      <c r="Y5" s="3257"/>
      <c r="Z5" s="3258"/>
      <c r="AA5" s="3275"/>
      <c r="AB5" s="3275"/>
      <c r="AC5" s="3243"/>
    </row>
    <row r="6" spans="1:29" ht="15" thickBot="1">
      <c r="A6" s="405"/>
      <c r="B6" s="406"/>
      <c r="C6" s="3263" t="s">
        <v>2545</v>
      </c>
      <c r="D6" s="3264"/>
      <c r="E6" s="3272" t="s">
        <v>2545</v>
      </c>
      <c r="F6" s="3273"/>
      <c r="G6" s="3263" t="s">
        <v>2545</v>
      </c>
      <c r="H6" s="3264"/>
      <c r="I6" s="3263" t="s">
        <v>2545</v>
      </c>
      <c r="J6" s="3264"/>
      <c r="K6" s="609" t="s">
        <v>2546</v>
      </c>
      <c r="L6" s="1126"/>
      <c r="M6" s="1127"/>
      <c r="N6" s="1127"/>
      <c r="O6" s="1127"/>
      <c r="P6" s="3253"/>
      <c r="Q6" s="3254"/>
      <c r="R6" s="3257"/>
      <c r="S6" s="3258"/>
      <c r="T6" s="3259"/>
      <c r="U6" s="3260"/>
      <c r="V6" s="3262"/>
      <c r="W6" s="3262"/>
      <c r="X6" s="1809"/>
      <c r="Y6" s="3259"/>
      <c r="Z6" s="3260"/>
      <c r="AA6" s="3276"/>
      <c r="AB6" s="3276"/>
      <c r="AC6" s="3244"/>
    </row>
    <row r="7" spans="1:29" s="116" customFormat="1" ht="15" thickBot="1">
      <c r="A7" s="407" t="s">
        <v>2547</v>
      </c>
      <c r="B7" s="408"/>
      <c r="C7" s="409">
        <f>'数据-取费表'!B2</f>
        <v>43227</v>
      </c>
      <c r="D7" s="410">
        <v>100</v>
      </c>
      <c r="E7" s="2989">
        <f>C7</f>
        <v>43227</v>
      </c>
      <c r="F7" s="412">
        <f>SUMIF(59:59,YEAR(E7)&amp;"-"&amp;MONTH(E7),60:60)</f>
        <v>100</v>
      </c>
      <c r="G7" s="2989">
        <f>C7</f>
        <v>43227</v>
      </c>
      <c r="H7" s="410">
        <f>SUMIF(59:59,YEAR(G7)&amp;"-"&amp;MONTH(G7),60:60)</f>
        <v>100</v>
      </c>
      <c r="I7" s="2989">
        <f>C7</f>
        <v>43227</v>
      </c>
      <c r="J7" s="410">
        <f>SUMIF(59:59,YEAR(I7)&amp;"-"&amp;MONTH(I7),60:60)</f>
        <v>100</v>
      </c>
      <c r="K7" s="610"/>
      <c r="L7" s="1128"/>
      <c r="M7" s="1129"/>
      <c r="N7" s="1129"/>
      <c r="O7" s="1129"/>
      <c r="P7" s="3267" t="s">
        <v>2548</v>
      </c>
      <c r="Q7" s="3270"/>
      <c r="R7" s="769" t="s">
        <v>17</v>
      </c>
      <c r="S7" s="770">
        <f t="shared" ref="S7:S15" si="0">F7</f>
        <v>100</v>
      </c>
      <c r="T7" s="769" t="s">
        <v>17</v>
      </c>
      <c r="U7" s="770">
        <f t="shared" ref="U7:U15" si="1">H7</f>
        <v>100</v>
      </c>
      <c r="V7" s="769" t="s">
        <v>17</v>
      </c>
      <c r="W7" s="770">
        <f t="shared" ref="W7:W15" si="2">J7</f>
        <v>100</v>
      </c>
      <c r="X7" s="771"/>
      <c r="Y7" s="3269" t="s">
        <v>2548</v>
      </c>
      <c r="Z7" s="3268"/>
      <c r="AA7" s="772">
        <f>D7/F7</f>
        <v>1</v>
      </c>
      <c r="AB7" s="772">
        <f>D7/H7</f>
        <v>1</v>
      </c>
      <c r="AC7" s="2664">
        <f>D7/J7</f>
        <v>1</v>
      </c>
    </row>
    <row r="8" spans="1:29" s="116" customFormat="1" ht="1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67" t="s">
        <v>2551</v>
      </c>
      <c r="Q8" s="3268"/>
      <c r="R8" s="769" t="s">
        <v>17</v>
      </c>
      <c r="S8" s="770">
        <f t="shared" si="0"/>
        <v>100</v>
      </c>
      <c r="T8" s="769" t="s">
        <v>17</v>
      </c>
      <c r="U8" s="770">
        <f t="shared" si="1"/>
        <v>100</v>
      </c>
      <c r="V8" s="769" t="s">
        <v>17</v>
      </c>
      <c r="W8" s="770">
        <f t="shared" si="2"/>
        <v>100</v>
      </c>
      <c r="X8" s="771"/>
      <c r="Y8" s="3269" t="s">
        <v>2551</v>
      </c>
      <c r="Z8" s="3268"/>
      <c r="AA8" s="772">
        <f t="shared" ref="AA8:AA47" si="3">D8/F8</f>
        <v>1</v>
      </c>
      <c r="AB8" s="772">
        <f t="shared" ref="AB8:AB47" si="4">D8/H8</f>
        <v>1</v>
      </c>
      <c r="AC8" s="2664">
        <f t="shared" ref="AC8:AC47" si="5">D8/J8</f>
        <v>1</v>
      </c>
    </row>
    <row r="9" spans="1:29" s="116" customFormat="1" ht="14.4">
      <c r="A9" s="414" t="s">
        <v>2552</v>
      </c>
      <c r="B9" s="70" t="s">
        <v>2553</v>
      </c>
      <c r="C9" s="2991" t="s">
        <v>3322</v>
      </c>
      <c r="D9" s="134">
        <v>100</v>
      </c>
      <c r="E9" s="2991" t="s">
        <v>3322</v>
      </c>
      <c r="F9" s="134">
        <f>SUMIF(64:64,E9,65:65)-SUMIF(64:64,C9,65:65)+100</f>
        <v>100</v>
      </c>
      <c r="G9" s="2991" t="s">
        <v>3322</v>
      </c>
      <c r="H9" s="134">
        <f>SUMIF(64:64,G9,65:65)-SUMIF(64:64,C9,65:65)+100</f>
        <v>100</v>
      </c>
      <c r="I9" s="2991" t="s">
        <v>3322</v>
      </c>
      <c r="J9" s="134">
        <f>SUMIF(64:64,I9,65:65)-SUMIF(64:64,C9,65:65)+100</f>
        <v>100</v>
      </c>
      <c r="K9" s="610"/>
      <c r="L9" s="1128"/>
      <c r="M9" s="1129"/>
      <c r="N9" s="1129"/>
      <c r="O9" s="1129"/>
      <c r="P9" s="3227"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2664">
        <f t="shared" si="5"/>
        <v>1</v>
      </c>
    </row>
    <row r="10" spans="1:29" s="426" customFormat="1" ht="28.8">
      <c r="A10" s="420"/>
      <c r="B10" s="421" t="s">
        <v>2556</v>
      </c>
      <c r="C10" s="2990" t="s">
        <v>3321</v>
      </c>
      <c r="D10" s="135">
        <v>100</v>
      </c>
      <c r="E10" s="422" t="s">
        <v>3321</v>
      </c>
      <c r="F10" s="135">
        <f>SUMIF(66:66,E10,67:67)-SUMIF(66:66,C10,67:67)+100</f>
        <v>100</v>
      </c>
      <c r="G10" s="2990" t="s">
        <v>3321</v>
      </c>
      <c r="H10" s="135">
        <f>SUMIF(66:66,G10,67:67)-SUMIF(66:66,C10,67:67)+100</f>
        <v>100</v>
      </c>
      <c r="I10" s="2990" t="s">
        <v>3321</v>
      </c>
      <c r="J10" s="135">
        <f>SUMIF(66:66,I10,67:67)-SUMIF(66:66,C10,67:67)+100</f>
        <v>100</v>
      </c>
      <c r="K10" s="611"/>
      <c r="L10" s="1131"/>
      <c r="M10" s="1132"/>
      <c r="N10" s="1132"/>
      <c r="O10" s="1132"/>
      <c r="P10" s="3227"/>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27"/>
      <c r="Q11" s="1791" t="str">
        <f t="shared" si="6"/>
        <v>容积率</v>
      </c>
      <c r="R11" s="769" t="s">
        <v>17</v>
      </c>
      <c r="S11" s="770">
        <f t="shared" si="0"/>
        <v>100</v>
      </c>
      <c r="T11" s="769" t="s">
        <v>17</v>
      </c>
      <c r="U11" s="770">
        <f t="shared" si="1"/>
        <v>100</v>
      </c>
      <c r="V11" s="769" t="s">
        <v>17</v>
      </c>
      <c r="W11" s="770">
        <f t="shared" si="2"/>
        <v>100</v>
      </c>
      <c r="X11" s="771"/>
      <c r="Y11" s="3077"/>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27"/>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27"/>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27"/>
      <c r="Q14" s="1791">
        <f t="shared" si="6"/>
        <v>111</v>
      </c>
      <c r="R14" s="769" t="s">
        <v>17</v>
      </c>
      <c r="S14" s="770">
        <f t="shared" si="0"/>
        <v>100</v>
      </c>
      <c r="T14" s="769" t="s">
        <v>17</v>
      </c>
      <c r="U14" s="770">
        <f t="shared" si="1"/>
        <v>100</v>
      </c>
      <c r="V14" s="769" t="s">
        <v>17</v>
      </c>
      <c r="W14" s="770">
        <f t="shared" si="2"/>
        <v>100</v>
      </c>
      <c r="X14" s="771"/>
      <c r="Y14" s="3077"/>
      <c r="Z14" s="54">
        <f t="shared" si="7"/>
        <v>111</v>
      </c>
      <c r="AA14" s="772">
        <f t="shared" si="3"/>
        <v>1</v>
      </c>
      <c r="AB14" s="772">
        <f t="shared" si="4"/>
        <v>1</v>
      </c>
      <c r="AC14" s="2664">
        <f t="shared" si="5"/>
        <v>1</v>
      </c>
    </row>
    <row r="15" spans="1:29" ht="82.8">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33" t="s">
        <v>2559</v>
      </c>
      <c r="Q15" s="1806" t="str">
        <f t="shared" si="6"/>
        <v>办公集聚程度</v>
      </c>
      <c r="R15" s="773" t="s">
        <v>17</v>
      </c>
      <c r="S15" s="774">
        <f t="shared" si="0"/>
        <v>100</v>
      </c>
      <c r="T15" s="773" t="s">
        <v>17</v>
      </c>
      <c r="U15" s="774">
        <f t="shared" si="1"/>
        <v>100</v>
      </c>
      <c r="V15" s="773" t="s">
        <v>17</v>
      </c>
      <c r="W15" s="774">
        <f t="shared" si="2"/>
        <v>100</v>
      </c>
      <c r="X15" s="1809"/>
      <c r="Y15" s="3235" t="s">
        <v>2559</v>
      </c>
      <c r="Z15" s="1810" t="str">
        <f t="shared" si="7"/>
        <v>办公集聚程度</v>
      </c>
      <c r="AA15" s="1807">
        <f t="shared" si="3"/>
        <v>1</v>
      </c>
      <c r="AB15" s="1807">
        <f t="shared" si="4"/>
        <v>1</v>
      </c>
      <c r="AC15" s="2667">
        <f t="shared" si="5"/>
        <v>1</v>
      </c>
    </row>
    <row r="16" spans="1:29" ht="15">
      <c r="A16" s="427"/>
      <c r="B16" s="629"/>
      <c r="C16" s="2604" t="s">
        <v>3286</v>
      </c>
      <c r="D16" s="447"/>
      <c r="E16" s="2604" t="s">
        <v>3286</v>
      </c>
      <c r="F16" s="447"/>
      <c r="G16" s="2604" t="s">
        <v>3286</v>
      </c>
      <c r="H16" s="449"/>
      <c r="I16" s="2604" t="s">
        <v>3286</v>
      </c>
      <c r="J16" s="447"/>
      <c r="K16" s="614"/>
      <c r="L16" s="1136"/>
      <c r="M16" s="1127"/>
      <c r="N16" s="1127"/>
      <c r="O16" s="1127"/>
      <c r="P16" s="3234"/>
      <c r="Q16" s="1806"/>
      <c r="R16" s="773"/>
      <c r="S16" s="774"/>
      <c r="T16" s="773"/>
      <c r="U16" s="774"/>
      <c r="V16" s="773"/>
      <c r="W16" s="774"/>
      <c r="X16" s="1809"/>
      <c r="Y16" s="3236"/>
      <c r="Z16" s="1810"/>
      <c r="AA16" s="1807">
        <v>1</v>
      </c>
      <c r="AB16" s="1807">
        <v>1</v>
      </c>
      <c r="AC16" s="2667">
        <v>1</v>
      </c>
    </row>
    <row r="17" spans="1:29" ht="234.6">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34"/>
      <c r="Q17" s="1806" t="str">
        <f>B17</f>
        <v>交通便捷度</v>
      </c>
      <c r="R17" s="773" t="s">
        <v>17</v>
      </c>
      <c r="S17" s="774">
        <f>F17</f>
        <v>100</v>
      </c>
      <c r="T17" s="773" t="s">
        <v>17</v>
      </c>
      <c r="U17" s="774">
        <f>H17</f>
        <v>100</v>
      </c>
      <c r="V17" s="773" t="s">
        <v>17</v>
      </c>
      <c r="W17" s="774">
        <f>J17</f>
        <v>100</v>
      </c>
      <c r="X17" s="1809"/>
      <c r="Y17" s="3236"/>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34"/>
      <c r="Q18" s="1806"/>
      <c r="R18" s="773"/>
      <c r="S18" s="774"/>
      <c r="T18" s="773"/>
      <c r="U18" s="774"/>
      <c r="V18" s="773"/>
      <c r="W18" s="774"/>
      <c r="X18" s="1809"/>
      <c r="Y18" s="3236"/>
      <c r="Z18" s="1810"/>
      <c r="AA18" s="1807">
        <v>1</v>
      </c>
      <c r="AB18" s="1807">
        <v>1</v>
      </c>
      <c r="AC18" s="2667">
        <v>1</v>
      </c>
    </row>
    <row r="19" spans="1:29" ht="41.4">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34"/>
      <c r="Q19" s="1806" t="str">
        <f>B19</f>
        <v>公共配套设施</v>
      </c>
      <c r="R19" s="773" t="s">
        <v>17</v>
      </c>
      <c r="S19" s="774">
        <f>F19</f>
        <v>100</v>
      </c>
      <c r="T19" s="773" t="s">
        <v>17</v>
      </c>
      <c r="U19" s="774">
        <f>H19</f>
        <v>100</v>
      </c>
      <c r="V19" s="773" t="s">
        <v>17</v>
      </c>
      <c r="W19" s="774">
        <f>J19</f>
        <v>100</v>
      </c>
      <c r="X19" s="1809"/>
      <c r="Y19" s="3236"/>
      <c r="Z19" s="1810" t="str">
        <f>Q19</f>
        <v>公共配套设施</v>
      </c>
      <c r="AA19" s="1807">
        <f t="shared" si="3"/>
        <v>1</v>
      </c>
      <c r="AB19" s="1807">
        <f t="shared" si="4"/>
        <v>1</v>
      </c>
      <c r="AC19" s="2667">
        <f t="shared" si="5"/>
        <v>1</v>
      </c>
    </row>
    <row r="20" spans="1:29" ht="15">
      <c r="A20" s="427"/>
      <c r="B20" s="631"/>
      <c r="C20" s="2604" t="s">
        <v>3286</v>
      </c>
      <c r="D20" s="447"/>
      <c r="E20" s="2604" t="s">
        <v>3286</v>
      </c>
      <c r="F20" s="447"/>
      <c r="G20" s="2604" t="s">
        <v>3286</v>
      </c>
      <c r="H20" s="447"/>
      <c r="I20" s="2604" t="s">
        <v>3286</v>
      </c>
      <c r="J20" s="447"/>
      <c r="K20" s="614"/>
      <c r="L20" s="1136"/>
      <c r="M20" s="1127"/>
      <c r="N20" s="1127"/>
      <c r="O20" s="1127"/>
      <c r="P20" s="3234"/>
      <c r="Q20" s="1806"/>
      <c r="R20" s="773"/>
      <c r="S20" s="774"/>
      <c r="T20" s="773"/>
      <c r="U20" s="774"/>
      <c r="V20" s="773"/>
      <c r="W20" s="774"/>
      <c r="X20" s="1809"/>
      <c r="Y20" s="3236"/>
      <c r="Z20" s="1810"/>
      <c r="AA20" s="1807">
        <v>1</v>
      </c>
      <c r="AB20" s="1807">
        <v>1</v>
      </c>
      <c r="AC20" s="2667">
        <v>1</v>
      </c>
    </row>
    <row r="21" spans="1:29" ht="41.4">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34"/>
      <c r="Q21" s="1806" t="str">
        <f>B21</f>
        <v>基础设施水平</v>
      </c>
      <c r="R21" s="773" t="s">
        <v>17</v>
      </c>
      <c r="S21" s="774">
        <f>F21</f>
        <v>100</v>
      </c>
      <c r="T21" s="773" t="s">
        <v>17</v>
      </c>
      <c r="U21" s="774">
        <f>H21</f>
        <v>100</v>
      </c>
      <c r="V21" s="773" t="s">
        <v>17</v>
      </c>
      <c r="W21" s="774">
        <f>J21</f>
        <v>100</v>
      </c>
      <c r="X21" s="1809"/>
      <c r="Y21" s="3236"/>
      <c r="Z21" s="1810" t="str">
        <f>Q21</f>
        <v>基础设施水平</v>
      </c>
      <c r="AA21" s="1807">
        <f t="shared" ref="AA21" si="8">D21/F21</f>
        <v>1</v>
      </c>
      <c r="AB21" s="1807">
        <f t="shared" ref="AB21" si="9">D21/H21</f>
        <v>1</v>
      </c>
      <c r="AC21" s="2667">
        <f t="shared" ref="AC21" si="10">D21/J21</f>
        <v>1</v>
      </c>
    </row>
    <row r="22" spans="1:29" ht="15">
      <c r="A22" s="427"/>
      <c r="B22" s="632"/>
      <c r="C22" s="2669" t="s">
        <v>3287</v>
      </c>
      <c r="D22" s="447"/>
      <c r="E22" s="2669" t="s">
        <v>3287</v>
      </c>
      <c r="F22" s="447"/>
      <c r="G22" s="2669" t="s">
        <v>3287</v>
      </c>
      <c r="H22" s="447"/>
      <c r="I22" s="2669" t="s">
        <v>3287</v>
      </c>
      <c r="J22" s="447"/>
      <c r="K22" s="1379"/>
      <c r="L22" s="1136"/>
      <c r="M22" s="1127"/>
      <c r="N22" s="1127"/>
      <c r="O22" s="1127"/>
      <c r="P22" s="3234"/>
      <c r="Q22" s="1806"/>
      <c r="R22" s="773"/>
      <c r="S22" s="774"/>
      <c r="T22" s="773"/>
      <c r="U22" s="774"/>
      <c r="V22" s="773"/>
      <c r="W22" s="774"/>
      <c r="X22" s="1809"/>
      <c r="Y22" s="3236"/>
      <c r="Z22" s="1810"/>
      <c r="AA22" s="1807">
        <v>1</v>
      </c>
      <c r="AB22" s="1807">
        <v>1</v>
      </c>
      <c r="AC22" s="2667">
        <v>1</v>
      </c>
    </row>
    <row r="23" spans="1:29" ht="138">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34"/>
      <c r="Q23" s="1806" t="str">
        <f>B23</f>
        <v>环境质量</v>
      </c>
      <c r="R23" s="773" t="s">
        <v>17</v>
      </c>
      <c r="S23" s="774">
        <f>F23</f>
        <v>100</v>
      </c>
      <c r="T23" s="773" t="s">
        <v>17</v>
      </c>
      <c r="U23" s="774">
        <f>H23</f>
        <v>100</v>
      </c>
      <c r="V23" s="773" t="s">
        <v>17</v>
      </c>
      <c r="W23" s="774">
        <f>J23</f>
        <v>100</v>
      </c>
      <c r="X23" s="1809"/>
      <c r="Y23" s="3236"/>
      <c r="Z23" s="1810" t="str">
        <f>Q23</f>
        <v>环境质量</v>
      </c>
      <c r="AA23" s="1807">
        <f t="shared" si="3"/>
        <v>1</v>
      </c>
      <c r="AB23" s="1807">
        <f t="shared" si="4"/>
        <v>1</v>
      </c>
      <c r="AC23" s="2667">
        <f t="shared" si="5"/>
        <v>1</v>
      </c>
    </row>
    <row r="24" spans="1:29" ht="15">
      <c r="A24" s="427"/>
      <c r="B24" s="632"/>
      <c r="C24" s="2604" t="s">
        <v>3286</v>
      </c>
      <c r="D24" s="447"/>
      <c r="E24" s="2604" t="s">
        <v>3286</v>
      </c>
      <c r="F24" s="447"/>
      <c r="G24" s="2604" t="s">
        <v>3286</v>
      </c>
      <c r="H24" s="447"/>
      <c r="I24" s="2604" t="s">
        <v>3286</v>
      </c>
      <c r="J24" s="447"/>
      <c r="K24" s="614"/>
      <c r="L24" s="1136"/>
      <c r="M24" s="1127"/>
      <c r="N24" s="1127"/>
      <c r="O24" s="1127"/>
      <c r="P24" s="3234"/>
      <c r="Q24" s="1806"/>
      <c r="R24" s="773"/>
      <c r="S24" s="774"/>
      <c r="T24" s="773"/>
      <c r="U24" s="774"/>
      <c r="V24" s="773"/>
      <c r="W24" s="774"/>
      <c r="X24" s="1809"/>
      <c r="Y24" s="3236"/>
      <c r="Z24" s="1810"/>
      <c r="AA24" s="1807">
        <v>1</v>
      </c>
      <c r="AB24" s="1807">
        <v>1</v>
      </c>
      <c r="AC24" s="2667">
        <v>1</v>
      </c>
    </row>
    <row r="25" spans="1:29" ht="28.8">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34"/>
      <c r="Q25" s="1806" t="str">
        <f>B25</f>
        <v>毗邻道路的类型与等级</v>
      </c>
      <c r="R25" s="773" t="s">
        <v>17</v>
      </c>
      <c r="S25" s="774">
        <f>F25</f>
        <v>99</v>
      </c>
      <c r="T25" s="773" t="s">
        <v>17</v>
      </c>
      <c r="U25" s="774">
        <f>H25</f>
        <v>100</v>
      </c>
      <c r="V25" s="773" t="s">
        <v>17</v>
      </c>
      <c r="W25" s="774">
        <f>J25</f>
        <v>99</v>
      </c>
      <c r="X25" s="1809"/>
      <c r="Y25" s="3236"/>
      <c r="Z25" s="1810" t="str">
        <f>Q25</f>
        <v>毗邻道路的类型与等级</v>
      </c>
      <c r="AA25" s="1807">
        <f t="shared" si="3"/>
        <v>1.0101010101010102</v>
      </c>
      <c r="AB25" s="1807">
        <f t="shared" si="4"/>
        <v>1</v>
      </c>
      <c r="AC25" s="2667">
        <f t="shared" si="5"/>
        <v>1.0101010101010102</v>
      </c>
    </row>
    <row r="26" spans="1:29" ht="15">
      <c r="A26" s="403"/>
      <c r="B26" s="631"/>
      <c r="C26" s="633" t="s">
        <v>3289</v>
      </c>
      <c r="D26" s="434"/>
      <c r="E26" s="615" t="s">
        <v>3328</v>
      </c>
      <c r="F26" s="434"/>
      <c r="G26" s="633" t="s">
        <v>3289</v>
      </c>
      <c r="H26" s="434"/>
      <c r="I26" s="615" t="s">
        <v>3328</v>
      </c>
      <c r="J26" s="434"/>
      <c r="K26" s="614"/>
      <c r="L26" s="1136"/>
      <c r="M26" s="1127"/>
      <c r="N26" s="1127"/>
      <c r="O26" s="1127"/>
      <c r="P26" s="3234"/>
      <c r="Q26" s="1806"/>
      <c r="R26" s="773"/>
      <c r="S26" s="774"/>
      <c r="T26" s="773"/>
      <c r="U26" s="774"/>
      <c r="V26" s="773"/>
      <c r="W26" s="774"/>
      <c r="X26" s="1809"/>
      <c r="Y26" s="3236"/>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34"/>
      <c r="Q27" s="1806" t="str">
        <f t="shared" ref="Q27:Q47" si="11">B27</f>
        <v>楼层</v>
      </c>
      <c r="R27" s="773" t="s">
        <v>17</v>
      </c>
      <c r="S27" s="774">
        <f>F27</f>
        <v>100</v>
      </c>
      <c r="T27" s="773" t="s">
        <v>17</v>
      </c>
      <c r="U27" s="774">
        <f>H27</f>
        <v>100</v>
      </c>
      <c r="V27" s="773" t="s">
        <v>17</v>
      </c>
      <c r="W27" s="774">
        <f>J27</f>
        <v>100</v>
      </c>
      <c r="X27" s="1809"/>
      <c r="Y27" s="3236"/>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34"/>
      <c r="Q28" s="1791" t="str">
        <f t="shared" si="11"/>
        <v>朝向</v>
      </c>
      <c r="R28" s="769" t="s">
        <v>17</v>
      </c>
      <c r="S28" s="770">
        <f>F28</f>
        <v>100</v>
      </c>
      <c r="T28" s="769" t="s">
        <v>17</v>
      </c>
      <c r="U28" s="770">
        <f>H28</f>
        <v>100</v>
      </c>
      <c r="V28" s="769" t="s">
        <v>17</v>
      </c>
      <c r="W28" s="770">
        <f>J28</f>
        <v>100</v>
      </c>
      <c r="X28" s="771"/>
      <c r="Y28" s="3236"/>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34"/>
      <c r="Q29" s="1806">
        <f t="shared" si="11"/>
        <v>111</v>
      </c>
      <c r="R29" s="773" t="s">
        <v>17</v>
      </c>
      <c r="S29" s="774">
        <f t="shared" ref="S29:S47" si="12">F29</f>
        <v>100</v>
      </c>
      <c r="T29" s="773" t="s">
        <v>17</v>
      </c>
      <c r="U29" s="774">
        <f t="shared" ref="U29:U47" si="13">H29</f>
        <v>100</v>
      </c>
      <c r="V29" s="773" t="s">
        <v>17</v>
      </c>
      <c r="W29" s="774">
        <f t="shared" ref="W29:W47" si="14">J29</f>
        <v>100</v>
      </c>
      <c r="X29" s="1809"/>
      <c r="Y29" s="3236"/>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34"/>
      <c r="Q30" s="1806">
        <f t="shared" si="11"/>
        <v>111</v>
      </c>
      <c r="R30" s="773" t="s">
        <v>17</v>
      </c>
      <c r="S30" s="774">
        <f t="shared" si="12"/>
        <v>100</v>
      </c>
      <c r="T30" s="773" t="s">
        <v>17</v>
      </c>
      <c r="U30" s="774">
        <f t="shared" si="13"/>
        <v>100</v>
      </c>
      <c r="V30" s="773" t="s">
        <v>17</v>
      </c>
      <c r="W30" s="774">
        <f t="shared" si="14"/>
        <v>100</v>
      </c>
      <c r="X30" s="1809"/>
      <c r="Y30" s="3236"/>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34"/>
      <c r="Q31" s="1806">
        <f t="shared" si="11"/>
        <v>111</v>
      </c>
      <c r="R31" s="773" t="s">
        <v>17</v>
      </c>
      <c r="S31" s="774">
        <f t="shared" si="12"/>
        <v>100</v>
      </c>
      <c r="T31" s="773" t="s">
        <v>17</v>
      </c>
      <c r="U31" s="774">
        <f t="shared" si="13"/>
        <v>100</v>
      </c>
      <c r="V31" s="773" t="s">
        <v>17</v>
      </c>
      <c r="W31" s="774">
        <f t="shared" si="14"/>
        <v>100</v>
      </c>
      <c r="X31" s="1809"/>
      <c r="Y31" s="3236"/>
      <c r="Z31" s="1810">
        <f t="shared" si="15"/>
        <v>111</v>
      </c>
      <c r="AA31" s="1807">
        <f t="shared" si="3"/>
        <v>1</v>
      </c>
      <c r="AB31" s="1807">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34"/>
      <c r="Q32" s="1806">
        <f t="shared" si="11"/>
        <v>111</v>
      </c>
      <c r="R32" s="773" t="s">
        <v>17</v>
      </c>
      <c r="S32" s="774">
        <f t="shared" si="12"/>
        <v>100</v>
      </c>
      <c r="T32" s="773" t="s">
        <v>17</v>
      </c>
      <c r="U32" s="774">
        <f t="shared" si="13"/>
        <v>100</v>
      </c>
      <c r="V32" s="773" t="s">
        <v>17</v>
      </c>
      <c r="W32" s="774">
        <f t="shared" si="14"/>
        <v>100</v>
      </c>
      <c r="X32" s="1809"/>
      <c r="Y32" s="3236"/>
      <c r="Z32" s="1810">
        <f t="shared" si="15"/>
        <v>111</v>
      </c>
      <c r="AA32" s="1807">
        <f t="shared" si="3"/>
        <v>1</v>
      </c>
      <c r="AB32" s="1807">
        <f t="shared" si="4"/>
        <v>1</v>
      </c>
      <c r="AC32" s="2667">
        <f t="shared" si="5"/>
        <v>1</v>
      </c>
    </row>
    <row r="33" spans="1:29" ht="15">
      <c r="A33" s="439" t="s">
        <v>2562</v>
      </c>
      <c r="B33" s="70" t="s">
        <v>2692</v>
      </c>
      <c r="C33" s="2672" t="s">
        <v>3358</v>
      </c>
      <c r="D33" s="466">
        <v>100</v>
      </c>
      <c r="E33" s="2672" t="s">
        <v>3358</v>
      </c>
      <c r="F33" s="460">
        <f>SUMIF(101:101,E33,102:102)-SUMIF(101:101,C33,102:102)+100</f>
        <v>100</v>
      </c>
      <c r="G33" s="2672" t="s">
        <v>3358</v>
      </c>
      <c r="H33" s="434">
        <f>SUMIF(101:101,G33,102:102)-SUMIF(101:101,C33,102:102)+100</f>
        <v>100</v>
      </c>
      <c r="I33" s="2672" t="s">
        <v>3358</v>
      </c>
      <c r="J33" s="466">
        <f>SUMIF(101:101,I33,102:102)-SUMIF(101:101,C33,102:102)+100</f>
        <v>100</v>
      </c>
      <c r="K33" s="611">
        <v>1</v>
      </c>
      <c r="L33" s="1136"/>
      <c r="M33" s="1127"/>
      <c r="N33" s="1127"/>
      <c r="O33" s="1127"/>
      <c r="P33" s="3237" t="s">
        <v>2564</v>
      </c>
      <c r="Q33" s="1806" t="str">
        <f t="shared" si="11"/>
        <v>建筑类型</v>
      </c>
      <c r="R33" s="773" t="s">
        <v>17</v>
      </c>
      <c r="S33" s="774">
        <f t="shared" si="12"/>
        <v>100</v>
      </c>
      <c r="T33" s="773" t="s">
        <v>17</v>
      </c>
      <c r="U33" s="774">
        <f t="shared" si="13"/>
        <v>100</v>
      </c>
      <c r="V33" s="773" t="s">
        <v>17</v>
      </c>
      <c r="W33" s="774">
        <f t="shared" si="14"/>
        <v>100</v>
      </c>
      <c r="X33" s="1809"/>
      <c r="Y33" s="3240"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38"/>
      <c r="Q34" s="775" t="str">
        <f t="shared" si="11"/>
        <v>项目建筑规模</v>
      </c>
      <c r="R34" s="776" t="s">
        <v>17</v>
      </c>
      <c r="S34" s="777">
        <f t="shared" si="12"/>
        <v>100</v>
      </c>
      <c r="T34" s="776" t="s">
        <v>17</v>
      </c>
      <c r="U34" s="777">
        <f t="shared" si="13"/>
        <v>100</v>
      </c>
      <c r="V34" s="776" t="s">
        <v>17</v>
      </c>
      <c r="W34" s="777">
        <f t="shared" si="14"/>
        <v>100</v>
      </c>
      <c r="X34" s="778"/>
      <c r="Y34" s="3240"/>
      <c r="Z34" s="779" t="str">
        <f t="shared" si="15"/>
        <v>项目建筑规模</v>
      </c>
      <c r="AA34" s="1807">
        <f t="shared" si="3"/>
        <v>1</v>
      </c>
      <c r="AB34" s="1807">
        <f t="shared" si="4"/>
        <v>1</v>
      </c>
      <c r="AC34" s="2667">
        <f t="shared" si="5"/>
        <v>1</v>
      </c>
    </row>
    <row r="35" spans="1:29" ht="15">
      <c r="A35" s="471"/>
      <c r="B35" s="421" t="s">
        <v>2566</v>
      </c>
      <c r="C35" s="459" t="s">
        <v>3359</v>
      </c>
      <c r="D35" s="434">
        <v>100</v>
      </c>
      <c r="E35" s="459" t="s">
        <v>3359</v>
      </c>
      <c r="F35" s="460">
        <f>SUMIF(106:106,E35,107:107)-SUMIF(106:106,C35,107:107)+100</f>
        <v>100</v>
      </c>
      <c r="G35" s="459" t="s">
        <v>3359</v>
      </c>
      <c r="H35" s="434">
        <f>SUMIF(106:106,G35,107:107)-SUMIF(106:106,C35,107:107)+100</f>
        <v>100</v>
      </c>
      <c r="I35" s="459" t="s">
        <v>3359</v>
      </c>
      <c r="J35" s="434">
        <f>SUMIF(106:106,I35,107:107)-SUMIF(106:106,C35,107:107)+100</f>
        <v>100</v>
      </c>
      <c r="K35" s="611"/>
      <c r="L35" s="1136"/>
      <c r="M35" s="1127"/>
      <c r="N35" s="1127"/>
      <c r="O35" s="1127"/>
      <c r="P35" s="3238"/>
      <c r="Q35" s="1806" t="str">
        <f t="shared" si="11"/>
        <v>建筑结构</v>
      </c>
      <c r="R35" s="773" t="s">
        <v>17</v>
      </c>
      <c r="S35" s="774">
        <f t="shared" si="12"/>
        <v>100</v>
      </c>
      <c r="T35" s="773" t="s">
        <v>17</v>
      </c>
      <c r="U35" s="774">
        <f t="shared" si="13"/>
        <v>100</v>
      </c>
      <c r="V35" s="773" t="s">
        <v>17</v>
      </c>
      <c r="W35" s="774">
        <f t="shared" si="14"/>
        <v>100</v>
      </c>
      <c r="X35" s="1809"/>
      <c r="Y35" s="3240"/>
      <c r="Z35" s="1810" t="str">
        <f t="shared" si="15"/>
        <v>建筑结构</v>
      </c>
      <c r="AA35" s="1807">
        <f t="shared" si="3"/>
        <v>1</v>
      </c>
      <c r="AB35" s="1807">
        <f t="shared" si="4"/>
        <v>1</v>
      </c>
      <c r="AC35" s="2667">
        <f t="shared" si="5"/>
        <v>1</v>
      </c>
    </row>
    <row r="36" spans="1:29" ht="15">
      <c r="A36" s="471"/>
      <c r="B36" s="421" t="s">
        <v>2660</v>
      </c>
      <c r="C36" s="459" t="s">
        <v>3360</v>
      </c>
      <c r="D36" s="434">
        <v>100</v>
      </c>
      <c r="E36" s="459" t="s">
        <v>3360</v>
      </c>
      <c r="F36" s="460">
        <f>SUMIF(108:108,E36,109:109)-SUMIF(108:108,C36,109:109)+100</f>
        <v>100</v>
      </c>
      <c r="G36" s="459" t="s">
        <v>3360</v>
      </c>
      <c r="H36" s="434">
        <f>SUMIF(108:108,G36,109:109)-SUMIF(108:108,C36,109:109)+100</f>
        <v>100</v>
      </c>
      <c r="I36" s="459" t="s">
        <v>3360</v>
      </c>
      <c r="J36" s="434">
        <f>SUMIF(108:108,I36,109:109)-SUMIF(108:108,C36,109:109)+100</f>
        <v>100</v>
      </c>
      <c r="K36" s="611"/>
      <c r="L36" s="1136"/>
      <c r="M36" s="1127"/>
      <c r="N36" s="1127"/>
      <c r="O36" s="1127"/>
      <c r="P36" s="3238"/>
      <c r="Q36" s="1806" t="str">
        <f t="shared" si="11"/>
        <v>公共部分装修</v>
      </c>
      <c r="R36" s="773" t="s">
        <v>17</v>
      </c>
      <c r="S36" s="774">
        <f t="shared" si="12"/>
        <v>100</v>
      </c>
      <c r="T36" s="773" t="s">
        <v>17</v>
      </c>
      <c r="U36" s="774">
        <f t="shared" si="13"/>
        <v>100</v>
      </c>
      <c r="V36" s="773" t="s">
        <v>17</v>
      </c>
      <c r="W36" s="774">
        <f t="shared" si="14"/>
        <v>100</v>
      </c>
      <c r="X36" s="1809"/>
      <c r="Y36" s="3240"/>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38"/>
      <c r="Q37" s="1806" t="str">
        <f t="shared" si="11"/>
        <v>成新度</v>
      </c>
      <c r="R37" s="773" t="s">
        <v>17</v>
      </c>
      <c r="S37" s="774">
        <f t="shared" si="12"/>
        <v>100</v>
      </c>
      <c r="T37" s="773" t="s">
        <v>17</v>
      </c>
      <c r="U37" s="774">
        <f t="shared" si="13"/>
        <v>100</v>
      </c>
      <c r="V37" s="773" t="s">
        <v>17</v>
      </c>
      <c r="W37" s="774">
        <f t="shared" si="14"/>
        <v>100</v>
      </c>
      <c r="X37" s="1809"/>
      <c r="Y37" s="3240"/>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38"/>
      <c r="Q38" s="1791" t="str">
        <f t="shared" si="11"/>
        <v>写字楼等级</v>
      </c>
      <c r="R38" s="769" t="s">
        <v>17</v>
      </c>
      <c r="S38" s="770">
        <f t="shared" si="12"/>
        <v>100</v>
      </c>
      <c r="T38" s="769" t="s">
        <v>17</v>
      </c>
      <c r="U38" s="770">
        <f t="shared" si="13"/>
        <v>100</v>
      </c>
      <c r="V38" s="769" t="s">
        <v>17</v>
      </c>
      <c r="W38" s="770">
        <f t="shared" si="14"/>
        <v>100</v>
      </c>
      <c r="X38" s="771"/>
      <c r="Y38" s="3240"/>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38" t="s">
        <v>2564</v>
      </c>
      <c r="Q39" s="1806" t="str">
        <f t="shared" si="11"/>
        <v>物业管理</v>
      </c>
      <c r="R39" s="773" t="s">
        <v>17</v>
      </c>
      <c r="S39" s="774">
        <f t="shared" si="12"/>
        <v>100</v>
      </c>
      <c r="T39" s="773" t="s">
        <v>17</v>
      </c>
      <c r="U39" s="774">
        <f t="shared" si="13"/>
        <v>100</v>
      </c>
      <c r="V39" s="773" t="s">
        <v>17</v>
      </c>
      <c r="W39" s="774">
        <f t="shared" si="14"/>
        <v>100</v>
      </c>
      <c r="X39" s="1809"/>
      <c r="Y39" s="3240" t="s">
        <v>2564</v>
      </c>
      <c r="Z39" s="1810" t="str">
        <f t="shared" si="15"/>
        <v>物业管理</v>
      </c>
      <c r="AA39" s="1807">
        <f t="shared" si="3"/>
        <v>1</v>
      </c>
      <c r="AB39" s="1807">
        <f t="shared" si="4"/>
        <v>1</v>
      </c>
      <c r="AC39" s="2667">
        <f t="shared" si="5"/>
        <v>1</v>
      </c>
    </row>
    <row r="40" spans="1:29" ht="15">
      <c r="A40" s="471"/>
      <c r="B40" s="421" t="s">
        <v>2662</v>
      </c>
      <c r="C40" s="2993" t="s">
        <v>3287</v>
      </c>
      <c r="D40" s="434">
        <v>100</v>
      </c>
      <c r="E40" s="2993" t="s">
        <v>3368</v>
      </c>
      <c r="F40" s="460">
        <f>SUMIF(117:117,E40,118:118)-SUMIF(117:117,C40,118:118)+100</f>
        <v>100</v>
      </c>
      <c r="G40" s="2993" t="s">
        <v>3368</v>
      </c>
      <c r="H40" s="434">
        <f>SUMIF(117:117,G40,118:118)-SUMIF(117:117,C40,118:118)+100</f>
        <v>100</v>
      </c>
      <c r="I40" s="2993" t="s">
        <v>3368</v>
      </c>
      <c r="J40" s="434">
        <f>SUMIF(117:117,I40,118:118)-SUMIF(117:117,C40,118:118)+100</f>
        <v>100</v>
      </c>
      <c r="K40" s="611">
        <v>0</v>
      </c>
      <c r="L40" s="1136"/>
      <c r="M40" s="1127"/>
      <c r="N40" s="1127"/>
      <c r="O40" s="1127"/>
      <c r="P40" s="3238"/>
      <c r="Q40" s="1806" t="str">
        <f t="shared" si="11"/>
        <v>市政基础设施</v>
      </c>
      <c r="R40" s="773" t="s">
        <v>17</v>
      </c>
      <c r="S40" s="774">
        <f t="shared" si="12"/>
        <v>100</v>
      </c>
      <c r="T40" s="773" t="s">
        <v>17</v>
      </c>
      <c r="U40" s="774">
        <f t="shared" si="13"/>
        <v>100</v>
      </c>
      <c r="V40" s="773" t="s">
        <v>17</v>
      </c>
      <c r="W40" s="774">
        <f t="shared" si="14"/>
        <v>100</v>
      </c>
      <c r="X40" s="1809"/>
      <c r="Y40" s="3240"/>
      <c r="Z40" s="1810" t="str">
        <f t="shared" si="15"/>
        <v>市政基础设施</v>
      </c>
      <c r="AA40" s="1807">
        <f t="shared" si="3"/>
        <v>1</v>
      </c>
      <c r="AB40" s="1807">
        <f t="shared" si="4"/>
        <v>1</v>
      </c>
      <c r="AC40" s="2667">
        <f t="shared" si="5"/>
        <v>1</v>
      </c>
    </row>
    <row r="41" spans="1:29" ht="15">
      <c r="A41" s="471"/>
      <c r="B41" s="421" t="s">
        <v>2664</v>
      </c>
      <c r="C41" s="2981" t="s">
        <v>3361</v>
      </c>
      <c r="D41" s="434">
        <v>100</v>
      </c>
      <c r="E41" s="2981" t="s">
        <v>3361</v>
      </c>
      <c r="F41" s="460">
        <f>SUMIF(119:119,E41,120:120)-SUMIF(119:119,C41,120:120)+100</f>
        <v>100</v>
      </c>
      <c r="G41" s="2981" t="s">
        <v>3361</v>
      </c>
      <c r="H41" s="434">
        <f>SUMIF(119:119,G41,120:120)-SUMIF(119:119,C41,120:120)+100</f>
        <v>100</v>
      </c>
      <c r="I41" s="2981" t="s">
        <v>3361</v>
      </c>
      <c r="J41" s="434">
        <f>SUMIF(119:119,I41,120:120)-SUMIF(119:119,C41,120:120)+100</f>
        <v>100</v>
      </c>
      <c r="K41" s="611"/>
      <c r="L41" s="1136"/>
      <c r="M41" s="1127"/>
      <c r="N41" s="1127"/>
      <c r="O41" s="1127"/>
      <c r="P41" s="3238"/>
      <c r="Q41" s="1806" t="str">
        <f t="shared" si="11"/>
        <v>层高</v>
      </c>
      <c r="R41" s="773" t="s">
        <v>17</v>
      </c>
      <c r="S41" s="774">
        <f t="shared" si="12"/>
        <v>100</v>
      </c>
      <c r="T41" s="773" t="s">
        <v>17</v>
      </c>
      <c r="U41" s="774">
        <f t="shared" si="13"/>
        <v>100</v>
      </c>
      <c r="V41" s="773" t="s">
        <v>17</v>
      </c>
      <c r="W41" s="774">
        <f t="shared" si="14"/>
        <v>100</v>
      </c>
      <c r="X41" s="1809"/>
      <c r="Y41" s="3240"/>
      <c r="Z41" s="1810" t="str">
        <f t="shared" si="15"/>
        <v>层高</v>
      </c>
      <c r="AA41" s="1807">
        <f t="shared" si="3"/>
        <v>1</v>
      </c>
      <c r="AB41" s="1807">
        <f t="shared" si="4"/>
        <v>1</v>
      </c>
      <c r="AC41" s="2667">
        <f t="shared" si="5"/>
        <v>1</v>
      </c>
    </row>
    <row r="42" spans="1:29" s="470" customFormat="1" ht="15">
      <c r="A42" s="467"/>
      <c r="B42" s="1808" t="s">
        <v>2695</v>
      </c>
      <c r="C42" s="433" t="s">
        <v>3329</v>
      </c>
      <c r="D42" s="434">
        <v>100</v>
      </c>
      <c r="E42" s="433" t="s">
        <v>3329</v>
      </c>
      <c r="F42" s="460">
        <f>SUMIF(121:121,E42,122:122)-SUMIF(121:121,C42,122:122)+100</f>
        <v>100</v>
      </c>
      <c r="G42" s="433" t="s">
        <v>3329</v>
      </c>
      <c r="H42" s="434">
        <f>SUMIF(121:121,G42,122:122)-SUMIF(121:121,C42,122:122)+100</f>
        <v>100</v>
      </c>
      <c r="I42" s="433" t="s">
        <v>3329</v>
      </c>
      <c r="J42" s="434">
        <f>SUMIF(121:121,I42,122:122)-SUMIF(121:121,C42,122:122)+100</f>
        <v>100</v>
      </c>
      <c r="K42" s="612"/>
      <c r="L42" s="1134"/>
      <c r="M42" s="1137"/>
      <c r="N42" s="1137"/>
      <c r="O42" s="1137"/>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1807">
        <f t="shared" si="3"/>
        <v>1</v>
      </c>
      <c r="AB42" s="1807">
        <f t="shared" si="4"/>
        <v>1</v>
      </c>
      <c r="AC42" s="2667">
        <f t="shared" si="5"/>
        <v>1</v>
      </c>
    </row>
    <row r="43" spans="1:29" ht="15">
      <c r="A43" s="471"/>
      <c r="B43" s="421" t="s">
        <v>2667</v>
      </c>
      <c r="C43" s="2993" t="s">
        <v>3362</v>
      </c>
      <c r="D43" s="434">
        <v>100</v>
      </c>
      <c r="E43" s="2993" t="s">
        <v>3362</v>
      </c>
      <c r="F43" s="460">
        <f>SUMIF(123:123,E43,124:124)-SUMIF(123:123,C43,124:124)+100</f>
        <v>100</v>
      </c>
      <c r="G43" s="2993" t="s">
        <v>3362</v>
      </c>
      <c r="H43" s="434">
        <f>SUMIF(123:123,G43,124:124)-SUMIF(123:123,C43,124:124)+100</f>
        <v>100</v>
      </c>
      <c r="I43" s="2993" t="s">
        <v>3362</v>
      </c>
      <c r="J43" s="434">
        <f>SUMIF(123:123,I43,124:124)-SUMIF(123:123,C43,124:124)+100</f>
        <v>100</v>
      </c>
      <c r="K43" s="611"/>
      <c r="L43" s="1136"/>
      <c r="M43" s="1127"/>
      <c r="N43" s="1127"/>
      <c r="O43" s="1127"/>
      <c r="P43" s="3238"/>
      <c r="Q43" s="1806" t="str">
        <f t="shared" si="11"/>
        <v>内部装修</v>
      </c>
      <c r="R43" s="773" t="s">
        <v>17</v>
      </c>
      <c r="S43" s="774">
        <f t="shared" si="12"/>
        <v>100</v>
      </c>
      <c r="T43" s="773" t="s">
        <v>17</v>
      </c>
      <c r="U43" s="774">
        <f t="shared" si="13"/>
        <v>100</v>
      </c>
      <c r="V43" s="773" t="s">
        <v>17</v>
      </c>
      <c r="W43" s="774">
        <f t="shared" si="14"/>
        <v>100</v>
      </c>
      <c r="X43" s="1809"/>
      <c r="Y43" s="3240"/>
      <c r="Z43" s="1810" t="str">
        <f t="shared" si="15"/>
        <v>内部装修</v>
      </c>
      <c r="AA43" s="1807">
        <f t="shared" si="3"/>
        <v>1</v>
      </c>
      <c r="AB43" s="1807">
        <f t="shared" si="4"/>
        <v>1</v>
      </c>
      <c r="AC43" s="2667">
        <f t="shared" si="5"/>
        <v>1</v>
      </c>
    </row>
    <row r="44" spans="1:29" ht="28.8">
      <c r="A44" s="471"/>
      <c r="B44" s="421" t="s">
        <v>2575</v>
      </c>
      <c r="C44" s="2993" t="s">
        <v>3052</v>
      </c>
      <c r="D44" s="434">
        <v>100</v>
      </c>
      <c r="E44" s="2993" t="s">
        <v>3052</v>
      </c>
      <c r="F44" s="460">
        <f>SUMIF(125:125,E44,126:126)-SUMIF(125:125,C44,126:126)+100</f>
        <v>100</v>
      </c>
      <c r="G44" s="2993" t="s">
        <v>3052</v>
      </c>
      <c r="H44" s="434">
        <f>SUMIF(125:125,G44,126:126)-SUMIF(125:125,C44,126:126)+100</f>
        <v>100</v>
      </c>
      <c r="I44" s="2993" t="s">
        <v>3052</v>
      </c>
      <c r="J44" s="434">
        <f>SUMIF(125:125,I44,126:126)-SUMIF(125:125,C44,126:126)+100</f>
        <v>100</v>
      </c>
      <c r="K44" s="611"/>
      <c r="L44" s="1136"/>
      <c r="M44" s="1127"/>
      <c r="N44" s="1127"/>
      <c r="O44" s="1127"/>
      <c r="P44" s="3238"/>
      <c r="Q44" s="1806" t="str">
        <f t="shared" si="11"/>
        <v>内部装修维护情况</v>
      </c>
      <c r="R44" s="773" t="s">
        <v>17</v>
      </c>
      <c r="S44" s="774">
        <f t="shared" si="12"/>
        <v>100</v>
      </c>
      <c r="T44" s="773" t="s">
        <v>17</v>
      </c>
      <c r="U44" s="774">
        <f t="shared" si="13"/>
        <v>100</v>
      </c>
      <c r="V44" s="773" t="s">
        <v>17</v>
      </c>
      <c r="W44" s="774">
        <f t="shared" si="14"/>
        <v>100</v>
      </c>
      <c r="X44" s="1809"/>
      <c r="Y44" s="3240"/>
      <c r="Z44" s="1810" t="str">
        <f t="shared" si="15"/>
        <v>内部装修维护情况</v>
      </c>
      <c r="AA44" s="1807">
        <f t="shared" si="3"/>
        <v>1</v>
      </c>
      <c r="AB44" s="1807">
        <f t="shared" si="4"/>
        <v>1</v>
      </c>
      <c r="AC44" s="2667">
        <f t="shared" si="5"/>
        <v>1</v>
      </c>
    </row>
    <row r="45" spans="1:29" s="116" customFormat="1" ht="15">
      <c r="A45" s="472"/>
      <c r="B45" s="2995" t="s">
        <v>3364</v>
      </c>
      <c r="C45" s="2994" t="s">
        <v>3363</v>
      </c>
      <c r="D45" s="135">
        <v>100</v>
      </c>
      <c r="E45" s="2997" t="s">
        <v>3367</v>
      </c>
      <c r="F45" s="424">
        <f>SUMIF(127:127,E45,128:128)-SUMIF(127:127,C45,128:128)+100</f>
        <v>75</v>
      </c>
      <c r="G45" s="2997" t="s">
        <v>3367</v>
      </c>
      <c r="H45" s="135">
        <f>SUMIF(127:127,G45,128:128)-SUMIF(127:127,C45,128:128)+100</f>
        <v>75</v>
      </c>
      <c r="I45" s="2997" t="s">
        <v>3367</v>
      </c>
      <c r="J45" s="135">
        <f>SUMIF(127:127,I45,128:128)-SUMIF(127:127,C45,128:128)+100</f>
        <v>75</v>
      </c>
      <c r="K45" s="612"/>
      <c r="L45" s="1128"/>
      <c r="M45" s="1129"/>
      <c r="N45" s="1129"/>
      <c r="O45" s="1129"/>
      <c r="P45" s="3238"/>
      <c r="Q45" s="1791" t="str">
        <f t="shared" si="11"/>
        <v>建筑类型</v>
      </c>
      <c r="R45" s="769" t="s">
        <v>17</v>
      </c>
      <c r="S45" s="770">
        <f t="shared" si="12"/>
        <v>75</v>
      </c>
      <c r="T45" s="769" t="s">
        <v>17</v>
      </c>
      <c r="U45" s="770">
        <f t="shared" si="13"/>
        <v>75</v>
      </c>
      <c r="V45" s="769" t="s">
        <v>17</v>
      </c>
      <c r="W45" s="770">
        <f t="shared" si="14"/>
        <v>75</v>
      </c>
      <c r="X45" s="771"/>
      <c r="Y45" s="3240"/>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38"/>
      <c r="Q46" s="1806">
        <f t="shared" si="11"/>
        <v>111</v>
      </c>
      <c r="R46" s="773" t="s">
        <v>17</v>
      </c>
      <c r="S46" s="774">
        <f t="shared" si="12"/>
        <v>100</v>
      </c>
      <c r="T46" s="773" t="s">
        <v>17</v>
      </c>
      <c r="U46" s="774">
        <f t="shared" si="13"/>
        <v>100</v>
      </c>
      <c r="V46" s="773" t="s">
        <v>17</v>
      </c>
      <c r="W46" s="774">
        <f t="shared" si="14"/>
        <v>100</v>
      </c>
      <c r="X46" s="1809"/>
      <c r="Y46" s="3240"/>
      <c r="Z46" s="1810">
        <f t="shared" si="15"/>
        <v>111</v>
      </c>
      <c r="AA46" s="1807">
        <f t="shared" si="3"/>
        <v>1</v>
      </c>
      <c r="AB46" s="1807">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39"/>
      <c r="Q47" s="1806">
        <f t="shared" si="11"/>
        <v>111</v>
      </c>
      <c r="R47" s="773" t="s">
        <v>17</v>
      </c>
      <c r="S47" s="774">
        <f t="shared" si="12"/>
        <v>100</v>
      </c>
      <c r="T47" s="773" t="s">
        <v>17</v>
      </c>
      <c r="U47" s="774">
        <f t="shared" si="13"/>
        <v>100</v>
      </c>
      <c r="V47" s="773" t="s">
        <v>17</v>
      </c>
      <c r="W47" s="774">
        <f t="shared" si="14"/>
        <v>100</v>
      </c>
      <c r="X47" s="1809"/>
      <c r="Y47" s="3241"/>
      <c r="Z47" s="1810">
        <f t="shared" si="15"/>
        <v>111</v>
      </c>
      <c r="AA47" s="1807">
        <f t="shared" si="3"/>
        <v>1</v>
      </c>
      <c r="AB47" s="1807">
        <f t="shared" si="4"/>
        <v>1</v>
      </c>
      <c r="AC47" s="2667">
        <f t="shared" si="5"/>
        <v>1</v>
      </c>
    </row>
    <row r="48" spans="1:29" ht="14.4">
      <c r="A48" s="478" t="s">
        <v>2576</v>
      </c>
      <c r="B48" s="479"/>
      <c r="C48" s="1403" t="s">
        <v>1</v>
      </c>
      <c r="D48" s="1404"/>
      <c r="E48" s="1405">
        <v>4.8</v>
      </c>
      <c r="F48" s="1406"/>
      <c r="G48" s="1407">
        <v>4.5</v>
      </c>
      <c r="H48" s="1408"/>
      <c r="I48" s="1405">
        <v>4</v>
      </c>
      <c r="J48" s="484"/>
      <c r="K48" s="782"/>
      <c r="L48" s="1139"/>
      <c r="M48" s="1127"/>
      <c r="N48" s="1127"/>
      <c r="O48" s="1127"/>
      <c r="P48" s="3227" t="str">
        <f>A48</f>
        <v>成交单价（元/平方米）</v>
      </c>
      <c r="Q48" s="3228"/>
      <c r="R48" s="3229">
        <f>E48</f>
        <v>4.8</v>
      </c>
      <c r="S48" s="3229"/>
      <c r="T48" s="3229">
        <f>G48</f>
        <v>4.5</v>
      </c>
      <c r="U48" s="3229"/>
      <c r="V48" s="3229">
        <f>I48</f>
        <v>4</v>
      </c>
      <c r="W48" s="3229"/>
      <c r="X48" s="445"/>
      <c r="Y48" s="780"/>
      <c r="Z48" s="445"/>
      <c r="AA48" s="445"/>
      <c r="AB48" s="445"/>
      <c r="AC48" s="629"/>
    </row>
    <row r="49" spans="1:29" ht="15" thickBot="1">
      <c r="A49" s="485" t="s">
        <v>2668</v>
      </c>
      <c r="B49" s="486"/>
      <c r="C49" s="1409">
        <f>R50</f>
        <v>6</v>
      </c>
      <c r="D49" s="1410"/>
      <c r="E49" s="1411">
        <f>R49</f>
        <v>6.5</v>
      </c>
      <c r="F49" s="1411"/>
      <c r="G49" s="1409">
        <f>T49</f>
        <v>6</v>
      </c>
      <c r="H49" s="1410"/>
      <c r="I49" s="1411">
        <f>V49</f>
        <v>5.4</v>
      </c>
      <c r="J49" s="488"/>
      <c r="K49" s="783"/>
      <c r="L49" s="1139"/>
      <c r="M49" s="1127"/>
      <c r="N49" s="1127"/>
      <c r="O49" s="1127"/>
      <c r="P49" s="3227" t="str">
        <f>A49</f>
        <v>比较价值（元/平方米）</v>
      </c>
      <c r="Q49" s="3228"/>
      <c r="R49" s="3229">
        <f>IF(F1="售价",ROUND(PRODUCT(R48,AA7:AA47),0),ROUND(PRODUCT(R48,AA7:AA47),1))</f>
        <v>6.5</v>
      </c>
      <c r="S49" s="3229"/>
      <c r="T49" s="3229">
        <f>IF(F1="售价",ROUND(PRODUCT(T48,AB7:AB47),0),ROUND(PRODUCT(T48,AB7:AB47),1))</f>
        <v>6</v>
      </c>
      <c r="U49" s="3229"/>
      <c r="V49" s="3229">
        <f>IF(F1="售价",ROUND(PRODUCT(V48,AC7:AC47),0),ROUND(PRODUCT(V48,AC7:AC47),1))</f>
        <v>5.4</v>
      </c>
      <c r="W49" s="3229"/>
      <c r="X49" s="445"/>
      <c r="Y49" s="445"/>
      <c r="Z49" s="445"/>
      <c r="AA49" s="445"/>
      <c r="AB49" s="445"/>
      <c r="AC49" s="629"/>
    </row>
    <row r="50" spans="1:29" ht="15" thickBot="1">
      <c r="A50" s="491" t="s">
        <v>2669</v>
      </c>
      <c r="B50" s="492"/>
      <c r="C50" s="1413">
        <f>R50</f>
        <v>6</v>
      </c>
      <c r="D50" s="1413"/>
      <c r="E50" s="1413"/>
      <c r="F50" s="1413"/>
      <c r="G50" s="1413"/>
      <c r="H50" s="1413"/>
      <c r="I50" s="1413"/>
      <c r="J50" s="493"/>
      <c r="K50" s="784"/>
      <c r="L50" s="1139"/>
      <c r="M50" s="1127"/>
      <c r="N50" s="1127"/>
      <c r="O50" s="1127"/>
      <c r="P50" s="3230" t="str">
        <f>A50</f>
        <v>估价对象XX用房的比较价值（楼面单价，元/平方米）</v>
      </c>
      <c r="Q50" s="3231"/>
      <c r="R50" s="3232">
        <f>IF(F1="售价",ROUND(AVERAGE(R49:V49),0),ROUND(AVERAGE(R49:V49),1))</f>
        <v>6</v>
      </c>
      <c r="S50" s="3232"/>
      <c r="T50" s="3232"/>
      <c r="U50" s="3232"/>
      <c r="V50" s="3232"/>
      <c r="W50" s="3232"/>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2.2" thickBot="1">
      <c r="A58" s="762" t="s">
        <v>2673</v>
      </c>
      <c r="B58" s="758"/>
      <c r="C58" s="763"/>
      <c r="D58" s="763"/>
      <c r="E58" s="763"/>
      <c r="F58" s="764"/>
      <c r="G58" s="764"/>
      <c r="H58" s="763"/>
      <c r="I58" s="763"/>
      <c r="J58" s="763"/>
      <c r="K58" s="765"/>
      <c r="L58" s="1157"/>
      <c r="M58" s="1155"/>
      <c r="N58" s="1155"/>
      <c r="O58" s="1155"/>
      <c r="P58" s="2674"/>
      <c r="Q58" s="503"/>
    </row>
    <row r="59" spans="1:29" s="507" customFormat="1" ht="14.4">
      <c r="A59" s="504" t="s">
        <v>2547</v>
      </c>
      <c r="B59" s="505"/>
      <c r="C59" s="1570" t="str">
        <f>YEAR(C7)&amp;"-"&amp;MONTH(C7)</f>
        <v>2018-5</v>
      </c>
      <c r="D59" s="1571">
        <f>EDATE(C59,-1)</f>
        <v>43191</v>
      </c>
      <c r="E59" s="1571">
        <f>EDATE(D59,-1)</f>
        <v>43160</v>
      </c>
      <c r="F59" s="1571">
        <f t="shared" ref="F59:O59" si="16">EDATE(E59,-1)</f>
        <v>43132</v>
      </c>
      <c r="G59" s="1571">
        <f t="shared" si="16"/>
        <v>43101</v>
      </c>
      <c r="H59" s="1571">
        <f t="shared" si="16"/>
        <v>43070</v>
      </c>
      <c r="I59" s="1571">
        <f t="shared" si="16"/>
        <v>43040</v>
      </c>
      <c r="J59" s="1571">
        <f t="shared" si="16"/>
        <v>43009</v>
      </c>
      <c r="K59" s="1571">
        <f t="shared" si="16"/>
        <v>42979</v>
      </c>
      <c r="L59" s="1571">
        <f t="shared" si="16"/>
        <v>42948</v>
      </c>
      <c r="M59" s="1571">
        <f t="shared" si="16"/>
        <v>42917</v>
      </c>
      <c r="N59" s="1571">
        <f t="shared" si="16"/>
        <v>42887</v>
      </c>
      <c r="O59" s="1571">
        <f t="shared" si="16"/>
        <v>42856</v>
      </c>
      <c r="P59" s="1567"/>
    </row>
    <row r="60" spans="1:29" s="116" customFormat="1">
      <c r="A60" s="508"/>
      <c r="B60" s="509"/>
      <c r="C60" s="1569">
        <v>100</v>
      </c>
      <c r="D60" s="511"/>
      <c r="E60" s="511"/>
      <c r="F60" s="511"/>
      <c r="G60" s="511"/>
      <c r="H60" s="511"/>
      <c r="I60" s="511"/>
      <c r="J60" s="511"/>
      <c r="K60" s="511"/>
      <c r="L60" s="511"/>
      <c r="M60" s="512"/>
      <c r="N60" s="511"/>
      <c r="O60" s="512"/>
      <c r="P60" s="2675"/>
    </row>
    <row r="61" spans="1:29" s="116" customFormat="1" ht="15" thickBot="1">
      <c r="A61" s="514" t="s">
        <v>2584</v>
      </c>
      <c r="B61" s="515"/>
      <c r="C61" s="516"/>
      <c r="D61" s="517"/>
      <c r="E61" s="517"/>
      <c r="F61" s="517"/>
      <c r="G61" s="517"/>
      <c r="H61" s="517"/>
      <c r="I61" s="517"/>
      <c r="J61" s="517"/>
      <c r="K61" s="517"/>
      <c r="L61" s="517"/>
      <c r="M61" s="518"/>
      <c r="N61" s="517"/>
      <c r="O61" s="518"/>
      <c r="P61" s="2675"/>
      <c r="Q61" s="503"/>
    </row>
    <row r="62" spans="1:29" s="116" customFormat="1" ht="14.4">
      <c r="A62" s="520" t="s">
        <v>2549</v>
      </c>
      <c r="B62" s="509"/>
      <c r="C62" s="521" t="s">
        <v>2651</v>
      </c>
      <c r="D62" s="522"/>
      <c r="E62" s="522"/>
      <c r="F62" s="522"/>
      <c r="G62" s="522"/>
      <c r="H62" s="522"/>
      <c r="I62" s="522"/>
      <c r="J62" s="522"/>
      <c r="K62" s="522"/>
      <c r="L62" s="523"/>
      <c r="M62" s="524"/>
      <c r="N62" s="1147"/>
      <c r="O62" s="1147"/>
      <c r="P62" s="2676"/>
      <c r="Q62" s="503"/>
    </row>
    <row r="63" spans="1:29" s="116" customFormat="1" ht="14.4" thickBot="1">
      <c r="A63" s="520"/>
      <c r="B63" s="509"/>
      <c r="C63" s="510">
        <v>100</v>
      </c>
      <c r="D63" s="511"/>
      <c r="E63" s="511"/>
      <c r="F63" s="511"/>
      <c r="G63" s="511"/>
      <c r="H63" s="511"/>
      <c r="I63" s="511"/>
      <c r="J63" s="511"/>
      <c r="K63" s="511"/>
      <c r="L63" s="511"/>
      <c r="M63" s="513"/>
      <c r="N63" s="1147"/>
      <c r="O63" s="1147"/>
      <c r="P63" s="2675"/>
      <c r="Q63" s="503"/>
    </row>
    <row r="64" spans="1:29" ht="14.4">
      <c r="A64" s="526" t="s">
        <v>2587</v>
      </c>
      <c r="B64" s="527" t="s">
        <v>2553</v>
      </c>
      <c r="C64" s="528" t="str">
        <f>C9</f>
        <v>办公</v>
      </c>
      <c r="D64" s="529"/>
      <c r="E64" s="529"/>
      <c r="F64" s="529"/>
      <c r="G64" s="529"/>
      <c r="H64" s="529"/>
      <c r="I64" s="529"/>
      <c r="J64" s="529"/>
      <c r="K64" s="530"/>
      <c r="L64" s="531"/>
      <c r="M64" s="532"/>
      <c r="N64" s="1148"/>
      <c r="O64" s="1148"/>
      <c r="P64" s="2677"/>
      <c r="Q64" s="503"/>
    </row>
    <row r="65" spans="1:17" ht="14.4" thickBot="1">
      <c r="A65" s="533"/>
      <c r="B65" s="534"/>
      <c r="C65" s="535">
        <v>100</v>
      </c>
      <c r="D65" s="535"/>
      <c r="E65" s="535"/>
      <c r="F65" s="535"/>
      <c r="G65" s="535"/>
      <c r="H65" s="535"/>
      <c r="I65" s="535"/>
      <c r="J65" s="535"/>
      <c r="K65" s="535"/>
      <c r="L65" s="535"/>
      <c r="M65" s="536"/>
      <c r="N65" s="1149"/>
      <c r="O65" s="1149"/>
      <c r="P65" s="2677"/>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c r="A69" s="533"/>
      <c r="B69" s="547"/>
      <c r="C69" s="548">
        <v>1</v>
      </c>
      <c r="D69" s="548">
        <v>2</v>
      </c>
      <c r="E69" s="548">
        <v>3</v>
      </c>
      <c r="F69" s="548">
        <v>4</v>
      </c>
      <c r="G69" s="548"/>
      <c r="H69" s="548"/>
      <c r="I69" s="548"/>
      <c r="J69" s="548"/>
      <c r="K69" s="549"/>
      <c r="L69" s="550"/>
      <c r="M69" s="551"/>
      <c r="N69" s="1148"/>
      <c r="O69" s="1148"/>
      <c r="P69" s="2677"/>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4.4" thickTop="1">
      <c r="A71" s="552"/>
      <c r="B71" s="537">
        <f>B12</f>
        <v>111</v>
      </c>
      <c r="C71" s="553"/>
      <c r="D71" s="553"/>
      <c r="E71" s="553"/>
      <c r="F71" s="553"/>
      <c r="G71" s="553"/>
      <c r="H71" s="554"/>
      <c r="I71" s="554"/>
      <c r="J71" s="554"/>
      <c r="K71" s="554"/>
      <c r="L71" s="555"/>
      <c r="M71" s="556"/>
      <c r="N71" s="1150"/>
      <c r="O71" s="1150"/>
      <c r="P71" s="2678"/>
      <c r="Q71" s="558"/>
    </row>
    <row r="72" spans="1:17" s="470" customFormat="1" ht="14.4" thickBot="1">
      <c r="A72" s="552"/>
      <c r="B72" s="542"/>
      <c r="C72" s="559"/>
      <c r="D72" s="535"/>
      <c r="E72" s="535"/>
      <c r="F72" s="535"/>
      <c r="G72" s="535"/>
      <c r="H72" s="535"/>
      <c r="I72" s="535"/>
      <c r="J72" s="535"/>
      <c r="K72" s="535"/>
      <c r="L72" s="535"/>
      <c r="M72" s="536"/>
      <c r="N72" s="1149"/>
      <c r="O72" s="1149"/>
      <c r="P72" s="2678"/>
      <c r="Q72" s="558"/>
    </row>
    <row r="73" spans="1:17" s="470" customFormat="1" ht="14.4" thickTop="1">
      <c r="A73" s="552"/>
      <c r="B73" s="537">
        <f>B13</f>
        <v>111</v>
      </c>
      <c r="C73" s="553"/>
      <c r="D73" s="553"/>
      <c r="E73" s="553"/>
      <c r="F73" s="553"/>
      <c r="G73" s="553"/>
      <c r="H73" s="554"/>
      <c r="I73" s="554"/>
      <c r="J73" s="554"/>
      <c r="K73" s="554"/>
      <c r="L73" s="555"/>
      <c r="M73" s="556"/>
      <c r="N73" s="1150"/>
      <c r="O73" s="1150"/>
      <c r="P73" s="2679"/>
      <c r="Q73" s="560"/>
    </row>
    <row r="74" spans="1:17" s="470" customFormat="1" ht="14.4" thickBot="1">
      <c r="A74" s="552"/>
      <c r="B74" s="542"/>
      <c r="C74" s="559"/>
      <c r="D74" s="559"/>
      <c r="E74" s="559"/>
      <c r="F74" s="559"/>
      <c r="G74" s="559"/>
      <c r="H74" s="561"/>
      <c r="I74" s="561"/>
      <c r="J74" s="561"/>
      <c r="K74" s="561"/>
      <c r="L74" s="561"/>
      <c r="M74" s="562"/>
      <c r="N74" s="1150"/>
      <c r="O74" s="1150"/>
      <c r="P74" s="2678"/>
      <c r="Q74" s="558"/>
    </row>
    <row r="75" spans="1:17" s="470" customFormat="1" ht="14.4" thickTop="1">
      <c r="A75" s="552"/>
      <c r="B75" s="545">
        <f>B14</f>
        <v>111</v>
      </c>
      <c r="C75" s="522"/>
      <c r="D75" s="522"/>
      <c r="E75" s="522"/>
      <c r="F75" s="522"/>
      <c r="G75" s="522"/>
      <c r="H75" s="563"/>
      <c r="I75" s="563"/>
      <c r="J75" s="563"/>
      <c r="K75" s="563"/>
      <c r="L75" s="564"/>
      <c r="M75" s="565"/>
      <c r="N75" s="1150"/>
      <c r="O75" s="1150"/>
      <c r="P75" s="2680"/>
      <c r="Q75" s="558"/>
    </row>
    <row r="76" spans="1:17" s="470" customFormat="1" ht="14.4" thickBot="1">
      <c r="A76" s="567"/>
      <c r="B76" s="568"/>
      <c r="C76" s="569"/>
      <c r="D76" s="569"/>
      <c r="E76" s="569"/>
      <c r="F76" s="569"/>
      <c r="G76" s="569"/>
      <c r="H76" s="570"/>
      <c r="I76" s="570"/>
      <c r="J76" s="570"/>
      <c r="K76" s="570"/>
      <c r="L76" s="570"/>
      <c r="M76" s="571"/>
      <c r="N76" s="1150"/>
      <c r="O76" s="1150"/>
      <c r="P76" s="2678"/>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4.4"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4.4"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9.4" thickTop="1">
      <c r="A87" s="578"/>
      <c r="B87" s="537" t="s">
        <v>2698</v>
      </c>
      <c r="C87" s="2985" t="s">
        <v>3323</v>
      </c>
      <c r="D87" s="2985" t="s">
        <v>3324</v>
      </c>
      <c r="E87" s="2985" t="s">
        <v>3325</v>
      </c>
      <c r="F87" s="2985" t="s">
        <v>3326</v>
      </c>
      <c r="G87" s="2985" t="s">
        <v>3327</v>
      </c>
      <c r="H87" s="553"/>
      <c r="I87" s="553"/>
      <c r="J87" s="553"/>
      <c r="K87" s="553"/>
      <c r="L87" s="579"/>
      <c r="M87" s="580"/>
      <c r="N87" s="1147"/>
      <c r="O87" s="1147"/>
      <c r="P87" s="2677"/>
      <c r="Q87" s="503"/>
    </row>
    <row r="88" spans="1:17" s="116"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4.4"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4.4"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4.4" thickTop="1">
      <c r="A93" s="533"/>
      <c r="B93" s="537">
        <f>B29</f>
        <v>111</v>
      </c>
      <c r="C93" s="553"/>
      <c r="D93" s="553"/>
      <c r="E93" s="553"/>
      <c r="F93" s="553"/>
      <c r="G93" s="553"/>
      <c r="H93" s="553"/>
      <c r="I93" s="553"/>
      <c r="J93" s="553"/>
      <c r="K93" s="553"/>
      <c r="L93" s="579"/>
      <c r="M93" s="580"/>
      <c r="N93" s="1148"/>
      <c r="O93" s="1148"/>
      <c r="P93" s="2677"/>
      <c r="Q93" s="503"/>
    </row>
    <row r="94" spans="1:17" ht="14.4" thickBot="1">
      <c r="A94" s="533"/>
      <c r="B94" s="542"/>
      <c r="C94" s="559"/>
      <c r="D94" s="535"/>
      <c r="E94" s="535"/>
      <c r="F94" s="535"/>
      <c r="G94" s="535"/>
      <c r="H94" s="535"/>
      <c r="I94" s="535"/>
      <c r="J94" s="535"/>
      <c r="K94" s="535"/>
      <c r="L94" s="535"/>
      <c r="M94" s="536"/>
      <c r="N94" s="1149"/>
      <c r="O94" s="1149"/>
      <c r="P94" s="2677"/>
      <c r="Q94" s="503"/>
    </row>
    <row r="95" spans="1:17" ht="14.4" thickTop="1">
      <c r="A95" s="533"/>
      <c r="B95" s="537">
        <f>B30</f>
        <v>111</v>
      </c>
      <c r="C95" s="553"/>
      <c r="D95" s="553"/>
      <c r="E95" s="553"/>
      <c r="F95" s="553"/>
      <c r="G95" s="582"/>
      <c r="H95" s="582"/>
      <c r="I95" s="582"/>
      <c r="J95" s="582"/>
      <c r="K95" s="583"/>
      <c r="L95" s="584"/>
      <c r="M95" s="585"/>
      <c r="N95" s="1148"/>
      <c r="O95" s="1148"/>
      <c r="P95" s="2677"/>
      <c r="Q95" s="503"/>
    </row>
    <row r="96" spans="1:17" ht="14.4" thickBot="1">
      <c r="A96" s="533"/>
      <c r="B96" s="542"/>
      <c r="C96" s="559"/>
      <c r="D96" s="559"/>
      <c r="E96" s="559"/>
      <c r="F96" s="559"/>
      <c r="G96" s="535"/>
      <c r="H96" s="535"/>
      <c r="I96" s="535"/>
      <c r="J96" s="535"/>
      <c r="K96" s="535"/>
      <c r="L96" s="535"/>
      <c r="M96" s="536"/>
      <c r="N96" s="1149"/>
      <c r="O96" s="1149"/>
      <c r="P96" s="2677"/>
      <c r="Q96" s="503"/>
    </row>
    <row r="97" spans="1:17" ht="14.4" thickTop="1">
      <c r="A97" s="533"/>
      <c r="B97" s="537">
        <f>B31</f>
        <v>111</v>
      </c>
      <c r="C97" s="553"/>
      <c r="D97" s="553"/>
      <c r="E97" s="553"/>
      <c r="F97" s="553"/>
      <c r="G97" s="582"/>
      <c r="H97" s="582"/>
      <c r="I97" s="582"/>
      <c r="J97" s="582"/>
      <c r="K97" s="583"/>
      <c r="L97" s="584"/>
      <c r="M97" s="585"/>
      <c r="N97" s="1148"/>
      <c r="O97" s="1148"/>
      <c r="P97" s="2677"/>
      <c r="Q97" s="503"/>
    </row>
    <row r="98" spans="1:17" ht="14.4" thickBot="1">
      <c r="A98" s="533"/>
      <c r="B98" s="542"/>
      <c r="C98" s="559"/>
      <c r="D98" s="535"/>
      <c r="E98" s="535"/>
      <c r="F98" s="535"/>
      <c r="G98" s="535"/>
      <c r="H98" s="535"/>
      <c r="I98" s="535"/>
      <c r="J98" s="535"/>
      <c r="K98" s="535"/>
      <c r="L98" s="535"/>
      <c r="M98" s="536"/>
      <c r="N98" s="1149"/>
      <c r="O98" s="1149"/>
      <c r="P98" s="2677"/>
      <c r="Q98" s="503"/>
    </row>
    <row r="99" spans="1:17" ht="14.4" thickTop="1">
      <c r="A99" s="533"/>
      <c r="B99" s="545">
        <f>B32</f>
        <v>111</v>
      </c>
      <c r="C99" s="522"/>
      <c r="D99" s="522"/>
      <c r="E99" s="522"/>
      <c r="F99" s="522"/>
      <c r="G99" s="586"/>
      <c r="H99" s="586"/>
      <c r="I99" s="586"/>
      <c r="J99" s="586"/>
      <c r="K99" s="587"/>
      <c r="L99" s="588"/>
      <c r="M99" s="589"/>
      <c r="N99" s="1148"/>
      <c r="O99" s="1148"/>
      <c r="P99" s="2677"/>
      <c r="Q99" s="503"/>
    </row>
    <row r="100" spans="1:17" ht="14.4" thickBot="1">
      <c r="A100" s="2629"/>
      <c r="B100" s="568"/>
      <c r="C100" s="569"/>
      <c r="D100" s="569"/>
      <c r="E100" s="569"/>
      <c r="F100" s="569"/>
      <c r="G100" s="590"/>
      <c r="H100" s="590"/>
      <c r="I100" s="590"/>
      <c r="J100" s="590"/>
      <c r="K100" s="590"/>
      <c r="L100" s="590"/>
      <c r="M100" s="591"/>
      <c r="N100" s="1149"/>
      <c r="O100" s="1149"/>
      <c r="P100" s="2677"/>
      <c r="Q100" s="503"/>
    </row>
    <row r="101" spans="1:17" ht="14.4">
      <c r="A101" s="526" t="s">
        <v>2562</v>
      </c>
      <c r="B101" s="527" t="s">
        <v>2611</v>
      </c>
      <c r="C101" s="2992" t="s">
        <v>3330</v>
      </c>
      <c r="D101" s="2992" t="s">
        <v>3331</v>
      </c>
      <c r="E101" s="2992" t="s">
        <v>3332</v>
      </c>
      <c r="F101" s="2992" t="s">
        <v>3333</v>
      </c>
      <c r="G101" s="2992" t="s">
        <v>3334</v>
      </c>
      <c r="H101" s="2992" t="s">
        <v>3335</v>
      </c>
      <c r="I101" s="529"/>
      <c r="J101" s="529"/>
      <c r="K101" s="530"/>
      <c r="L101" s="531"/>
      <c r="M101" s="532"/>
      <c r="N101" s="1148"/>
      <c r="O101" s="1148"/>
      <c r="P101" s="2677"/>
      <c r="Q101" s="503"/>
    </row>
    <row r="102" spans="1:17" ht="14.4"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8.2"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4.4"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2985" t="s">
        <v>3336</v>
      </c>
      <c r="D106" s="2985" t="s">
        <v>3337</v>
      </c>
      <c r="E106" s="2984" t="s">
        <v>3338</v>
      </c>
      <c r="F106" s="582"/>
      <c r="G106" s="582"/>
      <c r="H106" s="582"/>
      <c r="I106" s="582"/>
      <c r="J106" s="582"/>
      <c r="K106" s="583"/>
      <c r="L106" s="584"/>
      <c r="M106" s="585"/>
      <c r="N106" s="1148"/>
      <c r="O106" s="1148"/>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2985" t="s">
        <v>3339</v>
      </c>
      <c r="D108" s="2985" t="s">
        <v>3340</v>
      </c>
      <c r="E108" s="2985" t="s">
        <v>3341</v>
      </c>
      <c r="F108" s="2984" t="s">
        <v>3342</v>
      </c>
      <c r="G108" s="582"/>
      <c r="H108" s="582"/>
      <c r="I108" s="582"/>
      <c r="J108" s="582"/>
      <c r="K108" s="583"/>
      <c r="L108" s="584"/>
      <c r="M108" s="585"/>
      <c r="N108" s="1148"/>
      <c r="O108" s="1148"/>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4.4"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2985" t="s">
        <v>3343</v>
      </c>
      <c r="D113" s="2985" t="s">
        <v>3344</v>
      </c>
      <c r="E113" s="2985" t="s">
        <v>3345</v>
      </c>
      <c r="F113" s="553"/>
      <c r="G113" s="553"/>
      <c r="H113" s="582"/>
      <c r="I113" s="582"/>
      <c r="J113" s="582"/>
      <c r="K113" s="583"/>
      <c r="L113" s="584"/>
      <c r="M113" s="585"/>
      <c r="N113" s="1150"/>
      <c r="O113" s="1150"/>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2985" t="s">
        <v>3346</v>
      </c>
      <c r="D115" s="2985" t="s">
        <v>3347</v>
      </c>
      <c r="E115" s="582"/>
      <c r="F115" s="582"/>
      <c r="G115" s="582"/>
      <c r="H115" s="582"/>
      <c r="I115" s="582"/>
      <c r="J115" s="582"/>
      <c r="K115" s="583"/>
      <c r="L115" s="584"/>
      <c r="M115" s="585"/>
      <c r="N115" s="1148"/>
      <c r="O115" s="1148"/>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2985" t="s">
        <v>3348</v>
      </c>
      <c r="D117" s="2985" t="s">
        <v>3349</v>
      </c>
      <c r="E117" s="2985" t="s">
        <v>3350</v>
      </c>
      <c r="F117" s="2985" t="s">
        <v>3351</v>
      </c>
      <c r="G117" s="2985" t="s">
        <v>3352</v>
      </c>
      <c r="H117" s="582"/>
      <c r="I117" s="582"/>
      <c r="J117" s="582"/>
      <c r="K117" s="583"/>
      <c r="L117" s="584"/>
      <c r="M117" s="585"/>
      <c r="N117" s="1148"/>
      <c r="O117" s="1148"/>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2984" t="s">
        <v>3353</v>
      </c>
      <c r="D119" s="2984" t="s">
        <v>3354</v>
      </c>
      <c r="E119" s="582"/>
      <c r="F119" s="582"/>
      <c r="G119" s="582"/>
      <c r="H119" s="582"/>
      <c r="I119" s="582"/>
      <c r="J119" s="582"/>
      <c r="K119" s="582"/>
      <c r="L119" s="2682"/>
      <c r="M119" s="2683"/>
      <c r="N119" s="1149"/>
      <c r="O119" s="1149"/>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3329</v>
      </c>
      <c r="D121" s="553" t="s">
        <v>3355</v>
      </c>
      <c r="E121" s="553" t="s">
        <v>3356</v>
      </c>
      <c r="F121" s="582" t="s">
        <v>3357</v>
      </c>
      <c r="G121" s="554"/>
      <c r="H121" s="554"/>
      <c r="I121" s="554"/>
      <c r="J121" s="554"/>
      <c r="K121" s="554"/>
      <c r="L121" s="555"/>
      <c r="M121" s="556"/>
      <c r="N121" s="1150"/>
      <c r="O121" s="1150"/>
      <c r="P121" s="2678"/>
      <c r="Q121" s="558"/>
    </row>
    <row r="122" spans="1:17" s="470" customFormat="1" ht="14.4"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2985" t="s">
        <v>3339</v>
      </c>
      <c r="D123" s="2985" t="s">
        <v>3340</v>
      </c>
      <c r="E123" s="2985" t="s">
        <v>3341</v>
      </c>
      <c r="F123" s="2984" t="s">
        <v>3342</v>
      </c>
      <c r="G123" s="582"/>
      <c r="H123" s="582"/>
      <c r="I123" s="582"/>
      <c r="J123" s="582"/>
      <c r="K123" s="583"/>
      <c r="L123" s="584"/>
      <c r="M123" s="585"/>
      <c r="N123" s="1148"/>
      <c r="O123" s="1148"/>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3365</v>
      </c>
      <c r="D127" s="2996" t="s">
        <v>3366</v>
      </c>
      <c r="E127" s="553"/>
      <c r="F127" s="553"/>
      <c r="G127" s="553"/>
      <c r="H127" s="554"/>
      <c r="I127" s="554"/>
      <c r="J127" s="554"/>
      <c r="K127" s="554"/>
      <c r="L127" s="555"/>
      <c r="M127" s="556"/>
      <c r="N127" s="1150"/>
      <c r="O127" s="1150"/>
      <c r="P127" s="2678"/>
      <c r="Q127" s="558"/>
    </row>
    <row r="128" spans="1:17" s="470" customFormat="1" ht="14.4" thickBot="1">
      <c r="A128" s="552"/>
      <c r="B128" s="542"/>
      <c r="C128" s="559">
        <v>100</v>
      </c>
      <c r="D128" s="535">
        <v>75</v>
      </c>
      <c r="E128" s="535"/>
      <c r="F128" s="535"/>
      <c r="G128" s="559"/>
      <c r="H128" s="561"/>
      <c r="I128" s="561"/>
      <c r="J128" s="561"/>
      <c r="K128" s="561"/>
      <c r="L128" s="561"/>
      <c r="M128" s="562"/>
      <c r="N128" s="1150"/>
      <c r="O128" s="1150"/>
      <c r="P128" s="2678"/>
      <c r="Q128" s="558"/>
    </row>
    <row r="129" spans="1:17" ht="14.4" thickTop="1">
      <c r="A129" s="598"/>
      <c r="B129" s="537">
        <f>B46</f>
        <v>111</v>
      </c>
      <c r="C129" s="553"/>
      <c r="D129" s="553"/>
      <c r="E129" s="553"/>
      <c r="F129" s="553"/>
      <c r="G129" s="582"/>
      <c r="H129" s="582"/>
      <c r="I129" s="582"/>
      <c r="J129" s="582"/>
      <c r="K129" s="583"/>
      <c r="L129" s="584"/>
      <c r="M129" s="585"/>
      <c r="N129" s="1148"/>
      <c r="O129" s="1148"/>
      <c r="P129" s="2677"/>
      <c r="Q129" s="503"/>
    </row>
    <row r="130" spans="1:17" ht="14.4" thickBot="1">
      <c r="A130" s="533"/>
      <c r="B130" s="542"/>
      <c r="C130" s="559"/>
      <c r="D130" s="559"/>
      <c r="E130" s="559"/>
      <c r="F130" s="559"/>
      <c r="G130" s="535"/>
      <c r="H130" s="535"/>
      <c r="I130" s="535"/>
      <c r="J130" s="535"/>
      <c r="K130" s="535"/>
      <c r="L130" s="535"/>
      <c r="M130" s="536"/>
      <c r="N130" s="1149"/>
      <c r="O130" s="1149"/>
      <c r="P130" s="2677"/>
      <c r="Q130" s="503"/>
    </row>
    <row r="131" spans="1:17" ht="14.4" thickTop="1">
      <c r="A131" s="598"/>
      <c r="B131" s="545">
        <f>B47</f>
        <v>111</v>
      </c>
      <c r="C131" s="522"/>
      <c r="D131" s="522"/>
      <c r="E131" s="522"/>
      <c r="F131" s="522"/>
      <c r="G131" s="586"/>
      <c r="H131" s="586"/>
      <c r="I131" s="586"/>
      <c r="J131" s="586"/>
      <c r="K131" s="522"/>
      <c r="L131" s="523"/>
      <c r="M131" s="589"/>
      <c r="N131" s="1148"/>
      <c r="O131" s="1148"/>
      <c r="P131" s="2677"/>
      <c r="Q131" s="503"/>
    </row>
    <row r="132" spans="1:17" ht="14.4"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9" zoomScaleNormal="100" zoomScaleSheetLayoutView="100" zoomScalePageLayoutView="80" workbookViewId="0">
      <selection activeCell="D118" sqref="D118:I118"/>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1377</v>
      </c>
      <c r="D1" s="2409"/>
      <c r="E1" s="2409"/>
      <c r="F1" s="2411" t="s">
        <v>2117</v>
      </c>
      <c r="G1" s="2063" t="s">
        <v>3388</v>
      </c>
      <c r="H1" s="2412" t="str">
        <f>IF(G1="现房","——","估价对象范围")</f>
        <v>——</v>
      </c>
      <c r="I1" s="2413"/>
    </row>
    <row r="2" spans="1:12" ht="21.75" customHeight="1" thickBot="1">
      <c r="A2" s="3159" t="str">
        <f>项目基本情况!S2</f>
        <v>北京市大兴区黄村镇房地产</v>
      </c>
      <c r="B2" s="3160"/>
      <c r="C2" s="3160"/>
      <c r="D2" s="3160"/>
      <c r="E2" s="3160"/>
      <c r="F2" s="3160"/>
      <c r="G2" s="3160"/>
      <c r="H2" s="3160"/>
      <c r="I2" s="3161"/>
    </row>
    <row r="3" spans="1:12" ht="13.2">
      <c r="A3" s="3163" t="s">
        <v>2118</v>
      </c>
      <c r="B3" s="3164"/>
      <c r="C3" s="3164"/>
      <c r="D3" s="3164"/>
      <c r="E3" s="3164"/>
      <c r="F3" s="3164"/>
      <c r="G3" s="3164"/>
      <c r="H3" s="3164"/>
      <c r="I3" s="3164"/>
    </row>
    <row r="4" spans="1:12" ht="14.4">
      <c r="A4" s="2416" t="s">
        <v>2119</v>
      </c>
      <c r="B4" s="2417" t="s">
        <v>2120</v>
      </c>
      <c r="C4" s="2418" t="s">
        <v>3379</v>
      </c>
      <c r="D4" s="2418" t="s">
        <v>3373</v>
      </c>
      <c r="E4" s="3156" t="s">
        <v>2121</v>
      </c>
      <c r="F4" s="3157"/>
      <c r="G4" s="3157"/>
      <c r="H4" s="3157"/>
      <c r="I4" s="3165"/>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39" t="s">
        <v>2122</v>
      </c>
      <c r="B5" s="3077">
        <v>25</v>
      </c>
      <c r="C5" s="3142"/>
      <c r="D5" s="3162"/>
      <c r="E5" s="139" t="s">
        <v>2123</v>
      </c>
      <c r="F5" s="2420"/>
      <c r="G5" s="2420"/>
      <c r="H5" s="2420"/>
      <c r="I5" s="1827"/>
    </row>
    <row r="6" spans="1:12" ht="13.2">
      <c r="A6" s="3139"/>
      <c r="B6" s="3077"/>
      <c r="C6" s="3143"/>
      <c r="D6" s="3162"/>
      <c r="E6" s="139" t="s">
        <v>2124</v>
      </c>
      <c r="F6" s="2420"/>
      <c r="G6" s="2420"/>
      <c r="H6" s="2420"/>
      <c r="I6" s="1827"/>
    </row>
    <row r="7" spans="1:12" ht="13.2">
      <c r="A7" s="3139"/>
      <c r="B7" s="3077"/>
      <c r="C7" s="3144"/>
      <c r="D7" s="3162"/>
      <c r="E7" s="139" t="s">
        <v>2125</v>
      </c>
      <c r="F7" s="2420"/>
      <c r="G7" s="2420"/>
      <c r="H7" s="2420"/>
      <c r="I7" s="1827"/>
    </row>
    <row r="8" spans="1:12" ht="13.2">
      <c r="A8" s="3139" t="s">
        <v>2126</v>
      </c>
      <c r="B8" s="3077">
        <v>15</v>
      </c>
      <c r="C8" s="3142"/>
      <c r="D8" s="3162"/>
      <c r="E8" s="139" t="s">
        <v>2127</v>
      </c>
      <c r="F8" s="2420"/>
      <c r="G8" s="2420"/>
      <c r="H8" s="2420"/>
      <c r="I8" s="1827"/>
    </row>
    <row r="9" spans="1:12" ht="13.2">
      <c r="A9" s="3139"/>
      <c r="B9" s="3077"/>
      <c r="C9" s="3144"/>
      <c r="D9" s="3162"/>
      <c r="E9" s="139" t="s">
        <v>2128</v>
      </c>
      <c r="F9" s="2420"/>
      <c r="G9" s="2420"/>
      <c r="H9" s="2420"/>
      <c r="I9" s="1827"/>
    </row>
    <row r="10" spans="1:12" ht="13.2">
      <c r="A10" s="3139" t="s">
        <v>2129</v>
      </c>
      <c r="B10" s="3077">
        <v>15</v>
      </c>
      <c r="C10" s="3142"/>
      <c r="D10" s="3162"/>
      <c r="E10" s="139" t="s">
        <v>2130</v>
      </c>
      <c r="F10" s="2420"/>
      <c r="G10" s="2420"/>
      <c r="H10" s="2420"/>
      <c r="I10" s="1827"/>
    </row>
    <row r="11" spans="1:12" ht="13.2">
      <c r="A11" s="3139"/>
      <c r="B11" s="3077"/>
      <c r="C11" s="3144"/>
      <c r="D11" s="3162"/>
      <c r="E11" s="139" t="s">
        <v>2131</v>
      </c>
      <c r="F11" s="2420"/>
      <c r="G11" s="2420"/>
      <c r="H11" s="2420"/>
      <c r="I11" s="1827"/>
    </row>
    <row r="12" spans="1:12" ht="13.2">
      <c r="A12" s="3139" t="s">
        <v>2132</v>
      </c>
      <c r="B12" s="3077">
        <v>15</v>
      </c>
      <c r="C12" s="3142"/>
      <c r="D12" s="3162"/>
      <c r="E12" s="139" t="s">
        <v>2133</v>
      </c>
      <c r="F12" s="2420"/>
      <c r="G12" s="2420"/>
      <c r="H12" s="2420"/>
      <c r="I12" s="1827"/>
    </row>
    <row r="13" spans="1:12" ht="13.2">
      <c r="A13" s="3139"/>
      <c r="B13" s="3077"/>
      <c r="C13" s="3144"/>
      <c r="D13" s="3162"/>
      <c r="E13" s="139" t="s">
        <v>2134</v>
      </c>
      <c r="F13" s="2420"/>
      <c r="G13" s="2420"/>
      <c r="H13" s="2420"/>
      <c r="I13" s="1827"/>
    </row>
    <row r="14" spans="1:12" ht="13.2">
      <c r="A14" s="3139" t="s">
        <v>2135</v>
      </c>
      <c r="B14" s="3077">
        <v>30</v>
      </c>
      <c r="C14" s="3142">
        <v>5</v>
      </c>
      <c r="D14" s="3162">
        <v>5</v>
      </c>
      <c r="E14" s="139" t="s">
        <v>2136</v>
      </c>
      <c r="F14" s="2420"/>
      <c r="G14" s="2420"/>
      <c r="H14" s="2420"/>
      <c r="I14" s="1827"/>
    </row>
    <row r="15" spans="1:12" ht="13.2">
      <c r="A15" s="3139"/>
      <c r="B15" s="3077"/>
      <c r="C15" s="3143"/>
      <c r="D15" s="3162"/>
      <c r="E15" s="139" t="s">
        <v>2137</v>
      </c>
      <c r="F15" s="2420"/>
      <c r="G15" s="2420"/>
      <c r="H15" s="2420"/>
      <c r="I15" s="1827"/>
    </row>
    <row r="16" spans="1:12" ht="13.2">
      <c r="A16" s="3139"/>
      <c r="B16" s="3077"/>
      <c r="C16" s="3144"/>
      <c r="D16" s="3162"/>
      <c r="E16" s="139" t="s">
        <v>2138</v>
      </c>
      <c r="F16" s="2420"/>
      <c r="G16" s="2420"/>
      <c r="H16" s="2420"/>
      <c r="I16" s="1827"/>
    </row>
    <row r="17" spans="1:35" ht="14.4">
      <c r="A17" s="2421" t="s">
        <v>2139</v>
      </c>
      <c r="B17" s="63"/>
      <c r="C17" s="140">
        <f>SUM(C5:C16)</f>
        <v>5</v>
      </c>
      <c r="D17" s="140">
        <f>SUM(D5:D16)</f>
        <v>5</v>
      </c>
      <c r="E17" s="137"/>
      <c r="F17" s="137"/>
      <c r="G17" s="137"/>
      <c r="H17" s="137"/>
      <c r="I17" s="137"/>
      <c r="K17" s="2419"/>
      <c r="L17" s="2422" t="s">
        <v>2140</v>
      </c>
      <c r="M17" s="2422" t="s">
        <v>2141</v>
      </c>
    </row>
    <row r="18" spans="1:35" ht="1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912.91000000000008</v>
      </c>
      <c r="M18" s="2419">
        <f>IF(C1="",'数据-汇总表'!E3,SUMIF(项目类型,C1,'数据-汇总表'!E17:E26))</f>
        <v>912.91000000000008</v>
      </c>
    </row>
    <row r="19" spans="1:35" ht="14.4">
      <c r="A19" s="2425" t="s">
        <v>2144</v>
      </c>
      <c r="B19" s="2426" t="s">
        <v>2145</v>
      </c>
      <c r="C19" s="142">
        <f ca="1">SUMIF(INDIRECT("'"&amp;C4&amp;"'"&amp;"!A:A"),'结果表（商业）'!B19,INDIRECT("'"&amp;C4&amp;"'"&amp;"!B:B"))</f>
        <v>2184</v>
      </c>
      <c r="D19" s="143">
        <f ca="1">SUMIF(INDIRECT("'"&amp;D4&amp;"'"&amp;"!A:A"),'结果表（商业）'!B19,INDIRECT("'"&amp;D4&amp;"'"&amp;"!B:B"))</f>
        <v>2210</v>
      </c>
      <c r="E19" s="2425" t="s">
        <v>2146</v>
      </c>
      <c r="F19" s="2426" t="s">
        <v>2145</v>
      </c>
      <c r="G19" s="144">
        <f ca="1">ROUND(C19*$C$18+D19*$D$18,0)</f>
        <v>2197</v>
      </c>
      <c r="H19" s="2427" t="s">
        <v>2147</v>
      </c>
      <c r="I19" s="137"/>
      <c r="K19" s="2419" t="s">
        <v>2148</v>
      </c>
      <c r="L19" s="2419">
        <f>IF(C1="",'数据-汇总表'!D3,SUMIF(项目类型,C1,'数据-汇总表'!D17:D26)+SUMIF(项目类型,C1,'数据-汇总表'!H17:H27))</f>
        <v>154.76</v>
      </c>
      <c r="M19" s="2419">
        <f>IF(C1="",'数据-汇总表'!D3,SUMIF(项目类型,C1,'数据-汇总表'!D17:D26))</f>
        <v>154.76</v>
      </c>
    </row>
    <row r="20" spans="1:35" ht="14.4">
      <c r="A20" s="2428"/>
      <c r="B20" s="1243" t="s">
        <v>2149</v>
      </c>
      <c r="C20" s="145">
        <f ca="1">SUMIF(INDIRECT("'"&amp;C4&amp;"'"&amp;"!A:A"),'结果表（商业）'!B20,INDIRECT("'"&amp;C4&amp;"'"&amp;"!B:B"))</f>
        <v>23923</v>
      </c>
      <c r="D20" s="146">
        <f ca="1">SUMIF(INDIRECT("'"&amp;D4&amp;"'"&amp;"!A:A"),'结果表（商业）'!B20,INDIRECT("'"&amp;D4&amp;"'"&amp;"!B:B"))</f>
        <v>24208</v>
      </c>
      <c r="E20" s="2428"/>
      <c r="F20" s="1243" t="s">
        <v>2149</v>
      </c>
      <c r="G20" s="147">
        <f ca="1">ROUND(C20*$C$18+D20*$D$18,0)</f>
        <v>24066</v>
      </c>
      <c r="H20" s="976" t="s">
        <v>2150</v>
      </c>
      <c r="I20" s="137"/>
    </row>
    <row r="21" spans="1:35" ht="15" customHeight="1" thickBot="1">
      <c r="A21" s="996"/>
      <c r="B21" s="2429" t="s">
        <v>2151</v>
      </c>
      <c r="C21" s="788">
        <f ca="1">ROUND(C19*10000/L19,0)</f>
        <v>141122</v>
      </c>
      <c r="D21" s="789">
        <f ca="1">ROUND(D19*10000/L19,0)</f>
        <v>142802</v>
      </c>
      <c r="E21" s="996"/>
      <c r="F21" s="2429" t="s">
        <v>2151</v>
      </c>
      <c r="G21" s="148">
        <f ca="1">ROUND(G19*10000/L19,0)</f>
        <v>141962</v>
      </c>
      <c r="H21" s="2430" t="s">
        <v>2150</v>
      </c>
      <c r="I21" s="137"/>
    </row>
    <row r="22" spans="1:35" ht="15" thickBot="1">
      <c r="A22" s="2273" t="s">
        <v>2152</v>
      </c>
      <c r="B22" s="2431"/>
      <c r="C22" s="2432"/>
      <c r="D22" s="790">
        <f ca="1">IF(C19&lt;D19,D19/C19-1,C19/D19-1)</f>
        <v>1.1904761904761862E-2</v>
      </c>
      <c r="E22" s="137"/>
      <c r="F22" s="137"/>
      <c r="G22" s="137"/>
      <c r="H22" s="137"/>
      <c r="I22" s="137"/>
    </row>
    <row r="23" spans="1:35" ht="13.8" thickBot="1">
      <c r="A23" s="2409"/>
      <c r="B23" s="2409"/>
      <c r="C23" s="2409"/>
      <c r="D23" s="2409"/>
      <c r="E23" s="137"/>
      <c r="F23" s="137"/>
      <c r="G23" s="137"/>
      <c r="H23" s="137"/>
      <c r="I23" s="137"/>
    </row>
    <row r="24" spans="1:35" ht="14.4">
      <c r="A24" s="3133" t="s">
        <v>2153</v>
      </c>
      <c r="B24" s="2426" t="s">
        <v>2145</v>
      </c>
      <c r="C24" s="144">
        <f>IF(B30=0,0,D30)</f>
        <v>0</v>
      </c>
      <c r="D24" s="2433"/>
      <c r="E24" s="137"/>
      <c r="F24" s="137"/>
      <c r="G24" s="137"/>
      <c r="H24" s="137"/>
      <c r="I24" s="137"/>
    </row>
    <row r="25" spans="1:35" ht="14.4">
      <c r="A25" s="313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2197</v>
      </c>
      <c r="D32" s="2440" t="s">
        <v>2160</v>
      </c>
      <c r="E32" s="137"/>
      <c r="F32" s="137"/>
      <c r="G32" s="137"/>
      <c r="H32" s="137"/>
      <c r="I32" s="137"/>
    </row>
    <row r="33" spans="1:15" ht="14.4">
      <c r="A33" s="953" t="s">
        <v>2161</v>
      </c>
      <c r="B33" s="2441"/>
      <c r="C33" s="2442" t="s">
        <v>3389</v>
      </c>
      <c r="D33" s="2443" t="s">
        <v>3379</v>
      </c>
      <c r="E33" s="2444" t="s">
        <v>2162</v>
      </c>
      <c r="F33" s="2953" t="str">
        <f>IF(D32="楼面单价","取值（单价）","取值（总价）")</f>
        <v>取值（总价）</v>
      </c>
      <c r="G33" s="137"/>
      <c r="H33" s="137"/>
      <c r="I33" s="137"/>
    </row>
    <row r="34" spans="1:15" ht="14.4">
      <c r="A34" s="2446"/>
      <c r="B34" s="2447" t="s">
        <v>2163</v>
      </c>
      <c r="C34" s="156">
        <f ca="1">IF(C33="自定义",F34,C32-C35)</f>
        <v>1707</v>
      </c>
      <c r="D34" s="1051">
        <f ca="1">IF(C33="自定义",ROUND(C34/C32,3),IF(C33="收益比率",SUMIF(INDIRECT("'"&amp;D33&amp;"'"&amp;"!b:b"),"土地收益比率",INDIRECT("'"&amp;D33&amp;"'"&amp;"!c:c")),SUMIF(INDIRECT("'"&amp;D33&amp;"'"&amp;"!b:b"),"土地成本比率",INDIRECT("'"&amp;D33&amp;"'"&amp;"!c:c"))))</f>
        <v>0.77700000000000002</v>
      </c>
      <c r="E34" s="2448" t="s">
        <v>2164</v>
      </c>
      <c r="F34" s="1732"/>
      <c r="G34" s="137"/>
      <c r="H34" s="137"/>
      <c r="I34" s="137"/>
    </row>
    <row r="35" spans="1:15" ht="15" thickBot="1">
      <c r="A35" s="2449"/>
      <c r="B35" s="2450" t="s">
        <v>2165</v>
      </c>
      <c r="C35" s="1437">
        <f ca="1">IF(C33="自定义",F35,ROUND(C32*D35,0))</f>
        <v>490</v>
      </c>
      <c r="D35" s="1438">
        <f ca="1">IF(C33="自定义",ROUND(C35/C32,3),IF(C33="收益比率",SUMIF(INDIRECT("'"&amp;D33&amp;"'"&amp;"!b:b"),"建筑物收益比率",INDIRECT("'"&amp;D33&amp;"'"&amp;"!c:c")),SUMIF(INDIRECT("'"&amp;D33&amp;"'"&amp;"!b:b"),"建筑物成本比率",INDIRECT("'"&amp;D33&amp;"'"&amp;"!c:c"))))</f>
        <v>0.223</v>
      </c>
      <c r="E35" s="2451" t="s">
        <v>2166</v>
      </c>
      <c r="F35" s="162"/>
      <c r="G35" s="137"/>
      <c r="H35" s="137"/>
      <c r="I35" s="137"/>
    </row>
    <row r="36" spans="1:15" ht="15" thickBot="1">
      <c r="A36" s="3151" t="s">
        <v>2167</v>
      </c>
      <c r="B36" s="2452" t="s">
        <v>2168</v>
      </c>
      <c r="C36" s="153"/>
      <c r="D36" s="2453"/>
      <c r="E36" s="2454"/>
      <c r="F36" s="2455"/>
      <c r="G36" s="137"/>
      <c r="H36" s="137"/>
      <c r="I36" s="137"/>
    </row>
    <row r="37" spans="1:15" ht="15" thickBot="1">
      <c r="A37" s="3152"/>
      <c r="B37" s="2259" t="s">
        <v>2169</v>
      </c>
      <c r="C37" s="155"/>
      <c r="D37" s="1388"/>
      <c r="E37" s="1388"/>
      <c r="F37" s="2455"/>
      <c r="G37" s="137"/>
      <c r="H37" s="137"/>
      <c r="I37" s="137"/>
    </row>
    <row r="38" spans="1:15" ht="15" thickBot="1">
      <c r="A38" s="3153"/>
      <c r="B38" s="2456" t="s">
        <v>2170</v>
      </c>
      <c r="C38" s="726"/>
      <c r="D38" s="2457" t="s">
        <v>2171</v>
      </c>
      <c r="E38" s="1388"/>
      <c r="F38" s="2455"/>
      <c r="G38" s="137"/>
      <c r="H38" s="137"/>
      <c r="I38" s="137"/>
    </row>
    <row r="39" spans="1:15" ht="14.4">
      <c r="A39" s="2428" t="s">
        <v>2172</v>
      </c>
      <c r="B39" s="2458" t="s">
        <v>2155</v>
      </c>
      <c r="C39" s="2459" t="s">
        <v>2156</v>
      </c>
      <c r="D39" s="2459" t="s">
        <v>2175</v>
      </c>
      <c r="E39" s="2460" t="s">
        <v>2157</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30" t="s">
        <v>2181</v>
      </c>
      <c r="B45" s="3131"/>
      <c r="C45" s="3132"/>
      <c r="D45" s="163">
        <f ca="1">ROUND(H101*F45,0)</f>
        <v>2197</v>
      </c>
      <c r="E45" s="164" t="s">
        <v>2182</v>
      </c>
      <c r="F45" s="165">
        <v>1</v>
      </c>
      <c r="G45" s="166" t="s">
        <v>2183</v>
      </c>
      <c r="H45" s="137"/>
      <c r="I45" s="137"/>
      <c r="J45" s="3190" t="s">
        <v>2184</v>
      </c>
      <c r="K45" s="3190"/>
      <c r="L45" s="3190"/>
      <c r="M45" s="3190"/>
      <c r="N45" s="3190"/>
      <c r="O45" s="3190"/>
    </row>
    <row r="46" spans="1:15" ht="14.25" customHeight="1">
      <c r="A46" s="3127" t="s">
        <v>2185</v>
      </c>
      <c r="B46" s="3128"/>
      <c r="C46" s="3128"/>
      <c r="D46" s="3128"/>
      <c r="E46" s="3128"/>
      <c r="F46" s="3128"/>
      <c r="G46" s="3129"/>
      <c r="H46" s="2471"/>
      <c r="I46" s="167"/>
      <c r="J46" s="2965">
        <v>1</v>
      </c>
      <c r="K46" s="3190" t="s">
        <v>2186</v>
      </c>
      <c r="L46" s="3190"/>
      <c r="M46" s="3210"/>
      <c r="N46" s="3210"/>
      <c r="O46" s="3210"/>
    </row>
    <row r="47" spans="1:15" ht="12" customHeight="1">
      <c r="A47" s="168" t="s">
        <v>2187</v>
      </c>
      <c r="B47" s="169"/>
      <c r="C47" s="170"/>
      <c r="D47" s="171" t="s">
        <v>2188</v>
      </c>
      <c r="E47" s="23" t="s">
        <v>2189</v>
      </c>
      <c r="F47" s="172" t="s">
        <v>2190</v>
      </c>
      <c r="G47" s="173" t="s">
        <v>2191</v>
      </c>
      <c r="H47" s="2471"/>
      <c r="I47" s="167"/>
      <c r="J47" s="2965">
        <v>2</v>
      </c>
      <c r="K47" s="3190" t="s">
        <v>2192</v>
      </c>
      <c r="L47" s="3190"/>
      <c r="M47" s="3211">
        <f>'数据-取费表'!B2</f>
        <v>43227</v>
      </c>
      <c r="N47" s="3211"/>
      <c r="O47" s="3211"/>
    </row>
    <row r="48" spans="1:15" ht="26.4">
      <c r="A48" s="3158" t="s">
        <v>2193</v>
      </c>
      <c r="B48" s="3141"/>
      <c r="C48" s="3141"/>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90" t="s">
        <v>2196</v>
      </c>
      <c r="L48" s="3190"/>
      <c r="M48" s="3212">
        <f ca="1">H101</f>
        <v>2197</v>
      </c>
      <c r="N48" s="3212"/>
      <c r="O48" s="3212"/>
    </row>
    <row r="49" spans="1:35" ht="25.5" customHeight="1">
      <c r="A49" s="175" t="s">
        <v>2197</v>
      </c>
      <c r="B49" s="3126" t="s">
        <v>2198</v>
      </c>
      <c r="C49" s="3126"/>
      <c r="D49" s="176">
        <v>0</v>
      </c>
      <c r="E49" s="22" t="s">
        <v>2199</v>
      </c>
      <c r="F49" s="27" t="s">
        <v>34</v>
      </c>
      <c r="G49" s="3196"/>
      <c r="H49" s="137"/>
      <c r="I49" s="2474"/>
      <c r="J49" s="2965">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2197</v>
      </c>
      <c r="N49" s="3212"/>
      <c r="O49" s="3212"/>
    </row>
    <row r="50" spans="1:35" ht="25.5" customHeight="1">
      <c r="A50" s="177"/>
      <c r="B50" s="3126" t="s">
        <v>2200</v>
      </c>
      <c r="C50" s="3126"/>
      <c r="D50" s="178"/>
      <c r="E50" s="30"/>
      <c r="F50" s="179"/>
      <c r="G50" s="3197"/>
      <c r="H50" s="137"/>
      <c r="I50" s="2474"/>
      <c r="J50" s="3190" t="s">
        <v>2201</v>
      </c>
      <c r="K50" s="3190"/>
      <c r="L50" s="3190"/>
      <c r="M50" s="3190"/>
      <c r="N50" s="3190"/>
      <c r="O50" s="3190"/>
    </row>
    <row r="51" spans="1:35" ht="12" customHeight="1">
      <c r="A51" s="180"/>
      <c r="B51" s="3126" t="s">
        <v>2202</v>
      </c>
      <c r="C51" s="3126"/>
      <c r="D51" s="181"/>
      <c r="E51" s="29"/>
      <c r="F51" s="179"/>
      <c r="G51" s="3198"/>
      <c r="H51" s="137"/>
      <c r="I51" s="2474"/>
      <c r="J51" s="2964" t="s">
        <v>2203</v>
      </c>
      <c r="K51" s="3190" t="s">
        <v>2204</v>
      </c>
      <c r="L51" s="3190"/>
      <c r="M51" s="2964" t="s">
        <v>2205</v>
      </c>
      <c r="N51" s="2964" t="s">
        <v>2206</v>
      </c>
      <c r="O51" s="2964" t="s">
        <v>2207</v>
      </c>
    </row>
    <row r="52" spans="1:35" ht="24" customHeight="1">
      <c r="A52" s="182" t="s">
        <v>2208</v>
      </c>
      <c r="B52" s="3126" t="s">
        <v>2209</v>
      </c>
      <c r="C52" s="3126"/>
      <c r="D52" s="181">
        <f ca="1">ROUND(D45*'数据-取费表'!B41/(1+'数据-取费表'!C42),0)</f>
        <v>115</v>
      </c>
      <c r="E52" s="11" t="s">
        <v>2210</v>
      </c>
      <c r="F52" s="183">
        <f>'数据-取费表'!B41</f>
        <v>5.5000000000000007E-2</v>
      </c>
      <c r="G52" s="2476"/>
      <c r="H52" s="137"/>
      <c r="I52" s="2474"/>
      <c r="J52" s="2965">
        <v>1</v>
      </c>
      <c r="K52" s="3191" t="s">
        <v>2211</v>
      </c>
      <c r="L52" s="3191"/>
      <c r="M52" s="1747">
        <f>D48</f>
        <v>0</v>
      </c>
      <c r="N52" s="2965" t="str">
        <f>E48</f>
        <v>销售额×税（费）率</v>
      </c>
      <c r="O52" s="1748" t="str">
        <f>F48</f>
        <v>免征</v>
      </c>
    </row>
    <row r="53" spans="1:35" ht="12" customHeight="1">
      <c r="A53" s="182" t="s">
        <v>2212</v>
      </c>
      <c r="B53" s="3149" t="s">
        <v>2213</v>
      </c>
      <c r="C53" s="3150"/>
      <c r="D53" s="181">
        <f ca="1">ROUND(D45*'数据-取费表'!B41/(1+'数据-取费表'!C42),0)</f>
        <v>115</v>
      </c>
      <c r="E53" s="11" t="s">
        <v>2210</v>
      </c>
      <c r="F53" s="183">
        <f>'数据-取费表'!B41</f>
        <v>5.5000000000000007E-2</v>
      </c>
      <c r="G53" s="2476"/>
      <c r="H53" s="137"/>
      <c r="I53" s="2474"/>
      <c r="J53" s="2965">
        <v>2</v>
      </c>
      <c r="K53" s="3191" t="s">
        <v>2214</v>
      </c>
      <c r="L53" s="3191"/>
      <c r="M53" s="1747">
        <f t="shared" ref="M53:O54" ca="1" si="0">D55</f>
        <v>1</v>
      </c>
      <c r="N53" s="2965" t="str">
        <f t="shared" si="0"/>
        <v>销售额×税（费）率</v>
      </c>
      <c r="O53" s="1748">
        <f t="shared" si="0"/>
        <v>5.0000000000000001E-4</v>
      </c>
    </row>
    <row r="54" spans="1:35" ht="12" customHeight="1">
      <c r="A54" s="182" t="s">
        <v>2215</v>
      </c>
      <c r="B54" s="3149" t="s">
        <v>2216</v>
      </c>
      <c r="C54" s="3150"/>
      <c r="D54" s="181">
        <f ca="1">C68</f>
        <v>115</v>
      </c>
      <c r="E54" s="29" t="s">
        <v>2217</v>
      </c>
      <c r="F54" s="183">
        <f>'数据-取费表'!B41</f>
        <v>5.5000000000000007E-2</v>
      </c>
      <c r="G54" s="2476"/>
      <c r="H54" s="2477"/>
      <c r="I54" s="2474"/>
      <c r="J54" s="2965">
        <v>3</v>
      </c>
      <c r="K54" s="3191" t="s">
        <v>2218</v>
      </c>
      <c r="L54" s="3191"/>
      <c r="M54" s="1747">
        <f t="shared" ca="1" si="0"/>
        <v>1246</v>
      </c>
      <c r="N54" s="2965" t="str">
        <f t="shared" si="0"/>
        <v>增值额×税（费）率</v>
      </c>
      <c r="O54" s="1749" t="str">
        <f t="shared" si="0"/>
        <v>——</v>
      </c>
    </row>
    <row r="55" spans="1:35" ht="24" customHeight="1">
      <c r="A55" s="3140" t="s">
        <v>2219</v>
      </c>
      <c r="B55" s="3141"/>
      <c r="C55" s="3141"/>
      <c r="D55" s="184">
        <f ca="1">IF(H55="个人住宅",0,ROUND(D45*I55,0))</f>
        <v>1</v>
      </c>
      <c r="E55" s="11" t="s">
        <v>2220</v>
      </c>
      <c r="F55" s="183">
        <f>IF(H55="正常",I55,"免征")</f>
        <v>5.0000000000000001E-4</v>
      </c>
      <c r="G55" s="2476"/>
      <c r="H55" s="2473" t="s">
        <v>2221</v>
      </c>
      <c r="I55" s="185">
        <f>'数据-取费表'!B49</f>
        <v>5.0000000000000001E-4</v>
      </c>
      <c r="J55" s="2965" t="str">
        <f>IF(H59="非个人房产","",4)</f>
        <v/>
      </c>
      <c r="K55" s="3191" t="str">
        <f>IF(H59="非个人房产","——","个人所得税")</f>
        <v>——</v>
      </c>
      <c r="L55" s="3191"/>
      <c r="M55" s="1750" t="str">
        <f>D59</f>
        <v>——</v>
      </c>
      <c r="N55" s="2966" t="str">
        <f>E59</f>
        <v>——</v>
      </c>
      <c r="O55" s="1751" t="str">
        <f>F59</f>
        <v>——</v>
      </c>
    </row>
    <row r="56" spans="1:35" ht="25.2">
      <c r="A56" s="3140" t="s">
        <v>2222</v>
      </c>
      <c r="B56" s="3141"/>
      <c r="C56" s="3141"/>
      <c r="D56" s="184">
        <f ca="1">IF(H56="个人住宅",D57,D58)</f>
        <v>1246</v>
      </c>
      <c r="E56" s="11" t="s">
        <v>2223</v>
      </c>
      <c r="F56" s="183" t="str">
        <f>IF(H56="正常",F58,"免征")</f>
        <v>——</v>
      </c>
      <c r="G56" s="2478" t="s">
        <v>2224</v>
      </c>
      <c r="H56" s="2479" t="s">
        <v>2221</v>
      </c>
      <c r="I56" s="2480"/>
      <c r="J56" s="2965" t="str">
        <f>IF(项目基本情况!K6="上海银行",IF(J55="",4,J55+1),"")</f>
        <v/>
      </c>
      <c r="K56" s="3214" t="str">
        <f>IF(项目基本情况!K6="上海银行","其他处置费用","")</f>
        <v/>
      </c>
      <c r="L56" s="3215"/>
      <c r="M56" s="1747" t="str">
        <f>IF(项目基本情况!K6="上海银行",M69,"")</f>
        <v/>
      </c>
      <c r="N56" s="3217" t="str">
        <f>IF(项目基本情况!K6="上海银行","包含处置中涉及的律师、诉讼、拍卖、评估等费用","")</f>
        <v/>
      </c>
      <c r="O56" s="3218"/>
    </row>
    <row r="57" spans="1:35" ht="13.2">
      <c r="A57" s="182" t="s">
        <v>2197</v>
      </c>
      <c r="B57" s="3156" t="s">
        <v>2225</v>
      </c>
      <c r="C57" s="3165"/>
      <c r="D57" s="186">
        <v>0</v>
      </c>
      <c r="E57" s="22" t="s">
        <v>2199</v>
      </c>
      <c r="F57" s="154"/>
      <c r="G57" s="2476"/>
      <c r="H57" s="2480"/>
      <c r="I57" s="2480"/>
      <c r="J57" s="3191">
        <f>IF(AND(J55="",J56=""),4,IF(项目基本情况!K6="上海银行",'结果表（商业）'!J56+1,'结果表（商业）'!J55+1))</f>
        <v>4</v>
      </c>
      <c r="K57" s="3191" t="s">
        <v>2226</v>
      </c>
      <c r="L57" s="2481" t="s">
        <v>2227</v>
      </c>
      <c r="M57" s="1752"/>
      <c r="N57" s="1753">
        <f ca="1">SUMIF(M52:M56,"&lt;9e307")</f>
        <v>1247</v>
      </c>
      <c r="O57" s="2482"/>
      <c r="P57" s="1746">
        <f ca="1">N57/M49</f>
        <v>0.56759217114246696</v>
      </c>
    </row>
    <row r="58" spans="1:35" ht="25.2">
      <c r="A58" s="182" t="s">
        <v>2208</v>
      </c>
      <c r="B58" s="3156" t="s">
        <v>2228</v>
      </c>
      <c r="C58" s="3157"/>
      <c r="D58" s="184">
        <f ca="1">IF(H58="转让取得",C81,C97)</f>
        <v>1246</v>
      </c>
      <c r="E58" s="11" t="s">
        <v>2223</v>
      </c>
      <c r="F58" s="23" t="s">
        <v>34</v>
      </c>
      <c r="G58" s="2476"/>
      <c r="H58" s="2479" t="s">
        <v>2229</v>
      </c>
      <c r="I58" s="2480"/>
      <c r="J58" s="3191"/>
      <c r="K58" s="3191"/>
      <c r="L58" s="2481" t="s">
        <v>2230</v>
      </c>
      <c r="M58" s="1754"/>
      <c r="N58" s="2483" t="str">
        <f ca="1">NUMBERSTRING(INT(N57*10000),2)&amp;"元整"</f>
        <v>壹仟贰佰肆拾柒万元整</v>
      </c>
      <c r="O58" s="2484"/>
    </row>
    <row r="59" spans="1:35" ht="24.6" thickBot="1">
      <c r="A59" s="3194" t="s">
        <v>2231</v>
      </c>
      <c r="B59" s="3195"/>
      <c r="C59" s="319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2">
        <f>J57+1</f>
        <v>5</v>
      </c>
      <c r="K59" s="3191" t="s">
        <v>2233</v>
      </c>
      <c r="L59" s="2965" t="s">
        <v>2227</v>
      </c>
      <c r="M59" s="1755"/>
      <c r="N59" s="1756">
        <f ca="1">M49-N57</f>
        <v>950</v>
      </c>
      <c r="O59" s="2486"/>
    </row>
    <row r="60" spans="1:35" ht="12" customHeight="1">
      <c r="A60" s="2487"/>
      <c r="B60" s="2409"/>
      <c r="C60" s="2409"/>
      <c r="D60" s="2409"/>
      <c r="E60" s="2159"/>
      <c r="F60" s="2480"/>
      <c r="G60" s="2480"/>
      <c r="H60" s="2488"/>
      <c r="I60" s="137"/>
      <c r="J60" s="3193"/>
      <c r="K60" s="3191"/>
      <c r="L60" s="2481" t="s">
        <v>2230</v>
      </c>
      <c r="M60" s="1754"/>
      <c r="N60" s="2483" t="str">
        <f ca="1">NUMBERSTRING(INT(N59*10000),2)&amp;"元整"</f>
        <v>玖佰伍拾万元整</v>
      </c>
      <c r="O60" s="2484"/>
    </row>
    <row r="61" spans="1:35" ht="13.8" thickBot="1">
      <c r="A61" s="3138" t="s">
        <v>2234</v>
      </c>
      <c r="B61" s="3138"/>
      <c r="C61" s="3138"/>
      <c r="D61" s="3138"/>
      <c r="E61" s="3138"/>
      <c r="F61" s="2480"/>
      <c r="G61" s="2480"/>
      <c r="H61" s="2488"/>
      <c r="I61" s="137"/>
      <c r="J61" s="2965">
        <f>J59+1</f>
        <v>6</v>
      </c>
      <c r="K61" s="3191" t="s">
        <v>2235</v>
      </c>
      <c r="L61" s="3191"/>
      <c r="M61" s="1757"/>
      <c r="N61" s="1758">
        <f ca="1">ROUND(N59*10000/'数据-汇总表'!E3,0)</f>
        <v>340</v>
      </c>
      <c r="O61" s="2489"/>
    </row>
    <row r="62" spans="1:35" ht="13.2">
      <c r="A62" s="3154" t="s">
        <v>2236</v>
      </c>
      <c r="B62" s="3155"/>
      <c r="C62" s="2960"/>
      <c r="D62" s="2960" t="s">
        <v>2237</v>
      </c>
      <c r="E62" s="191" t="s">
        <v>2238</v>
      </c>
      <c r="F62" s="2480"/>
      <c r="G62" s="2480"/>
      <c r="H62" s="2488"/>
      <c r="I62" s="137"/>
    </row>
    <row r="63" spans="1:35" ht="13.2">
      <c r="A63" s="202" t="s">
        <v>775</v>
      </c>
      <c r="B63" s="192" t="s">
        <v>2239</v>
      </c>
      <c r="C63" s="193">
        <f ca="1">ROUND((C64+C65)/(1+'数据-取费表'!C42),0)</f>
        <v>2092</v>
      </c>
      <c r="D63" s="194"/>
      <c r="E63" s="195"/>
      <c r="F63" s="2480"/>
      <c r="G63" s="2480"/>
      <c r="H63" s="2488"/>
      <c r="I63" s="137"/>
      <c r="J63" s="3216" t="s">
        <v>2240</v>
      </c>
      <c r="K63" s="2969" t="s">
        <v>2241</v>
      </c>
      <c r="L63" s="1745">
        <f ca="1">IF(M49&gt;10000,M49*0.5%,IF(AND(M49&gt;1000,M49&lt;=10000),M49*1%,IF(AND(M49&gt;100,M49&lt;=1000),M49*3%,IF(AND(M49&gt;10,M49&lt;=100),M49*5%,M49*8%))))</f>
        <v>21.97</v>
      </c>
      <c r="M63" s="23">
        <f ca="1">ROUND(L63,1)</f>
        <v>22</v>
      </c>
      <c r="Z63" s="2414"/>
      <c r="AI63" s="2415"/>
    </row>
    <row r="64" spans="1:35" ht="14.25" customHeight="1">
      <c r="A64" s="196" t="s">
        <v>770</v>
      </c>
      <c r="B64" s="197" t="s">
        <v>2242</v>
      </c>
      <c r="C64" s="198">
        <f ca="1">D45</f>
        <v>2197</v>
      </c>
      <c r="D64" s="199" t="s">
        <v>32</v>
      </c>
      <c r="E64" s="200"/>
      <c r="F64" s="2480"/>
      <c r="G64" s="2480"/>
      <c r="H64" s="2488"/>
      <c r="I64" s="137"/>
      <c r="J64" s="3216"/>
      <c r="K64" s="2969" t="s">
        <v>2243</v>
      </c>
      <c r="L64" s="1745">
        <f ca="1">IF(M49&gt;2000,M49*0.5%,IF(AND(M49&gt;1000,M49&lt;=2000),M49*0.6%,IF(AND(M49&gt;500,M49&lt;=1000),M49*0.7%,IF(AND(M49&gt;200,M49&lt;=500),M49*0.8%,IF(AND(M49&gt;100,M49&lt;=200),M49*0.9%,IF(AND(M49&gt;50,M49&lt;=100),M49*1%,IF(AND(M49&gt;20,M49&lt;=50),M49*1.5%,IF(AND(M49&gt;10,M49&lt;=20),M49*2%,IF(AND(M49&gt;1,M49&lt;=10),M49*2.5%)))))))))</f>
        <v>10.984999999999999</v>
      </c>
      <c r="M64" s="23">
        <f t="shared" ref="M64:M65" ca="1" si="1">ROUND(L64,1)</f>
        <v>11</v>
      </c>
      <c r="N64" s="137" t="s">
        <v>2244</v>
      </c>
      <c r="Z64" s="2414"/>
      <c r="AI64" s="2415"/>
    </row>
    <row r="65" spans="1:35" ht="14.25" customHeight="1">
      <c r="A65" s="196" t="s">
        <v>771</v>
      </c>
      <c r="B65" s="197" t="s">
        <v>2245</v>
      </c>
      <c r="C65" s="201"/>
      <c r="D65" s="199"/>
      <c r="E65" s="200"/>
      <c r="F65" s="2480"/>
      <c r="G65" s="2480"/>
      <c r="H65" s="2488"/>
      <c r="I65" s="137"/>
      <c r="J65" s="3216"/>
      <c r="K65" s="2969" t="s">
        <v>2246</v>
      </c>
      <c r="L65" s="1745">
        <f ca="1">IF(M49&gt;1000,M49*0.1%,IF(AND(M49&gt;500,M49&lt;=1000),M49*0.5%,IF(AND(M49&gt;50,M49&lt;=500),M49*1%,IF(AND(M49&gt;1,M49&lt;=50),M49*1.5%))))</f>
        <v>2.1970000000000001</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216"/>
      <c r="K66" s="2969" t="s">
        <v>2248</v>
      </c>
      <c r="L66" s="1745">
        <f ca="1">M49*0.5%</f>
        <v>10.984999999999999</v>
      </c>
      <c r="M66" s="23">
        <f ca="1">IF(L66&gt;0.5,0.5,ROUND(L66,0))</f>
        <v>0.5</v>
      </c>
      <c r="N66" s="137" t="s">
        <v>2249</v>
      </c>
      <c r="Z66" s="2414"/>
      <c r="AI66" s="2415"/>
    </row>
    <row r="67" spans="1:35" ht="14.25" customHeight="1">
      <c r="A67" s="202" t="s">
        <v>773</v>
      </c>
      <c r="B67" s="203" t="s">
        <v>2250</v>
      </c>
      <c r="C67" s="206">
        <f ca="1">C63-C66</f>
        <v>2092</v>
      </c>
      <c r="D67" s="199" t="s">
        <v>32</v>
      </c>
      <c r="E67" s="200"/>
      <c r="F67" s="2480"/>
      <c r="G67" s="2480"/>
      <c r="H67" s="2488"/>
      <c r="I67" s="137"/>
      <c r="J67" s="3216"/>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115</v>
      </c>
      <c r="D68" s="210">
        <f>'数据-取费表'!B41</f>
        <v>5.5000000000000007E-2</v>
      </c>
      <c r="E68" s="211"/>
      <c r="F68" s="2480"/>
      <c r="G68" s="2480"/>
      <c r="H68" s="2488"/>
      <c r="I68" s="137"/>
      <c r="J68" s="3216"/>
      <c r="K68" s="2969" t="s">
        <v>2253</v>
      </c>
      <c r="L68" s="1745">
        <f ca="1">IF(M49&gt;10000,M49*0.5%,IF(AND(M49&gt;5000,M49&lt;=10000),M49*1%,IF(AND(M49&gt;1000,M49&lt;=5000),M49*2%,IF(AND(M49&gt;200,M49&lt;=1000),M49*3%,M49*5%))))</f>
        <v>43.94</v>
      </c>
      <c r="M68" s="23">
        <f ca="1">ROUND(L68,1)</f>
        <v>43.9</v>
      </c>
      <c r="Z68" s="2414"/>
      <c r="AI68" s="2415"/>
    </row>
    <row r="69" spans="1:35" s="2437" customFormat="1" ht="16.5" customHeight="1">
      <c r="A69" s="2491"/>
      <c r="B69" s="2492"/>
      <c r="C69" s="2493"/>
      <c r="D69" s="2494"/>
      <c r="E69" s="2495"/>
      <c r="F69" s="2159"/>
      <c r="G69" s="2159"/>
      <c r="H69" s="2158"/>
      <c r="I69" s="2409"/>
      <c r="J69" s="3216"/>
      <c r="K69" s="2969" t="s">
        <v>2254</v>
      </c>
      <c r="L69" s="2496"/>
      <c r="M69" s="23">
        <f ca="1">ROUND(SUM(M63:M68),0)</f>
        <v>82</v>
      </c>
      <c r="N69" s="1746">
        <f ca="1">M69/M49</f>
        <v>3.7323623122439691E-2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5" t="s">
        <v>2255</v>
      </c>
      <c r="B70" s="3176"/>
      <c r="C70" s="3176"/>
      <c r="D70" s="3176"/>
      <c r="E70" s="3176"/>
      <c r="F70" s="3176"/>
      <c r="G70" s="3176"/>
      <c r="H70" s="317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54" t="s">
        <v>2236</v>
      </c>
      <c r="B71" s="3155"/>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2092</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10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49" t="s">
        <v>2264</v>
      </c>
      <c r="F76" s="3126"/>
      <c r="G76" s="3126"/>
      <c r="H76" s="317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10</v>
      </c>
      <c r="D78" s="225">
        <f>'数据-取费表'!B43</f>
        <v>5.000000000000001E-3</v>
      </c>
      <c r="E78" s="3135" t="s">
        <v>2269</v>
      </c>
      <c r="F78" s="3136"/>
      <c r="G78" s="3136"/>
      <c r="H78" s="314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3" t="s">
        <v>2270</v>
      </c>
      <c r="C79" s="206">
        <f ca="1">C72-C73</f>
        <v>2082</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208.2</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1246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5" t="s">
        <v>2273</v>
      </c>
      <c r="B83" s="3176"/>
      <c r="C83" s="3176"/>
      <c r="D83" s="3176"/>
      <c r="E83" s="3176"/>
      <c r="F83" s="3176"/>
      <c r="G83" s="3176"/>
      <c r="H83" s="317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54" t="s">
        <v>2236</v>
      </c>
      <c r="B84" s="3155"/>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2092</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10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35" t="s">
        <v>2282</v>
      </c>
      <c r="F91" s="3136"/>
      <c r="G91" s="3136"/>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35" t="s">
        <v>2286</v>
      </c>
      <c r="F92" s="3136"/>
      <c r="G92" s="3136"/>
      <c r="H92" s="314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10</v>
      </c>
      <c r="D93" s="225">
        <f>'数据-取费表'!B43</f>
        <v>5.000000000000001E-3</v>
      </c>
      <c r="E93" s="3135" t="s">
        <v>2269</v>
      </c>
      <c r="F93" s="3136"/>
      <c r="G93" s="3136"/>
      <c r="H93" s="314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46" t="s">
        <v>2290</v>
      </c>
      <c r="F94" s="3147"/>
      <c r="G94" s="3147"/>
      <c r="H94" s="314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3" t="s">
        <v>2270</v>
      </c>
      <c r="C95" s="206">
        <f ca="1">ROUND(C85-C86,0)</f>
        <v>2082</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208.2</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1246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0" t="s">
        <v>2292</v>
      </c>
      <c r="B100" s="3121"/>
      <c r="C100" s="3121"/>
      <c r="D100" s="3137"/>
      <c r="E100" s="3121" t="s">
        <v>2293</v>
      </c>
      <c r="F100" s="3121"/>
      <c r="G100" s="3121"/>
      <c r="H100" s="3137"/>
      <c r="I100" s="137"/>
    </row>
    <row r="101" spans="1:35" ht="18.75" customHeight="1">
      <c r="A101" s="3199" t="s">
        <v>2294</v>
      </c>
      <c r="B101" s="3200"/>
      <c r="C101" s="735" t="str">
        <f>C4</f>
        <v>成本法（商业）</v>
      </c>
      <c r="D101" s="736" t="str">
        <f>D4</f>
        <v>收益法（商业）</v>
      </c>
      <c r="E101" s="3213" t="s">
        <v>2295</v>
      </c>
      <c r="F101" s="3167"/>
      <c r="G101" s="2511" t="s">
        <v>2296</v>
      </c>
      <c r="H101" s="1041">
        <f ca="1">H118</f>
        <v>2197</v>
      </c>
      <c r="I101" s="137"/>
    </row>
    <row r="102" spans="1:35" ht="18.75" customHeight="1">
      <c r="A102" s="3169" t="s">
        <v>2297</v>
      </c>
      <c r="B102" s="2511" t="s">
        <v>2296</v>
      </c>
      <c r="C102" s="735">
        <f ca="1">C19</f>
        <v>2184</v>
      </c>
      <c r="D102" s="736">
        <f ca="1">D19</f>
        <v>2210</v>
      </c>
      <c r="E102" s="3213"/>
      <c r="F102" s="3167"/>
      <c r="G102" s="2511" t="s">
        <v>2298</v>
      </c>
      <c r="H102" s="370">
        <f ca="1">I118</f>
        <v>24066</v>
      </c>
      <c r="I102" s="137"/>
    </row>
    <row r="103" spans="1:35" ht="42.75" customHeight="1">
      <c r="A103" s="3169"/>
      <c r="B103" s="2511" t="s">
        <v>2298</v>
      </c>
      <c r="C103" s="737">
        <f ca="1">C20</f>
        <v>23923</v>
      </c>
      <c r="D103" s="738">
        <f ca="1">D20</f>
        <v>24208</v>
      </c>
      <c r="E103" s="3208" t="s">
        <v>2299</v>
      </c>
      <c r="F103" s="3209"/>
      <c r="G103" s="2512" t="s">
        <v>2300</v>
      </c>
      <c r="H103" s="1041">
        <f>IF(D36="正常操作",H104+H105+H106,H105+H106)</f>
        <v>0</v>
      </c>
      <c r="I103" s="137"/>
    </row>
    <row r="104" spans="1:35" ht="18.75" customHeight="1">
      <c r="A104" s="3169" t="s">
        <v>2301</v>
      </c>
      <c r="B104" s="2513" t="s">
        <v>2296</v>
      </c>
      <c r="C104" s="739">
        <f ca="1">H118</f>
        <v>2197</v>
      </c>
      <c r="D104" s="740"/>
      <c r="E104" s="2259" t="s">
        <v>2302</v>
      </c>
      <c r="F104" s="2251"/>
      <c r="G104" s="2512" t="s">
        <v>2300</v>
      </c>
      <c r="H104" s="1042">
        <f>IF(D36="同一抵押权人同一抵押物续贷",C36&amp;"（未扣减，详见特别提示）",C36)</f>
        <v>0</v>
      </c>
      <c r="I104" s="137"/>
    </row>
    <row r="105" spans="1:35" ht="18.75" customHeight="1" thickBot="1">
      <c r="A105" s="3170"/>
      <c r="B105" s="2514" t="s">
        <v>2298</v>
      </c>
      <c r="C105" s="741">
        <f ca="1">I118</f>
        <v>24066</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6" t="str">
        <f>IF(项目基本情况!E8="已注销","——","3.房地产抵押价值")</f>
        <v>——</v>
      </c>
      <c r="F107" s="3167"/>
      <c r="G107" s="2511" t="s">
        <v>2296</v>
      </c>
      <c r="H107" s="1041" t="str">
        <f>IF(E107="——","——",H101-H103)</f>
        <v>——</v>
      </c>
      <c r="I107" s="137"/>
    </row>
    <row r="108" spans="1:35" ht="18.75" customHeight="1">
      <c r="A108" s="137"/>
      <c r="B108" s="137"/>
      <c r="C108" s="137"/>
      <c r="D108" s="137"/>
      <c r="E108" s="3166"/>
      <c r="F108" s="3167"/>
      <c r="G108" s="2511" t="s">
        <v>2298</v>
      </c>
      <c r="H108" s="370" t="e">
        <f>ROUND(H107*10000/'数据-汇总表'!E3,0)</f>
        <v>#VALUE!</v>
      </c>
      <c r="I108" s="137"/>
    </row>
    <row r="109" spans="1:35" ht="18.75" customHeight="1">
      <c r="A109" s="137"/>
      <c r="B109" s="137"/>
      <c r="C109" s="137"/>
      <c r="D109" s="137"/>
      <c r="E109" s="3166" t="str">
        <f>IF(项目基本情况!E8="已注销及未注销","4.抵押担保权已注销时的房地产抵押价值",IF(项目基本情况!E8="已注销","3.抵押担保权已注销时的房地产抵押价值","——"))</f>
        <v>3.抵押担保权已注销时的房地产抵押价值</v>
      </c>
      <c r="F109" s="3167"/>
      <c r="G109" s="2511" t="s">
        <v>2296</v>
      </c>
      <c r="H109" s="347">
        <f ca="1">IF(E109="——","——",H101-H105-H106)</f>
        <v>2197</v>
      </c>
      <c r="I109" s="137"/>
    </row>
    <row r="110" spans="1:35" ht="18.75" customHeight="1">
      <c r="A110" s="137"/>
      <c r="B110" s="137"/>
      <c r="C110" s="137"/>
      <c r="D110" s="137"/>
      <c r="E110" s="3166"/>
      <c r="F110" s="3167"/>
      <c r="G110" s="2511" t="s">
        <v>2298</v>
      </c>
      <c r="H110" s="370">
        <f ca="1">IF(H109="——","——",ROUND(H109*10000/'数据-汇总表'!E3,0))</f>
        <v>786</v>
      </c>
      <c r="I110" s="137"/>
    </row>
    <row r="111" spans="1:35" ht="18.75" customHeight="1">
      <c r="A111" s="137"/>
      <c r="B111" s="137"/>
      <c r="C111" s="137"/>
      <c r="D111" s="137"/>
      <c r="E111" s="3201" t="str">
        <f>IF(项目基本情况!E9="抵押净值",IF(OR(项目基本情况!E8="已注销",项目基本情况!E8="房地产抵押价值"),"4.抵押净值","5.抵押净值"),"——")</f>
        <v>——</v>
      </c>
      <c r="F111" s="3202"/>
      <c r="G111" s="2511" t="s">
        <v>2296</v>
      </c>
      <c r="H111" s="1041" t="str">
        <f>IF(E111="——","——",N59)</f>
        <v>——</v>
      </c>
      <c r="I111" s="137"/>
    </row>
    <row r="112" spans="1:35" ht="18.75" customHeight="1" thickBot="1">
      <c r="A112" s="137"/>
      <c r="B112" s="137"/>
      <c r="C112" s="137"/>
      <c r="D112" s="137"/>
      <c r="E112" s="3203"/>
      <c r="F112" s="3204"/>
      <c r="G112" s="2516" t="s">
        <v>2298</v>
      </c>
      <c r="H112" s="789" t="str">
        <f>IF(E111="——","——",N61)</f>
        <v>——</v>
      </c>
      <c r="I112" s="137"/>
    </row>
    <row r="113" spans="1:11" ht="18.75" customHeight="1">
      <c r="A113" s="137"/>
      <c r="B113" s="137"/>
      <c r="C113" s="137"/>
      <c r="D113" s="137"/>
      <c r="E113" s="3171" t="s">
        <v>2304</v>
      </c>
      <c r="F113" s="3171"/>
      <c r="G113" s="3171"/>
      <c r="H113" s="3171"/>
      <c r="I113" s="137"/>
    </row>
    <row r="114" spans="1:11" ht="3.75" customHeight="1">
      <c r="A114" s="2409"/>
      <c r="B114" s="2409"/>
      <c r="C114" s="2409"/>
      <c r="D114" s="2409"/>
      <c r="E114" s="2487"/>
      <c r="F114" s="2487"/>
      <c r="G114" s="2487"/>
      <c r="H114" s="2487"/>
      <c r="I114" s="2409"/>
    </row>
    <row r="115" spans="1:11" ht="18.75" customHeight="1">
      <c r="A115" s="3184" t="s">
        <v>2306</v>
      </c>
      <c r="B115" s="3185"/>
      <c r="C115" s="3185"/>
      <c r="D115" s="3185"/>
      <c r="E115" s="3185"/>
      <c r="F115" s="3185"/>
      <c r="G115" s="3185"/>
      <c r="H115" s="3185"/>
      <c r="I115" s="3186"/>
    </row>
    <row r="116" spans="1:11" ht="27" customHeight="1">
      <c r="A116" s="3077" t="s">
        <v>2307</v>
      </c>
      <c r="B116" s="3172" t="s">
        <v>2308</v>
      </c>
      <c r="C116" s="3172" t="s">
        <v>2309</v>
      </c>
      <c r="D116" s="3188" t="s">
        <v>2310</v>
      </c>
      <c r="E116" s="3189"/>
      <c r="F116" s="3180" t="s">
        <v>2311</v>
      </c>
      <c r="G116" s="3180"/>
      <c r="H116" s="3077" t="s">
        <v>2312</v>
      </c>
      <c r="I116" s="3077"/>
    </row>
    <row r="117" spans="1:11" ht="18.75" customHeight="1">
      <c r="A117" s="3077"/>
      <c r="B117" s="3173"/>
      <c r="C117" s="3173"/>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912.91000000000008</v>
      </c>
      <c r="C118" s="2952">
        <f>M19</f>
        <v>154.76</v>
      </c>
      <c r="D118" s="2952">
        <f ca="1">ROUND(IF(D32="总价",C34,E118*B118/10000),0)</f>
        <v>1707</v>
      </c>
      <c r="E118" s="2952">
        <f ca="1">ROUND(IF(C33="自定义",IF(D32="楼面单价",C34,D118*10000/B118),I118-G118),0)</f>
        <v>18699</v>
      </c>
      <c r="F118" s="2952">
        <f ca="1">ROUND(IF(D32="总价",C35,G118*B118/10000),0)</f>
        <v>490</v>
      </c>
      <c r="G118" s="2952">
        <f ca="1">ROUND(IF(D32="楼面单价",C35,F118*10000/B118),0)</f>
        <v>5367</v>
      </c>
      <c r="H118" s="2952">
        <f ca="1">ROUND(IF(D32="总价",C32,I118*B118/10000),0)</f>
        <v>2197</v>
      </c>
      <c r="I118" s="2952">
        <f ca="1">ROUND(IF(D32="楼面单价",C32,H118*10000/B118),0)</f>
        <v>24066</v>
      </c>
    </row>
    <row r="119" spans="1:11" ht="18.75" customHeight="1">
      <c r="A119" s="3077" t="s">
        <v>2316</v>
      </c>
      <c r="B119" s="3077"/>
      <c r="C119" s="3077"/>
      <c r="D119" s="3177" t="str">
        <f ca="1">NUMBERSTRING(INT(D118*10000),2)&amp;"元整"</f>
        <v>壹仟柒佰零柒万元整</v>
      </c>
      <c r="E119" s="3179"/>
      <c r="F119" s="3177" t="str">
        <f ca="1">NUMBERSTRING(INT(F118*10000),2)&amp;"元整"</f>
        <v>肆佰玖拾万元整</v>
      </c>
      <c r="G119" s="3179"/>
      <c r="H119" s="3177" t="str">
        <f ca="1">NUMBERSTRING(INT(H118*10000),2)&amp;"元整"</f>
        <v>贰仟壹佰玖拾柒万元整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4" t="str">
        <f>IF(D120=0,"故，本次评估不存在"&amp;A120,"故，本次评估"&amp;A120&amp;"为人民币"&amp;D120&amp;"万元整。")</f>
        <v>故，本次评估不存在估价师知悉的法定优先受偿款</v>
      </c>
    </row>
    <row r="121" spans="1:11" ht="18.75" customHeight="1">
      <c r="A121" s="3181" t="s">
        <v>2316</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
      </c>
      <c r="B122" s="3168"/>
      <c r="C122" s="3168"/>
      <c r="D122" s="3205" t="str">
        <f>H107</f>
        <v>——</v>
      </c>
      <c r="E122" s="3206"/>
      <c r="F122" s="3206"/>
      <c r="G122" s="3206"/>
      <c r="H122" s="3206"/>
      <c r="I122" s="3207"/>
    </row>
    <row r="123" spans="1:11" ht="18.75" customHeight="1">
      <c r="A123" s="3077" t="s">
        <v>2316</v>
      </c>
      <c r="B123" s="3077"/>
      <c r="C123" s="3077"/>
      <c r="D123" s="3177" t="e">
        <f>NUMBERSTRING(INT(D122*10000),2)&amp;"元整"</f>
        <v>#VALUE!</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2197</v>
      </c>
      <c r="E124" s="3206"/>
      <c r="F124" s="3206"/>
      <c r="G124" s="3206"/>
      <c r="H124" s="3206"/>
      <c r="I124" s="3207"/>
    </row>
    <row r="125" spans="1:11" ht="18.75" customHeight="1">
      <c r="A125" s="3077" t="s">
        <v>2316</v>
      </c>
      <c r="B125" s="3077"/>
      <c r="C125" s="3077"/>
      <c r="D125" s="3177" t="str">
        <f ca="1">NUMBERSTRING(INT(D124*10000),2)&amp;"元整"</f>
        <v>贰仟壹佰玖拾柒万元整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2316</v>
      </c>
      <c r="B127" s="3077"/>
      <c r="C127" s="3077"/>
      <c r="D127" s="3177" t="e">
        <f>NUMBERSTRING(INT(D126*10000),2)&amp;"元整"</f>
        <v>#VALUE!</v>
      </c>
      <c r="E127" s="3178"/>
      <c r="F127" s="3178"/>
      <c r="G127" s="3178"/>
      <c r="H127" s="3178"/>
      <c r="I127" s="3179"/>
    </row>
    <row r="128" spans="1:11" ht="21.75" customHeight="1">
      <c r="A128" s="3187" t="s">
        <v>2317</v>
      </c>
      <c r="B128" s="3187"/>
      <c r="C128" s="3187"/>
      <c r="D128" s="3187"/>
      <c r="E128" s="3187"/>
      <c r="F128" s="3187"/>
      <c r="G128" s="3187"/>
      <c r="H128" s="3187"/>
      <c r="I128" s="3187"/>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7" sqref="C57"/>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1377</v>
      </c>
      <c r="C1" s="241"/>
      <c r="D1" s="241"/>
      <c r="E1" s="241"/>
      <c r="F1" s="241"/>
      <c r="G1" s="1375">
        <f>MATCH(B1,'数据-取费表'!A6:A16,0)+5</f>
        <v>7</v>
      </c>
    </row>
    <row r="2" spans="1:9" s="243" customFormat="1" ht="18" customHeight="1">
      <c r="A2" s="244" t="s">
        <v>1394</v>
      </c>
      <c r="B2" s="245">
        <f ca="1">IF(D2="——",C52,C52-E2)</f>
        <v>2184</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23923</v>
      </c>
      <c r="C3" s="242" t="s">
        <v>2329</v>
      </c>
      <c r="D3" s="242"/>
      <c r="E3" s="242"/>
      <c r="F3" s="242"/>
      <c r="G3" s="242"/>
    </row>
    <row r="4" spans="1:9" s="251" customFormat="1" ht="16.2">
      <c r="A4" s="248" t="s">
        <v>2330</v>
      </c>
      <c r="B4" s="249"/>
      <c r="C4" s="249"/>
      <c r="D4" s="249"/>
      <c r="E4" s="249"/>
      <c r="F4" s="249"/>
      <c r="G4" s="250"/>
    </row>
    <row r="5" spans="1:9" s="257" customFormat="1" ht="13.5" customHeight="1">
      <c r="A5" s="298" t="s">
        <v>782</v>
      </c>
      <c r="B5" s="253" t="s">
        <v>2332</v>
      </c>
      <c r="C5" s="254">
        <f>C6+C7+C8</f>
        <v>1138</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1104</v>
      </c>
      <c r="D6" s="260"/>
      <c r="E6" s="261"/>
      <c r="F6" s="261"/>
      <c r="G6" s="262"/>
    </row>
    <row r="7" spans="1:9" s="257" customFormat="1" ht="13.5" customHeight="1">
      <c r="A7" s="945" t="s">
        <v>792</v>
      </c>
      <c r="B7" s="258" t="s">
        <v>2339</v>
      </c>
      <c r="C7" s="263">
        <f>ROUND(C6*F7,0)</f>
        <v>34</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18</v>
      </c>
      <c r="D10" s="1028">
        <f ca="1">IF(B1="",'数据-汇总表'!E6,IF(INDIRECT("'数据-取费表'!c"&amp;$G$1)="住宅",INDIRECT("'数据-取费表'!s"&amp;$G$1),INDIRECT("'数据-取费表'!k"&amp;$G$1)+INDIRECT("'数据-取费表'!s"&amp;$G$1)))</f>
        <v>912.91000000000008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912.91000000000008</v>
      </c>
      <c r="E19" s="254">
        <f>'数据-取费表'!B31</f>
        <v>200</v>
      </c>
      <c r="F19" s="274"/>
      <c r="G19" s="2543" t="s">
        <v>3054</v>
      </c>
    </row>
    <row r="20" spans="1:7" s="257" customFormat="1" ht="13.5" customHeight="1">
      <c r="A20" s="298" t="s">
        <v>2357</v>
      </c>
      <c r="B20" s="253" t="s">
        <v>2358</v>
      </c>
      <c r="C20" s="275">
        <f>ROUND((C5+C19)*F20,0)</f>
        <v>23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172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170</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232</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232</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1697</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353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320</v>
      </c>
      <c r="D34" s="260"/>
      <c r="E34" s="263"/>
      <c r="F34" s="300">
        <f ca="1">IF('数据-取费表'!B24=0,1,IF(B1="",'数据-取费表'!N16,INDIRECT("'数据-取费表'!n"&amp;$G$1)))</f>
        <v>1</v>
      </c>
      <c r="G34" s="262" t="s">
        <v>2390</v>
      </c>
    </row>
    <row r="35" spans="1:7" ht="13.5" customHeight="1">
      <c r="A35" s="947" t="s">
        <v>796</v>
      </c>
      <c r="B35" s="258" t="s">
        <v>2391</v>
      </c>
      <c r="C35" s="263">
        <f ca="1">ROUND(C34*F35,0)</f>
        <v>10</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18</v>
      </c>
      <c r="D37" s="260">
        <f ca="1">D19</f>
        <v>912.91000000000008</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26</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25</v>
      </c>
      <c r="D42" s="281"/>
      <c r="E42" s="281"/>
      <c r="F42" s="282"/>
      <c r="G42" s="3219" t="s">
        <v>2408</v>
      </c>
    </row>
    <row r="43" spans="1:7" ht="13.5" customHeight="1">
      <c r="A43" s="947" t="s">
        <v>792</v>
      </c>
      <c r="B43" s="258" t="s">
        <v>2370</v>
      </c>
      <c r="C43" s="281">
        <f ca="1">ROUND(IF('数据-取费表'!B22&lt;=1,C39*F22*'数据-取费表'!B21/2,C39*(POWER((1+F22),'数据-取费表'!B21/2)-1)),0)</f>
        <v>1</v>
      </c>
      <c r="D43" s="281"/>
      <c r="E43" s="281"/>
      <c r="F43" s="282"/>
      <c r="G43" s="3220"/>
    </row>
    <row r="44" spans="1:7" ht="13.5" customHeight="1">
      <c r="A44" s="947" t="s">
        <v>793</v>
      </c>
      <c r="B44" s="258" t="s">
        <v>2373</v>
      </c>
      <c r="C44" s="281">
        <f ca="1">ROUND(IF('数据-取费表'!B22&lt;=1,C40*F22*'数据-取费表'!B21/2,C40*(POWER((1+F22),'数据-取费表'!B21/2)-1)),4)</f>
        <v>1.4E-3</v>
      </c>
      <c r="D44" s="281"/>
      <c r="E44" s="281"/>
      <c r="F44" s="282"/>
      <c r="G44" s="3221"/>
    </row>
    <row r="45" spans="1:7" s="257" customFormat="1" ht="13.5" customHeight="1">
      <c r="A45" s="298" t="s">
        <v>2364</v>
      </c>
      <c r="B45" s="287" t="s">
        <v>2377</v>
      </c>
      <c r="C45" s="288">
        <f ca="1">C46</f>
        <v>72</v>
      </c>
      <c r="D45" s="278">
        <f ca="1">C47</f>
        <v>4.0000000000000001E-3</v>
      </c>
      <c r="E45" s="279" t="s">
        <v>2403</v>
      </c>
      <c r="F45" s="289"/>
      <c r="G45" s="290" t="s">
        <v>2412</v>
      </c>
    </row>
    <row r="46" spans="1:7" s="257" customFormat="1" ht="13.5" customHeight="1">
      <c r="A46" s="947" t="s">
        <v>791</v>
      </c>
      <c r="B46" s="291" t="s">
        <v>2413</v>
      </c>
      <c r="C46" s="292">
        <f ca="1">ROUND((C33+C39)*F27,0)</f>
        <v>72</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497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487</v>
      </c>
      <c r="D51" s="275"/>
      <c r="E51" s="275"/>
      <c r="F51" s="307"/>
      <c r="G51" s="277" t="s">
        <v>2424</v>
      </c>
    </row>
    <row r="52" spans="1:7" s="251" customFormat="1" ht="16.8" thickBot="1">
      <c r="A52" s="308" t="s">
        <v>2425</v>
      </c>
      <c r="B52" s="309"/>
      <c r="C52" s="310">
        <f ca="1">C31+C51</f>
        <v>2184</v>
      </c>
      <c r="D52" s="309"/>
      <c r="E52" s="309"/>
      <c r="F52" s="309"/>
      <c r="G52" s="311"/>
    </row>
    <row r="55" spans="1:7" ht="15">
      <c r="B55" s="313" t="s">
        <v>2426</v>
      </c>
      <c r="C55" s="314"/>
    </row>
    <row r="56" spans="1:7">
      <c r="B56" s="316" t="s">
        <v>1514</v>
      </c>
      <c r="C56" s="318">
        <f ca="1">1-C57</f>
        <v>0.77700000000000002</v>
      </c>
    </row>
    <row r="57" spans="1:7">
      <c r="B57" s="316" t="s">
        <v>1515</v>
      </c>
      <c r="C57" s="317">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C2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1377</v>
      </c>
      <c r="D1" s="1816" t="s">
        <v>70</v>
      </c>
      <c r="E1" s="1817" t="s">
        <v>1387</v>
      </c>
      <c r="F1" s="1279">
        <f ca="1">J53</f>
        <v>36.07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2210</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24208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135</v>
      </c>
      <c r="D5" s="1818" t="s">
        <v>1402</v>
      </c>
      <c r="E5" s="1289"/>
      <c r="F5" s="1290"/>
      <c r="G5" s="1847"/>
      <c r="H5" s="343">
        <v>1</v>
      </c>
      <c r="I5" s="344" t="s">
        <v>1401</v>
      </c>
      <c r="J5" s="1288">
        <f ca="1">J6+J10+J12</f>
        <v>0</v>
      </c>
      <c r="K5" s="1818" t="s">
        <v>1402</v>
      </c>
      <c r="L5" s="1289"/>
      <c r="M5" s="1290"/>
    </row>
    <row r="6" spans="1:37" ht="18" customHeight="1">
      <c r="A6" s="1287" t="s">
        <v>1035</v>
      </c>
      <c r="B6" s="3224" t="s">
        <v>1403</v>
      </c>
      <c r="C6" s="1292">
        <f ca="1">ROUND(F6*F8*F7*(1-F9)/10000,0)</f>
        <v>135</v>
      </c>
      <c r="D6" s="163" t="s">
        <v>3034</v>
      </c>
      <c r="E6" s="346" t="s">
        <v>1405</v>
      </c>
      <c r="F6" s="347">
        <f ca="1">INDIRECT("'数据-取费表'!u"&amp;$G$1)</f>
        <v>4.5</v>
      </c>
      <c r="G6" s="1847"/>
      <c r="H6" s="1287" t="s">
        <v>1035</v>
      </c>
      <c r="I6" s="3224" t="s">
        <v>1403</v>
      </c>
      <c r="J6" s="345">
        <f ca="1">ROUND(M6*M8*M7*(1-M9)/10000,0)</f>
        <v>0</v>
      </c>
      <c r="K6" s="163" t="s">
        <v>3033</v>
      </c>
      <c r="L6" s="346" t="s">
        <v>1405</v>
      </c>
      <c r="M6" s="347">
        <f ca="1">INDIRECT("'数据-取费表'!z"&amp;$G$1)</f>
        <v>0</v>
      </c>
    </row>
    <row r="7" spans="1:37" ht="18" customHeight="1">
      <c r="A7" s="1291"/>
      <c r="B7" s="3225"/>
      <c r="C7" s="1293"/>
      <c r="D7" s="351"/>
      <c r="E7" s="2971" t="s">
        <v>1406</v>
      </c>
      <c r="F7" s="347">
        <f ca="1">IF(INDIRECT("'数据-取费表'!ah"&amp;$G$1)="",INDIRECT("'数据-取费表'!k"&amp;$G$1),INDIRECT("'数据-取费表'!ah"&amp;$G$1))</f>
        <v>912.91000000000008</v>
      </c>
      <c r="G7" s="1847"/>
      <c r="H7" s="348"/>
      <c r="I7" s="3225"/>
      <c r="J7" s="350"/>
      <c r="K7" s="351"/>
      <c r="L7" s="346" t="s">
        <v>1406</v>
      </c>
      <c r="M7" s="347">
        <f ca="1">F7</f>
        <v>912.91000000000008</v>
      </c>
    </row>
    <row r="8" spans="1:37" ht="18" customHeight="1">
      <c r="A8" s="348"/>
      <c r="B8" s="3225"/>
      <c r="C8" s="350"/>
      <c r="D8" s="351"/>
      <c r="E8" s="346" t="s">
        <v>1407</v>
      </c>
      <c r="F8" s="347">
        <f ca="1">INDIRECT("'数据-取费表'!ai"&amp;$G$1)</f>
        <v>365</v>
      </c>
      <c r="G8" s="1847"/>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0.1</v>
      </c>
      <c r="G9" s="1847"/>
      <c r="H9" s="348"/>
      <c r="I9" s="322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487</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320</v>
      </c>
      <c r="D14" s="2959" t="s">
        <v>1419</v>
      </c>
      <c r="E14" s="2954"/>
      <c r="F14" s="363"/>
      <c r="G14" s="1847"/>
      <c r="H14" s="1197" t="s">
        <v>1035</v>
      </c>
      <c r="I14" s="346" t="s">
        <v>1420</v>
      </c>
      <c r="J14" s="23">
        <f ca="1">C29</f>
        <v>497</v>
      </c>
      <c r="K14" s="2970"/>
      <c r="L14" s="975"/>
      <c r="M14" s="976"/>
    </row>
    <row r="15" spans="1:37" s="1854" customFormat="1" ht="18" customHeight="1" thickBot="1">
      <c r="A15" s="1197" t="s">
        <v>1036</v>
      </c>
      <c r="B15" s="346" t="s">
        <v>1421</v>
      </c>
      <c r="C15" s="23">
        <f ca="1">ROUND(C14*F15,0)</f>
        <v>10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14</v>
      </c>
      <c r="K16" s="1333" t="s">
        <v>1426</v>
      </c>
      <c r="L16" s="2961"/>
      <c r="M16" s="1290"/>
    </row>
    <row r="17" spans="1:37" s="1854" customFormat="1" ht="18" customHeight="1">
      <c r="A17" s="1197" t="s">
        <v>1390</v>
      </c>
      <c r="B17" s="346" t="s">
        <v>1427</v>
      </c>
      <c r="C17" s="23">
        <f ca="1">ROUND(F17*(F43+INDIRECT("'数据-取费表'!S"&amp;$G$1))/10000,0)</f>
        <v>18</v>
      </c>
      <c r="D17" s="346" t="s">
        <v>1428</v>
      </c>
      <c r="E17" s="346" t="s">
        <v>1429</v>
      </c>
      <c r="F17" s="25">
        <f>'数据-取费表'!B35</f>
        <v>200</v>
      </c>
      <c r="G17" s="1850"/>
      <c r="H17" s="1197" t="s">
        <v>1035</v>
      </c>
      <c r="I17" s="346" t="s">
        <v>1430</v>
      </c>
      <c r="J17" s="23">
        <f ca="1">ROUND(IF(项目基本情况!B11="自然人",J5*M17,J18+J19+J20),1)</f>
        <v>4.2</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353</v>
      </c>
      <c r="D19" s="139" t="s">
        <v>1437</v>
      </c>
      <c r="E19" s="2968"/>
      <c r="F19" s="25"/>
      <c r="G19" s="1847"/>
      <c r="H19" s="1197" t="s">
        <v>1036</v>
      </c>
      <c r="I19" s="346" t="s">
        <v>1438</v>
      </c>
      <c r="J19" s="23">
        <f ca="1">IF(K19="按租金收入计税",ROUND(J5*M19,2),ROUND(C29*M19*0.7,2))</f>
        <v>4.17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154.76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9.9</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-14</v>
      </c>
      <c r="K25" s="1341" t="s">
        <v>1465</v>
      </c>
      <c r="L25" s="1342"/>
      <c r="M25" s="1343"/>
    </row>
    <row r="26" spans="1:37">
      <c r="A26" s="1197" t="s">
        <v>1034</v>
      </c>
      <c r="B26" s="346" t="s">
        <v>1466</v>
      </c>
      <c r="C26" s="23">
        <f ca="1">ROUND((C19+C20)*F26,0)</f>
        <v>72</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497</v>
      </c>
      <c r="D29" s="1338"/>
      <c r="E29" s="1336"/>
      <c r="F29" s="1339"/>
      <c r="G29" s="1850"/>
      <c r="H29" s="379" t="s">
        <v>1033</v>
      </c>
      <c r="I29" s="380" t="s">
        <v>1480</v>
      </c>
      <c r="J29" s="381">
        <f ca="1">ROUND(J26/(1+F40)^F41,0)</f>
        <v>0</v>
      </c>
      <c r="K29" s="382" t="s">
        <v>1481</v>
      </c>
      <c r="L29" s="383"/>
      <c r="M29" s="384">
        <f ca="1">INDIRECT("'数据-取费表'!k"&amp;$G$1)</f>
        <v>912.91000000000008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25</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11.3</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7.07</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4.17</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154.76</v>
      </c>
      <c r="G35" s="1847"/>
      <c r="H35" s="744"/>
      <c r="I35" s="1856"/>
      <c r="J35" s="1857"/>
      <c r="K35" s="1858"/>
      <c r="L35" s="1855"/>
      <c r="M35" s="1855"/>
    </row>
    <row r="36" spans="1:18" ht="18" customHeight="1">
      <c r="A36" s="1348" t="s">
        <v>1039</v>
      </c>
      <c r="B36" s="346" t="s">
        <v>1450</v>
      </c>
      <c r="C36" s="23">
        <f ca="1">ROUND(C29*F36,1)</f>
        <v>9.9</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2.7</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2201</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36.07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24110</v>
      </c>
      <c r="D43" s="382" t="s">
        <v>1489</v>
      </c>
      <c r="E43" s="383" t="s">
        <v>1490</v>
      </c>
      <c r="F43" s="384">
        <f ca="1">INDIRECT("'数据-取费表'!k"&amp;$G$1)</f>
        <v>912.91000000000008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-2408</v>
      </c>
      <c r="D46" s="1868" t="str">
        <f>C2</f>
        <v>万元</v>
      </c>
      <c r="E46" s="1862"/>
      <c r="F46" s="1862"/>
      <c r="I46" s="1869" t="s">
        <v>1522</v>
      </c>
      <c r="J46" s="1870"/>
      <c r="K46" s="1871"/>
      <c r="L46" s="1872">
        <f ca="1">IF(M47="住宅",0,IF(L48&gt;J51,L60,J60))</f>
        <v>9</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40</v>
      </c>
      <c r="M47" s="1834" t="str">
        <f>IF(ISNUMBER(FIND("住宅",C1)),"住宅","非住宅")</f>
        <v>非住宅</v>
      </c>
      <c r="O47" s="1880" t="s">
        <v>1040</v>
      </c>
      <c r="P47" s="1881" t="s">
        <v>1529</v>
      </c>
      <c r="Q47" s="1882">
        <f ca="1">C40+J29</f>
        <v>2201</v>
      </c>
      <c r="R47" s="1882" t="s">
        <v>1530</v>
      </c>
    </row>
    <row r="48" spans="1:18" s="1838" customFormat="1" ht="40.200000000000003"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36.07</v>
      </c>
      <c r="O48" s="1880" t="s">
        <v>1041</v>
      </c>
      <c r="P48" s="1881" t="s">
        <v>1533</v>
      </c>
      <c r="Q48" s="1882">
        <f ca="1">J60</f>
        <v>9</v>
      </c>
      <c r="R48" s="1882" t="s">
        <v>1534</v>
      </c>
    </row>
    <row r="49" spans="1:18" s="1838" customFormat="1" ht="13.8"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497</v>
      </c>
      <c r="R49" s="1882" t="s">
        <v>1530</v>
      </c>
    </row>
    <row r="50" spans="1:18" s="1838" customFormat="1" ht="13.8" thickBot="1">
      <c r="A50" s="1191"/>
      <c r="B50" s="1194"/>
      <c r="C50" s="1364"/>
      <c r="D50" s="1168"/>
      <c r="E50" s="1273" t="s">
        <v>1406</v>
      </c>
      <c r="F50" s="1274">
        <f ca="1">F7</f>
        <v>912.91000000000008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1004</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36.07</v>
      </c>
      <c r="R52" s="1882" t="s">
        <v>1547</v>
      </c>
    </row>
    <row r="53" spans="1:18" s="1838" customFormat="1" ht="36.6"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36.07</v>
      </c>
      <c r="K53" s="3222" t="s">
        <v>1549</v>
      </c>
      <c r="L53" s="3223"/>
      <c r="O53" s="1880" t="s">
        <v>1046</v>
      </c>
      <c r="P53" s="1881" t="s">
        <v>1550</v>
      </c>
      <c r="Q53" s="1882">
        <f ca="1">Q47+Q48</f>
        <v>2210</v>
      </c>
      <c r="R53" s="1882" t="s">
        <v>1047</v>
      </c>
    </row>
    <row r="54" spans="1:18" s="1838" customFormat="1" ht="24.6"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2963"/>
      <c r="F55" s="1903"/>
      <c r="I55" s="1906" t="s">
        <v>1552</v>
      </c>
      <c r="J55" s="1907">
        <f ca="1">ROUND(IF(J47="钢混",J57/J50,1-(1-2%)*(J50-J57)/J50),3)</f>
        <v>0.38200000000000001</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487</v>
      </c>
      <c r="D56" s="1910"/>
      <c r="E56" s="1911"/>
      <c r="F56" s="1903"/>
      <c r="I56" s="1912" t="s">
        <v>1554</v>
      </c>
      <c r="J56" s="1913" t="s">
        <v>3385</v>
      </c>
      <c r="K56" s="1883" t="s">
        <v>1555</v>
      </c>
      <c r="L56" s="1886" t="str">
        <f ca="1">IF(L48&lt;J51,"——",L48-J53)</f>
        <v>——</v>
      </c>
      <c r="O56" s="1880" t="s">
        <v>1040</v>
      </c>
      <c r="P56" s="1881" t="s">
        <v>1529</v>
      </c>
      <c r="Q56" s="1882">
        <f ca="1">C40+J29</f>
        <v>2201</v>
      </c>
      <c r="R56" s="1882" t="s">
        <v>1530</v>
      </c>
    </row>
    <row r="57" spans="1:18" s="1838" customFormat="1" ht="24.6" thickBot="1">
      <c r="A57" s="1914"/>
      <c r="B57" s="1165" t="s">
        <v>1479</v>
      </c>
      <c r="C57" s="281">
        <f ca="1">C29</f>
        <v>497</v>
      </c>
      <c r="D57" s="1915"/>
      <c r="E57" s="1916"/>
      <c r="F57" s="1917"/>
      <c r="I57" s="1918" t="s">
        <v>1556</v>
      </c>
      <c r="J57" s="1919">
        <f ca="1">IF(OR(M47="住宅",J51&lt;L48,J56="是"),"——",J51-L48)</f>
        <v>22.93</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15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4.2</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199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9</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1438</v>
      </c>
      <c r="C61" s="23">
        <f ca="1">IF(项目基本情况!B11="自然人","——",IF(D61="按租金收入计税",ROUND(C48*F61,2),IF(D61="按房产原值计税",ROUND(C57*F61*0.7,2),INDIRECT("'数据-取费表'!Aj"&amp;$G$1))))</f>
        <v>4.17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2201</v>
      </c>
      <c r="R62" s="1882" t="s">
        <v>1047</v>
      </c>
    </row>
    <row r="63" spans="1:18" s="1838" customFormat="1" ht="13.8" thickBot="1">
      <c r="A63" s="371"/>
      <c r="B63" s="1171"/>
      <c r="C63" s="28"/>
      <c r="D63" s="1181"/>
      <c r="E63" s="1165" t="s">
        <v>1448</v>
      </c>
      <c r="F63" s="347">
        <f t="shared" ca="1" si="0"/>
        <v>154.76</v>
      </c>
      <c r="I63" s="1925" t="s">
        <v>1576</v>
      </c>
      <c r="J63" s="1926">
        <v>70</v>
      </c>
      <c r="K63" s="1926">
        <v>50</v>
      </c>
      <c r="L63" s="1926">
        <v>80</v>
      </c>
      <c r="M63" s="1928">
        <v>0.02</v>
      </c>
      <c r="O63" s="1865" t="s">
        <v>1577</v>
      </c>
      <c r="P63" s="1835"/>
      <c r="Q63" s="1835"/>
      <c r="R63" s="1835"/>
    </row>
    <row r="64" spans="1:18" s="1838" customFormat="1" ht="13.8" thickBot="1">
      <c r="A64" s="1197" t="s">
        <v>1039</v>
      </c>
      <c r="B64" s="1165" t="s">
        <v>1450</v>
      </c>
      <c r="C64" s="23">
        <f ca="1">ROUND(C57*F64,1)</f>
        <v>9.9</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1</v>
      </c>
      <c r="D65" s="1179" t="s">
        <v>1455</v>
      </c>
      <c r="E65" s="1165" t="s">
        <v>1423</v>
      </c>
      <c r="F65" s="375">
        <f t="shared" ca="1" si="0"/>
        <v>2E-3</v>
      </c>
      <c r="I65" s="1925" t="s">
        <v>1579</v>
      </c>
      <c r="J65" s="1926">
        <v>40</v>
      </c>
      <c r="K65" s="1926">
        <v>30</v>
      </c>
      <c r="L65" s="1926">
        <v>50</v>
      </c>
      <c r="M65" s="1928">
        <v>0.02</v>
      </c>
      <c r="O65" s="1880" t="s">
        <v>1040</v>
      </c>
      <c r="P65" s="1881" t="s">
        <v>1529</v>
      </c>
      <c r="Q65" s="1882">
        <f ca="1">C40+J29</f>
        <v>2201</v>
      </c>
      <c r="R65" s="1882" t="s">
        <v>1530</v>
      </c>
    </row>
    <row r="66" spans="1:18" s="1838" customFormat="1" ht="16.2"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-15</v>
      </c>
      <c r="D67" s="1178" t="s">
        <v>1465</v>
      </c>
      <c r="E67" s="1183"/>
      <c r="F67" s="1184"/>
      <c r="O67" s="1890" t="s">
        <v>1042</v>
      </c>
      <c r="P67" s="1881" t="s">
        <v>1562</v>
      </c>
      <c r="Q67" s="1929">
        <f ca="1">L51</f>
        <v>1004</v>
      </c>
      <c r="R67" s="1882" t="s">
        <v>1582</v>
      </c>
    </row>
    <row r="68" spans="1:18" s="1838" customFormat="1" ht="16.2" thickBot="1">
      <c r="A68" s="1162" t="s">
        <v>1032</v>
      </c>
      <c r="B68" s="1163" t="s">
        <v>1486</v>
      </c>
      <c r="C68" s="345">
        <f ca="1">ROUND(C67*(1-((1+F70)/(1+F68))^F69)/(F68-F70),0)</f>
        <v>-207</v>
      </c>
      <c r="D68" s="1180" t="s">
        <v>1470</v>
      </c>
      <c r="E68" s="1165" t="s">
        <v>1471</v>
      </c>
      <c r="F68" s="356">
        <f ca="1">F40</f>
        <v>6.5000000000000002E-2</v>
      </c>
      <c r="O68" s="1890" t="s">
        <v>1043</v>
      </c>
      <c r="P68" s="1930" t="s">
        <v>1583</v>
      </c>
      <c r="Q68" s="1882">
        <f ca="1">ROUND(Q69-Q70*Q71,0)</f>
        <v>69</v>
      </c>
      <c r="R68" s="1882" t="s">
        <v>1051</v>
      </c>
    </row>
    <row r="69" spans="1:18" s="1838" customFormat="1" ht="13.8" thickBot="1">
      <c r="A69" s="1166"/>
      <c r="B69" s="1167"/>
      <c r="C69" s="350"/>
      <c r="D69" s="1185" t="s">
        <v>1474</v>
      </c>
      <c r="E69" s="1165" t="s">
        <v>1475</v>
      </c>
      <c r="F69" s="378">
        <f ca="1">F41</f>
        <v>36.07</v>
      </c>
      <c r="O69" s="1890" t="s">
        <v>1048</v>
      </c>
      <c r="P69" s="1930" t="s">
        <v>1584</v>
      </c>
      <c r="Q69" s="1882">
        <f ca="1">C39</f>
        <v>110</v>
      </c>
      <c r="R69" s="1882" t="s">
        <v>1530</v>
      </c>
    </row>
    <row r="70" spans="1:18" s="1838" customFormat="1" ht="13.8" thickBot="1">
      <c r="A70" s="1169"/>
      <c r="B70" s="1170"/>
      <c r="C70" s="354"/>
      <c r="D70" s="1181"/>
      <c r="E70" s="1165" t="s">
        <v>1478</v>
      </c>
      <c r="F70" s="1271"/>
      <c r="O70" s="1890" t="s">
        <v>1049</v>
      </c>
      <c r="P70" s="1930" t="s">
        <v>1585</v>
      </c>
      <c r="Q70" s="1882">
        <f ca="1">C13</f>
        <v>487</v>
      </c>
      <c r="R70" s="1882" t="s">
        <v>1530</v>
      </c>
    </row>
    <row r="71" spans="1:18" s="1838" customFormat="1" ht="13.8" thickBot="1">
      <c r="A71" s="1186" t="s">
        <v>1033</v>
      </c>
      <c r="B71" s="1187" t="s">
        <v>1488</v>
      </c>
      <c r="C71" s="381">
        <f ca="1">ROUND(C68*10000/F71,0)</f>
        <v>-2267</v>
      </c>
      <c r="D71" s="1188" t="s">
        <v>1489</v>
      </c>
      <c r="E71" s="1189" t="s">
        <v>1490</v>
      </c>
      <c r="F71" s="384">
        <f ca="1">F43</f>
        <v>912.91000000000008</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41</v>
      </c>
      <c r="D75" s="1838"/>
      <c r="E75" s="1838"/>
      <c r="F75" s="1838"/>
      <c r="K75" s="1864"/>
      <c r="L75" s="1838"/>
      <c r="O75" s="1880" t="s">
        <v>1046</v>
      </c>
      <c r="P75" s="1881" t="s">
        <v>1550</v>
      </c>
      <c r="Q75" s="1882">
        <f ca="1">Q65+Q66</f>
        <v>2201</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0.627</v>
      </c>
    </row>
    <row r="80" spans="1:18">
      <c r="B80" s="385" t="s">
        <v>1512</v>
      </c>
      <c r="C80" s="317">
        <f ca="1">ROUND(C75/C39,3)</f>
        <v>0.373</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27944.309999999998</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62" t="s">
        <v>2647</v>
      </c>
      <c r="AC4" s="3282" t="s">
        <v>2648</v>
      </c>
    </row>
    <row r="5" spans="1:29">
      <c r="A5" s="403"/>
      <c r="B5" s="404"/>
      <c r="C5" s="3271" t="s">
        <v>2541</v>
      </c>
      <c r="D5" s="3266"/>
      <c r="E5" s="3289" t="s">
        <v>2542</v>
      </c>
      <c r="F5" s="3278"/>
      <c r="G5" s="3271" t="s">
        <v>2543</v>
      </c>
      <c r="H5" s="3266"/>
      <c r="I5" s="3271" t="s">
        <v>2544</v>
      </c>
      <c r="J5" s="3266"/>
      <c r="K5" s="609"/>
      <c r="L5" s="1126"/>
      <c r="M5" s="1127"/>
      <c r="N5" s="1127"/>
      <c r="O5" s="1127"/>
      <c r="P5" s="3285"/>
      <c r="Q5" s="3252"/>
      <c r="R5" s="3257"/>
      <c r="S5" s="3258"/>
      <c r="T5" s="3257"/>
      <c r="U5" s="3258"/>
      <c r="V5" s="3262"/>
      <c r="W5" s="3262"/>
      <c r="X5" s="1809"/>
      <c r="Y5" s="3257"/>
      <c r="Z5" s="3258"/>
      <c r="AA5" s="3275"/>
      <c r="AB5" s="3262"/>
      <c r="AC5" s="3275"/>
    </row>
    <row r="6" spans="1:29" ht="15" thickBot="1">
      <c r="A6" s="405"/>
      <c r="B6" s="406"/>
      <c r="C6" s="3263" t="s">
        <v>2545</v>
      </c>
      <c r="D6" s="3264"/>
      <c r="E6" s="3272" t="s">
        <v>2545</v>
      </c>
      <c r="F6" s="3273"/>
      <c r="G6" s="3263" t="s">
        <v>2545</v>
      </c>
      <c r="H6" s="3264"/>
      <c r="I6" s="3263" t="s">
        <v>2545</v>
      </c>
      <c r="J6" s="3264"/>
      <c r="K6" s="609" t="s">
        <v>2546</v>
      </c>
      <c r="L6" s="1126"/>
      <c r="M6" s="1127"/>
      <c r="N6" s="1127"/>
      <c r="O6" s="1127"/>
      <c r="P6" s="3286"/>
      <c r="Q6" s="3254"/>
      <c r="R6" s="3257"/>
      <c r="S6" s="3258"/>
      <c r="T6" s="3259"/>
      <c r="U6" s="3260"/>
      <c r="V6" s="3262"/>
      <c r="W6" s="3262"/>
      <c r="X6" s="1809"/>
      <c r="Y6" s="3259"/>
      <c r="Z6" s="3260"/>
      <c r="AA6" s="3276"/>
      <c r="AB6" s="3262"/>
      <c r="AC6" s="3276"/>
    </row>
    <row r="7" spans="1:29" s="116" customFormat="1" ht="1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69" t="s">
        <v>2548</v>
      </c>
      <c r="Q7" s="3270"/>
      <c r="R7" s="769" t="s">
        <v>17</v>
      </c>
      <c r="S7" s="770">
        <f t="shared" ref="S7:S15" si="0">F7</f>
        <v>0</v>
      </c>
      <c r="T7" s="769" t="s">
        <v>17</v>
      </c>
      <c r="U7" s="770">
        <f t="shared" ref="U7:U15" si="1">H7</f>
        <v>0</v>
      </c>
      <c r="V7" s="769" t="s">
        <v>17</v>
      </c>
      <c r="W7" s="770">
        <f t="shared" ref="W7:W15" si="2">J7</f>
        <v>0</v>
      </c>
      <c r="X7" s="771"/>
      <c r="Y7" s="3269" t="s">
        <v>2548</v>
      </c>
      <c r="Z7" s="3268"/>
      <c r="AA7" s="772" t="e">
        <f>D7/F7</f>
        <v>#DIV/0!</v>
      </c>
      <c r="AB7" s="772" t="e">
        <f>D7/H7</f>
        <v>#DIV/0!</v>
      </c>
      <c r="AC7" s="772" t="e">
        <f>D7/J7</f>
        <v>#DIV/0!</v>
      </c>
    </row>
    <row r="8" spans="1:29" s="116" customFormat="1" ht="1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69" t="s">
        <v>2551</v>
      </c>
      <c r="Q8" s="3268"/>
      <c r="R8" s="769" t="s">
        <v>17</v>
      </c>
      <c r="S8" s="770">
        <f t="shared" si="0"/>
        <v>0</v>
      </c>
      <c r="T8" s="769" t="s">
        <v>17</v>
      </c>
      <c r="U8" s="770">
        <f t="shared" si="1"/>
        <v>0</v>
      </c>
      <c r="V8" s="769" t="s">
        <v>17</v>
      </c>
      <c r="W8" s="770">
        <f t="shared" si="2"/>
        <v>0</v>
      </c>
      <c r="X8" s="771"/>
      <c r="Y8" s="3269" t="s">
        <v>2551</v>
      </c>
      <c r="Z8" s="3268"/>
      <c r="AA8" s="772" t="e">
        <f t="shared" ref="AA8:AA46" si="3">D8/F8</f>
        <v>#DIV/0!</v>
      </c>
      <c r="AB8" s="772" t="e">
        <f t="shared" ref="AB8:AB46" si="4">D8/H8</f>
        <v>#DIV/0!</v>
      </c>
      <c r="AC8" s="772" t="e">
        <f t="shared" ref="AC8:AC46" si="5">D8/J8</f>
        <v>#DIV/0!</v>
      </c>
    </row>
    <row r="9" spans="1:29" s="116" customFormat="1" ht="14.4">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27"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27"/>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27"/>
      <c r="Q11" s="1791" t="str">
        <f t="shared" si="6"/>
        <v>容积率</v>
      </c>
      <c r="R11" s="769" t="s">
        <v>17</v>
      </c>
      <c r="S11" s="770" t="e">
        <f t="shared" si="0"/>
        <v>#N/A</v>
      </c>
      <c r="T11" s="769" t="s">
        <v>17</v>
      </c>
      <c r="U11" s="770" t="e">
        <f t="shared" si="1"/>
        <v>#N/A</v>
      </c>
      <c r="V11" s="769" t="s">
        <v>17</v>
      </c>
      <c r="W11" s="770" t="e">
        <f t="shared" si="2"/>
        <v>#N/A</v>
      </c>
      <c r="X11" s="771"/>
      <c r="Y11" s="3077"/>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27"/>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27"/>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27"/>
      <c r="Q14" s="1791">
        <f t="shared" si="6"/>
        <v>111</v>
      </c>
      <c r="R14" s="769" t="s">
        <v>17</v>
      </c>
      <c r="S14" s="770">
        <f t="shared" si="0"/>
        <v>100</v>
      </c>
      <c r="T14" s="769" t="s">
        <v>17</v>
      </c>
      <c r="U14" s="770">
        <f t="shared" si="1"/>
        <v>100</v>
      </c>
      <c r="V14" s="769" t="s">
        <v>17</v>
      </c>
      <c r="W14" s="770">
        <f t="shared" si="2"/>
        <v>100</v>
      </c>
      <c r="X14" s="771"/>
      <c r="Y14" s="3077"/>
      <c r="Z14" s="54">
        <f t="shared" si="7"/>
        <v>111</v>
      </c>
      <c r="AA14" s="772">
        <f t="shared" si="3"/>
        <v>1</v>
      </c>
      <c r="AB14" s="772">
        <f t="shared" si="4"/>
        <v>1</v>
      </c>
      <c r="AC14" s="772">
        <f t="shared" si="5"/>
        <v>1</v>
      </c>
    </row>
    <row r="15" spans="1:29" ht="96.6">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33" t="s">
        <v>2559</v>
      </c>
      <c r="Q15" s="1806" t="str">
        <f t="shared" si="6"/>
        <v>商业繁华度</v>
      </c>
      <c r="R15" s="773" t="s">
        <v>17</v>
      </c>
      <c r="S15" s="774">
        <f t="shared" si="0"/>
        <v>100</v>
      </c>
      <c r="T15" s="773" t="s">
        <v>17</v>
      </c>
      <c r="U15" s="774">
        <f t="shared" si="1"/>
        <v>100</v>
      </c>
      <c r="V15" s="773" t="s">
        <v>17</v>
      </c>
      <c r="W15" s="774">
        <f t="shared" si="2"/>
        <v>100</v>
      </c>
      <c r="X15" s="1809"/>
      <c r="Y15" s="3235"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34"/>
      <c r="Q16" s="1806"/>
      <c r="R16" s="773"/>
      <c r="S16" s="774"/>
      <c r="T16" s="773"/>
      <c r="U16" s="774"/>
      <c r="V16" s="773"/>
      <c r="W16" s="774"/>
      <c r="X16" s="1809"/>
      <c r="Y16" s="3236"/>
      <c r="Z16" s="1810"/>
      <c r="AA16" s="1807">
        <v>1</v>
      </c>
      <c r="AB16" s="1807">
        <v>1</v>
      </c>
      <c r="AC16" s="1807">
        <v>1</v>
      </c>
    </row>
    <row r="17" spans="1:29" ht="234.6">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34"/>
      <c r="Q17" s="1806" t="str">
        <f>B17</f>
        <v>交通便捷度</v>
      </c>
      <c r="R17" s="773" t="s">
        <v>17</v>
      </c>
      <c r="S17" s="774">
        <f>F17</f>
        <v>100</v>
      </c>
      <c r="T17" s="773" t="s">
        <v>17</v>
      </c>
      <c r="U17" s="774">
        <f>H17</f>
        <v>100</v>
      </c>
      <c r="V17" s="773" t="s">
        <v>17</v>
      </c>
      <c r="W17" s="774">
        <f>J17</f>
        <v>100</v>
      </c>
      <c r="X17" s="1809"/>
      <c r="Y17" s="3236"/>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34"/>
      <c r="Q18" s="1806"/>
      <c r="R18" s="773"/>
      <c r="S18" s="774"/>
      <c r="T18" s="773"/>
      <c r="U18" s="774"/>
      <c r="V18" s="773"/>
      <c r="W18" s="774"/>
      <c r="X18" s="1809"/>
      <c r="Y18" s="3236"/>
      <c r="Z18" s="1810"/>
      <c r="AA18" s="1807">
        <v>1</v>
      </c>
      <c r="AB18" s="1807">
        <v>1</v>
      </c>
      <c r="AC18" s="1807">
        <v>1</v>
      </c>
    </row>
    <row r="19" spans="1:29" ht="41.4">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34"/>
      <c r="Q19" s="1806" t="str">
        <f>B19</f>
        <v>公共配套设施</v>
      </c>
      <c r="R19" s="773" t="s">
        <v>17</v>
      </c>
      <c r="S19" s="774">
        <f>F19</f>
        <v>100</v>
      </c>
      <c r="T19" s="773" t="s">
        <v>17</v>
      </c>
      <c r="U19" s="774">
        <f>H19</f>
        <v>100</v>
      </c>
      <c r="V19" s="773" t="s">
        <v>17</v>
      </c>
      <c r="W19" s="774">
        <f>J19</f>
        <v>100</v>
      </c>
      <c r="X19" s="1809"/>
      <c r="Y19" s="3236"/>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34"/>
      <c r="Q20" s="1806"/>
      <c r="R20" s="773"/>
      <c r="S20" s="774"/>
      <c r="T20" s="773"/>
      <c r="U20" s="774"/>
      <c r="V20" s="773"/>
      <c r="W20" s="774"/>
      <c r="X20" s="1809"/>
      <c r="Y20" s="3236"/>
      <c r="Z20" s="1810"/>
      <c r="AA20" s="1807">
        <v>1</v>
      </c>
      <c r="AB20" s="1807">
        <v>1</v>
      </c>
      <c r="AC20" s="1807">
        <v>1</v>
      </c>
    </row>
    <row r="21" spans="1:29" ht="41.4">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34"/>
      <c r="Q21" s="1806" t="str">
        <f>B21</f>
        <v>基础设施水平</v>
      </c>
      <c r="R21" s="773" t="s">
        <v>17</v>
      </c>
      <c r="S21" s="774">
        <f>F21</f>
        <v>100</v>
      </c>
      <c r="T21" s="773" t="s">
        <v>17</v>
      </c>
      <c r="U21" s="774">
        <f>H21</f>
        <v>100</v>
      </c>
      <c r="V21" s="773" t="s">
        <v>17</v>
      </c>
      <c r="W21" s="774">
        <f>J21</f>
        <v>100</v>
      </c>
      <c r="X21" s="1809"/>
      <c r="Y21" s="3236"/>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34"/>
      <c r="Q22" s="1806"/>
      <c r="R22" s="773"/>
      <c r="S22" s="774"/>
      <c r="T22" s="773"/>
      <c r="U22" s="774"/>
      <c r="V22" s="773"/>
      <c r="W22" s="774"/>
      <c r="X22" s="1809"/>
      <c r="Y22" s="3236"/>
      <c r="Z22" s="1810"/>
      <c r="AA22" s="1807">
        <v>1</v>
      </c>
      <c r="AB22" s="1807">
        <v>1</v>
      </c>
      <c r="AC22" s="1807">
        <v>1</v>
      </c>
    </row>
    <row r="23" spans="1:29" ht="138">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34"/>
      <c r="Q23" s="1806" t="str">
        <f>B23</f>
        <v>自然及人文环境</v>
      </c>
      <c r="R23" s="773" t="s">
        <v>17</v>
      </c>
      <c r="S23" s="774">
        <f>F23</f>
        <v>100</v>
      </c>
      <c r="T23" s="773" t="s">
        <v>17</v>
      </c>
      <c r="U23" s="774">
        <f>H23</f>
        <v>100</v>
      </c>
      <c r="V23" s="773" t="s">
        <v>17</v>
      </c>
      <c r="W23" s="774">
        <f>J23</f>
        <v>100</v>
      </c>
      <c r="X23" s="1809"/>
      <c r="Y23" s="3236"/>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34"/>
      <c r="Q24" s="1806"/>
      <c r="R24" s="773"/>
      <c r="S24" s="774"/>
      <c r="T24" s="773"/>
      <c r="U24" s="774"/>
      <c r="V24" s="773"/>
      <c r="W24" s="774"/>
      <c r="X24" s="1809"/>
      <c r="Y24" s="3236"/>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34"/>
      <c r="Q25" s="1806" t="str">
        <f t="shared" ref="Q25:Q46" si="11">B25</f>
        <v>临街状况</v>
      </c>
      <c r="R25" s="773" t="s">
        <v>17</v>
      </c>
      <c r="S25" s="774">
        <f>F25</f>
        <v>100</v>
      </c>
      <c r="T25" s="773" t="s">
        <v>17</v>
      </c>
      <c r="U25" s="774">
        <f>H25</f>
        <v>100</v>
      </c>
      <c r="V25" s="773" t="s">
        <v>17</v>
      </c>
      <c r="W25" s="774">
        <f>J25</f>
        <v>100</v>
      </c>
      <c r="X25" s="1809"/>
      <c r="Y25" s="3236"/>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34"/>
      <c r="Q26" s="1806" t="str">
        <f t="shared" si="11"/>
        <v>平面位置/可视性</v>
      </c>
      <c r="R26" s="773" t="s">
        <v>17</v>
      </c>
      <c r="S26" s="774">
        <f>F26</f>
        <v>100</v>
      </c>
      <c r="T26" s="773" t="s">
        <v>17</v>
      </c>
      <c r="U26" s="774">
        <f>H26</f>
        <v>100</v>
      </c>
      <c r="V26" s="773" t="s">
        <v>17</v>
      </c>
      <c r="W26" s="774">
        <f>J26</f>
        <v>100</v>
      </c>
      <c r="X26" s="1809"/>
      <c r="Y26" s="3236"/>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34"/>
      <c r="Q27" s="1791" t="str">
        <f t="shared" si="11"/>
        <v>人流量</v>
      </c>
      <c r="R27" s="769" t="s">
        <v>17</v>
      </c>
      <c r="S27" s="770">
        <f>F27</f>
        <v>100</v>
      </c>
      <c r="T27" s="769" t="s">
        <v>17</v>
      </c>
      <c r="U27" s="770">
        <f>H27</f>
        <v>100</v>
      </c>
      <c r="V27" s="769" t="s">
        <v>17</v>
      </c>
      <c r="W27" s="770">
        <f>J27</f>
        <v>100</v>
      </c>
      <c r="X27" s="771"/>
      <c r="Y27" s="3236"/>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34"/>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36"/>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34"/>
      <c r="Q29" s="1806">
        <f t="shared" si="11"/>
        <v>111</v>
      </c>
      <c r="R29" s="773" t="s">
        <v>17</v>
      </c>
      <c r="S29" s="774">
        <f t="shared" si="12"/>
        <v>100</v>
      </c>
      <c r="T29" s="773" t="s">
        <v>17</v>
      </c>
      <c r="U29" s="774">
        <f t="shared" si="13"/>
        <v>100</v>
      </c>
      <c r="V29" s="773" t="s">
        <v>17</v>
      </c>
      <c r="W29" s="774">
        <f t="shared" si="14"/>
        <v>100</v>
      </c>
      <c r="X29" s="1809"/>
      <c r="Y29" s="3236"/>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34"/>
      <c r="Q30" s="1806">
        <f t="shared" si="11"/>
        <v>111</v>
      </c>
      <c r="R30" s="773" t="s">
        <v>17</v>
      </c>
      <c r="S30" s="774">
        <f t="shared" si="12"/>
        <v>100</v>
      </c>
      <c r="T30" s="773" t="s">
        <v>17</v>
      </c>
      <c r="U30" s="774">
        <f t="shared" si="13"/>
        <v>100</v>
      </c>
      <c r="V30" s="773" t="s">
        <v>17</v>
      </c>
      <c r="W30" s="774">
        <f t="shared" si="14"/>
        <v>100</v>
      </c>
      <c r="X30" s="1809"/>
      <c r="Y30" s="3236"/>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34"/>
      <c r="Q31" s="1806">
        <f t="shared" si="11"/>
        <v>111</v>
      </c>
      <c r="R31" s="773" t="s">
        <v>17</v>
      </c>
      <c r="S31" s="774">
        <f t="shared" si="12"/>
        <v>100</v>
      </c>
      <c r="T31" s="773" t="s">
        <v>17</v>
      </c>
      <c r="U31" s="774">
        <f t="shared" si="13"/>
        <v>100</v>
      </c>
      <c r="V31" s="773" t="s">
        <v>17</v>
      </c>
      <c r="W31" s="774">
        <f t="shared" si="14"/>
        <v>100</v>
      </c>
      <c r="X31" s="1809"/>
      <c r="Y31" s="3236"/>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37" t="s">
        <v>2564</v>
      </c>
      <c r="Q32" s="1806" t="str">
        <f t="shared" si="11"/>
        <v>商业类型</v>
      </c>
      <c r="R32" s="773" t="s">
        <v>17</v>
      </c>
      <c r="S32" s="774">
        <f t="shared" si="12"/>
        <v>100</v>
      </c>
      <c r="T32" s="773" t="s">
        <v>17</v>
      </c>
      <c r="U32" s="774">
        <f t="shared" si="13"/>
        <v>100</v>
      </c>
      <c r="V32" s="773" t="s">
        <v>17</v>
      </c>
      <c r="W32" s="774">
        <f t="shared" si="14"/>
        <v>100</v>
      </c>
      <c r="X32" s="1809"/>
      <c r="Y32" s="3240"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38"/>
      <c r="Q33" s="775" t="str">
        <f t="shared" si="11"/>
        <v>项目建筑规模</v>
      </c>
      <c r="R33" s="776" t="s">
        <v>17</v>
      </c>
      <c r="S33" s="777" t="e">
        <f t="shared" si="12"/>
        <v>#N/A</v>
      </c>
      <c r="T33" s="776" t="s">
        <v>17</v>
      </c>
      <c r="U33" s="777" t="e">
        <f t="shared" si="13"/>
        <v>#N/A</v>
      </c>
      <c r="V33" s="776" t="s">
        <v>17</v>
      </c>
      <c r="W33" s="777" t="e">
        <f t="shared" si="14"/>
        <v>#N/A</v>
      </c>
      <c r="X33" s="778"/>
      <c r="Y33" s="3240"/>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38"/>
      <c r="Q34" s="1806" t="str">
        <f t="shared" si="11"/>
        <v>建筑结构</v>
      </c>
      <c r="R34" s="773" t="s">
        <v>17</v>
      </c>
      <c r="S34" s="774">
        <f t="shared" si="12"/>
        <v>100</v>
      </c>
      <c r="T34" s="773" t="s">
        <v>17</v>
      </c>
      <c r="U34" s="774">
        <f t="shared" si="13"/>
        <v>100</v>
      </c>
      <c r="V34" s="773" t="s">
        <v>17</v>
      </c>
      <c r="W34" s="774">
        <f t="shared" si="14"/>
        <v>100</v>
      </c>
      <c r="X34" s="1809"/>
      <c r="Y34" s="3240"/>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38"/>
      <c r="Q35" s="1806" t="str">
        <f t="shared" si="11"/>
        <v>公共部分装修</v>
      </c>
      <c r="R35" s="773" t="s">
        <v>17</v>
      </c>
      <c r="S35" s="774">
        <f t="shared" si="12"/>
        <v>100</v>
      </c>
      <c r="T35" s="773" t="s">
        <v>17</v>
      </c>
      <c r="U35" s="774">
        <f t="shared" si="13"/>
        <v>100</v>
      </c>
      <c r="V35" s="773" t="s">
        <v>17</v>
      </c>
      <c r="W35" s="774">
        <f t="shared" si="14"/>
        <v>100</v>
      </c>
      <c r="X35" s="1809"/>
      <c r="Y35" s="3240"/>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38"/>
      <c r="Q36" s="1806" t="str">
        <f t="shared" si="11"/>
        <v>成新度</v>
      </c>
      <c r="R36" s="773" t="s">
        <v>17</v>
      </c>
      <c r="S36" s="774" t="e">
        <f t="shared" si="12"/>
        <v>#N/A</v>
      </c>
      <c r="T36" s="773" t="s">
        <v>17</v>
      </c>
      <c r="U36" s="774" t="e">
        <f t="shared" si="13"/>
        <v>#N/A</v>
      </c>
      <c r="V36" s="773" t="s">
        <v>17</v>
      </c>
      <c r="W36" s="774" t="e">
        <f t="shared" si="14"/>
        <v>#N/A</v>
      </c>
      <c r="X36" s="1809"/>
      <c r="Y36" s="3240"/>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38"/>
      <c r="Q37" s="1791" t="str">
        <f t="shared" si="11"/>
        <v>市政基础设施</v>
      </c>
      <c r="R37" s="769" t="s">
        <v>17</v>
      </c>
      <c r="S37" s="770">
        <f t="shared" si="12"/>
        <v>100</v>
      </c>
      <c r="T37" s="769" t="s">
        <v>17</v>
      </c>
      <c r="U37" s="770">
        <f t="shared" si="13"/>
        <v>100</v>
      </c>
      <c r="V37" s="769" t="s">
        <v>17</v>
      </c>
      <c r="W37" s="770">
        <f t="shared" si="14"/>
        <v>100</v>
      </c>
      <c r="X37" s="771"/>
      <c r="Y37" s="3240"/>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38" t="s">
        <v>2564</v>
      </c>
      <c r="Q38" s="1806" t="str">
        <f t="shared" si="11"/>
        <v>业态</v>
      </c>
      <c r="R38" s="773" t="s">
        <v>17</v>
      </c>
      <c r="S38" s="774">
        <f t="shared" si="12"/>
        <v>100</v>
      </c>
      <c r="T38" s="773" t="s">
        <v>17</v>
      </c>
      <c r="U38" s="774">
        <f t="shared" si="13"/>
        <v>100</v>
      </c>
      <c r="V38" s="773" t="s">
        <v>17</v>
      </c>
      <c r="W38" s="774">
        <f t="shared" si="14"/>
        <v>100</v>
      </c>
      <c r="X38" s="1809"/>
      <c r="Y38" s="3240"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38"/>
      <c r="Q39" s="1806" t="str">
        <f t="shared" si="11"/>
        <v>层高</v>
      </c>
      <c r="R39" s="773" t="s">
        <v>17</v>
      </c>
      <c r="S39" s="774">
        <f t="shared" si="12"/>
        <v>100</v>
      </c>
      <c r="T39" s="773" t="s">
        <v>17</v>
      </c>
      <c r="U39" s="774">
        <f t="shared" si="13"/>
        <v>100</v>
      </c>
      <c r="V39" s="773" t="s">
        <v>17</v>
      </c>
      <c r="W39" s="774">
        <f t="shared" si="14"/>
        <v>100</v>
      </c>
      <c r="X39" s="1809"/>
      <c r="Y39" s="3240"/>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38"/>
      <c r="Q40" s="1806" t="str">
        <f t="shared" si="11"/>
        <v>单套建筑面积</v>
      </c>
      <c r="R40" s="773" t="s">
        <v>17</v>
      </c>
      <c r="S40" s="774">
        <f t="shared" si="12"/>
        <v>100</v>
      </c>
      <c r="T40" s="773" t="s">
        <v>17</v>
      </c>
      <c r="U40" s="774">
        <f t="shared" si="13"/>
        <v>100</v>
      </c>
      <c r="V40" s="773" t="s">
        <v>17</v>
      </c>
      <c r="W40" s="774">
        <f t="shared" si="14"/>
        <v>100</v>
      </c>
      <c r="X40" s="1809"/>
      <c r="Y40" s="3240"/>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38"/>
      <c r="Q41" s="775" t="str">
        <f t="shared" si="11"/>
        <v>进深比</v>
      </c>
      <c r="R41" s="776" t="s">
        <v>17</v>
      </c>
      <c r="S41" s="777">
        <f t="shared" si="12"/>
        <v>100</v>
      </c>
      <c r="T41" s="776" t="s">
        <v>17</v>
      </c>
      <c r="U41" s="777">
        <f t="shared" si="13"/>
        <v>100</v>
      </c>
      <c r="V41" s="776" t="s">
        <v>17</v>
      </c>
      <c r="W41" s="777">
        <f t="shared" si="14"/>
        <v>100</v>
      </c>
      <c r="X41" s="778"/>
      <c r="Y41" s="3240"/>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38"/>
      <c r="Q42" s="1806" t="str">
        <f t="shared" si="11"/>
        <v>内部装修</v>
      </c>
      <c r="R42" s="773" t="s">
        <v>17</v>
      </c>
      <c r="S42" s="774">
        <f t="shared" si="12"/>
        <v>100</v>
      </c>
      <c r="T42" s="773" t="s">
        <v>17</v>
      </c>
      <c r="U42" s="774">
        <f t="shared" si="13"/>
        <v>100</v>
      </c>
      <c r="V42" s="773" t="s">
        <v>17</v>
      </c>
      <c r="W42" s="774">
        <f t="shared" si="14"/>
        <v>100</v>
      </c>
      <c r="X42" s="1809"/>
      <c r="Y42" s="3240"/>
      <c r="Z42" s="1810" t="str">
        <f t="shared" si="15"/>
        <v>内部装修</v>
      </c>
      <c r="AA42" s="1807">
        <f t="shared" si="3"/>
        <v>1</v>
      </c>
      <c r="AB42" s="1807">
        <f t="shared" si="4"/>
        <v>1</v>
      </c>
      <c r="AC42" s="1807">
        <f t="shared" si="5"/>
        <v>1</v>
      </c>
    </row>
    <row r="43" spans="1:29" ht="28.8">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38"/>
      <c r="Q43" s="1806" t="str">
        <f t="shared" si="11"/>
        <v>内部装修维护情况</v>
      </c>
      <c r="R43" s="773" t="s">
        <v>17</v>
      </c>
      <c r="S43" s="774">
        <f t="shared" si="12"/>
        <v>100</v>
      </c>
      <c r="T43" s="773" t="s">
        <v>17</v>
      </c>
      <c r="U43" s="774">
        <f t="shared" si="13"/>
        <v>100</v>
      </c>
      <c r="V43" s="773" t="s">
        <v>17</v>
      </c>
      <c r="W43" s="774">
        <f t="shared" si="14"/>
        <v>100</v>
      </c>
      <c r="X43" s="1809"/>
      <c r="Y43" s="3240"/>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38"/>
      <c r="Q44" s="1791">
        <f t="shared" si="11"/>
        <v>111</v>
      </c>
      <c r="R44" s="769" t="s">
        <v>17</v>
      </c>
      <c r="S44" s="770">
        <f t="shared" si="12"/>
        <v>100</v>
      </c>
      <c r="T44" s="769" t="s">
        <v>17</v>
      </c>
      <c r="U44" s="770">
        <f t="shared" si="13"/>
        <v>100</v>
      </c>
      <c r="V44" s="769" t="s">
        <v>17</v>
      </c>
      <c r="W44" s="770">
        <f t="shared" si="14"/>
        <v>100</v>
      </c>
      <c r="X44" s="771"/>
      <c r="Y44" s="3240"/>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38"/>
      <c r="Q45" s="1806">
        <f t="shared" si="11"/>
        <v>111</v>
      </c>
      <c r="R45" s="773" t="s">
        <v>17</v>
      </c>
      <c r="S45" s="774">
        <f t="shared" si="12"/>
        <v>100</v>
      </c>
      <c r="T45" s="773" t="s">
        <v>17</v>
      </c>
      <c r="U45" s="774">
        <f t="shared" si="13"/>
        <v>100</v>
      </c>
      <c r="V45" s="773" t="s">
        <v>17</v>
      </c>
      <c r="W45" s="774">
        <f t="shared" si="14"/>
        <v>100</v>
      </c>
      <c r="X45" s="1809"/>
      <c r="Y45" s="3240"/>
      <c r="Z45" s="1810">
        <f t="shared" si="15"/>
        <v>111</v>
      </c>
      <c r="AA45" s="1807">
        <f t="shared" si="3"/>
        <v>1</v>
      </c>
      <c r="AB45" s="1807">
        <f t="shared" si="4"/>
        <v>1</v>
      </c>
      <c r="AC45" s="1807">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39"/>
      <c r="Q46" s="1806">
        <f t="shared" si="11"/>
        <v>111</v>
      </c>
      <c r="R46" s="773" t="s">
        <v>17</v>
      </c>
      <c r="S46" s="774">
        <f t="shared" si="12"/>
        <v>100</v>
      </c>
      <c r="T46" s="773" t="s">
        <v>17</v>
      </c>
      <c r="U46" s="774">
        <f t="shared" si="13"/>
        <v>100</v>
      </c>
      <c r="V46" s="773" t="s">
        <v>17</v>
      </c>
      <c r="W46" s="774">
        <f t="shared" si="14"/>
        <v>100</v>
      </c>
      <c r="X46" s="1809"/>
      <c r="Y46" s="3241"/>
      <c r="Z46" s="1810">
        <f t="shared" si="15"/>
        <v>111</v>
      </c>
      <c r="AA46" s="1807">
        <f t="shared" si="3"/>
        <v>1</v>
      </c>
      <c r="AB46" s="1807">
        <f t="shared" si="4"/>
        <v>1</v>
      </c>
      <c r="AC46" s="1807">
        <f t="shared" si="5"/>
        <v>1</v>
      </c>
    </row>
    <row r="47" spans="1:29" ht="14.4">
      <c r="A47" s="478" t="s">
        <v>2576</v>
      </c>
      <c r="B47" s="479"/>
      <c r="C47" s="1403" t="s">
        <v>1</v>
      </c>
      <c r="D47" s="1404"/>
      <c r="E47" s="1405"/>
      <c r="F47" s="1406"/>
      <c r="G47" s="1407"/>
      <c r="H47" s="1408"/>
      <c r="I47" s="1405"/>
      <c r="J47" s="1408"/>
      <c r="K47" s="782"/>
      <c r="L47" s="1139"/>
      <c r="M47" s="1140"/>
      <c r="N47" s="1127"/>
      <c r="O47" s="1140"/>
      <c r="P47" s="3228" t="str">
        <f>A47</f>
        <v>成交单价（元/平方米）</v>
      </c>
      <c r="Q47" s="3228"/>
      <c r="R47" s="3262">
        <f>E47</f>
        <v>0</v>
      </c>
      <c r="S47" s="3262"/>
      <c r="T47" s="3262">
        <f>G47</f>
        <v>0</v>
      </c>
      <c r="U47" s="3262"/>
      <c r="V47" s="3262">
        <f>I47</f>
        <v>0</v>
      </c>
      <c r="W47" s="3262"/>
      <c r="X47" s="758"/>
      <c r="Y47" s="780"/>
      <c r="Z47" s="758"/>
      <c r="AA47" s="758"/>
      <c r="AB47" s="758"/>
      <c r="AC47" s="758"/>
    </row>
    <row r="48" spans="1:29" ht="1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 thickBot="1">
      <c r="A49" s="491" t="s">
        <v>2669</v>
      </c>
      <c r="B49" s="492"/>
      <c r="C49" s="1413" t="e">
        <f>R49</f>
        <v>#DIV/0!</v>
      </c>
      <c r="D49" s="1413"/>
      <c r="E49" s="1413"/>
      <c r="F49" s="1413"/>
      <c r="G49" s="1413"/>
      <c r="H49" s="1413"/>
      <c r="I49" s="1413"/>
      <c r="J49" s="1413"/>
      <c r="K49" s="784"/>
      <c r="L49" s="1139"/>
      <c r="M49" s="1140"/>
      <c r="N49" s="1127"/>
      <c r="O49" s="1140"/>
      <c r="P49" s="3279" t="str">
        <f>A49</f>
        <v>估价对象XX用房的比较价值（楼面单价，元/平方米）</v>
      </c>
      <c r="Q49" s="3280"/>
      <c r="R49" s="3281" t="e">
        <f>IF(F1="售价",ROUND(AVERAGE(R48:V48),0),ROUND(AVERAGE(R48:V48),1))</f>
        <v>#DIV/0!</v>
      </c>
      <c r="S49" s="3281"/>
      <c r="T49" s="3281"/>
      <c r="U49" s="3281"/>
      <c r="V49" s="3281"/>
      <c r="W49" s="328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2.2"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4.4">
      <c r="A58" s="504" t="s">
        <v>2547</v>
      </c>
      <c r="B58" s="505"/>
      <c r="C58" s="1570" t="str">
        <f>YEAR(C7)&amp;"-"&amp;MONTH(C7)</f>
        <v>2018-5</v>
      </c>
      <c r="D58" s="1571">
        <f>EDATE(C58,-1)</f>
        <v>43191</v>
      </c>
      <c r="E58" s="1571">
        <f t="shared" ref="E58:N58" si="16">EDATE(D58,-1)</f>
        <v>43160</v>
      </c>
      <c r="F58" s="1571">
        <f t="shared" si="16"/>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EDATE(N58,-1)</f>
        <v>42856</v>
      </c>
      <c r="P58" s="1566"/>
    </row>
    <row r="59" spans="1:29" s="116" customFormat="1">
      <c r="A59" s="508"/>
      <c r="B59" s="509"/>
      <c r="C59" s="1569">
        <v>100</v>
      </c>
      <c r="D59" s="511"/>
      <c r="E59" s="511"/>
      <c r="F59" s="511"/>
      <c r="G59" s="511"/>
      <c r="H59" s="511"/>
      <c r="I59" s="511"/>
      <c r="J59" s="511"/>
      <c r="K59" s="511"/>
      <c r="L59" s="511"/>
      <c r="M59" s="512"/>
      <c r="N59" s="511"/>
      <c r="O59" s="512"/>
      <c r="P59" s="2621"/>
    </row>
    <row r="60" spans="1:29" s="116" customFormat="1" ht="15" thickBot="1">
      <c r="A60" s="514" t="s">
        <v>2584</v>
      </c>
      <c r="B60" s="515"/>
      <c r="C60" s="516"/>
      <c r="D60" s="517"/>
      <c r="E60" s="517"/>
      <c r="F60" s="517"/>
      <c r="G60" s="517"/>
      <c r="H60" s="517"/>
      <c r="I60" s="517"/>
      <c r="J60" s="517"/>
      <c r="K60" s="517"/>
      <c r="L60" s="517"/>
      <c r="M60" s="518"/>
      <c r="N60" s="517"/>
      <c r="O60" s="518"/>
      <c r="P60" s="2621"/>
      <c r="Q60" s="503"/>
    </row>
    <row r="61" spans="1:29" s="116" customFormat="1" ht="14.4">
      <c r="A61" s="520" t="s">
        <v>2549</v>
      </c>
      <c r="B61" s="509"/>
      <c r="C61" s="521" t="s">
        <v>2651</v>
      </c>
      <c r="D61" s="522"/>
      <c r="E61" s="522"/>
      <c r="F61" s="522"/>
      <c r="G61" s="522"/>
      <c r="H61" s="522"/>
      <c r="I61" s="522"/>
      <c r="J61" s="522"/>
      <c r="K61" s="522"/>
      <c r="L61" s="523"/>
      <c r="M61" s="524"/>
      <c r="N61" s="1147"/>
      <c r="O61" s="1147"/>
      <c r="P61" s="2622"/>
      <c r="Q61" s="503"/>
    </row>
    <row r="62" spans="1:29" s="116" customFormat="1" ht="14.4" thickBot="1">
      <c r="A62" s="520"/>
      <c r="B62" s="509"/>
      <c r="C62" s="510">
        <v>100</v>
      </c>
      <c r="D62" s="511"/>
      <c r="E62" s="511"/>
      <c r="F62" s="511"/>
      <c r="G62" s="511"/>
      <c r="H62" s="511"/>
      <c r="I62" s="511"/>
      <c r="J62" s="511"/>
      <c r="K62" s="511"/>
      <c r="L62" s="511"/>
      <c r="M62" s="513"/>
      <c r="N62" s="1147"/>
      <c r="O62" s="1147"/>
      <c r="P62" s="2621"/>
      <c r="Q62" s="503"/>
    </row>
    <row r="63" spans="1:29" ht="14.4">
      <c r="A63" s="526" t="s">
        <v>2587</v>
      </c>
      <c r="B63" s="527" t="s">
        <v>2553</v>
      </c>
      <c r="C63" s="528">
        <f>C9</f>
        <v>0</v>
      </c>
      <c r="D63" s="529"/>
      <c r="E63" s="529"/>
      <c r="F63" s="529"/>
      <c r="G63" s="529"/>
      <c r="H63" s="529"/>
      <c r="I63" s="529"/>
      <c r="J63" s="529"/>
      <c r="K63" s="530"/>
      <c r="L63" s="531"/>
      <c r="M63" s="532"/>
      <c r="N63" s="1148"/>
      <c r="O63" s="1148"/>
      <c r="P63" s="2623"/>
      <c r="Q63" s="503"/>
    </row>
    <row r="64" spans="1:29" ht="14.4" thickBot="1">
      <c r="A64" s="533"/>
      <c r="B64" s="534"/>
      <c r="C64" s="535">
        <v>100</v>
      </c>
      <c r="D64" s="535"/>
      <c r="E64" s="535"/>
      <c r="F64" s="535"/>
      <c r="G64" s="535"/>
      <c r="H64" s="535"/>
      <c r="I64" s="535"/>
      <c r="J64" s="535"/>
      <c r="K64" s="535"/>
      <c r="L64" s="535"/>
      <c r="M64" s="536"/>
      <c r="N64" s="1149"/>
      <c r="O64" s="1149"/>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4.4" thickTop="1">
      <c r="A70" s="552"/>
      <c r="B70" s="537">
        <f>B12</f>
        <v>111</v>
      </c>
      <c r="C70" s="553"/>
      <c r="D70" s="553"/>
      <c r="E70" s="553"/>
      <c r="F70" s="553"/>
      <c r="G70" s="553"/>
      <c r="H70" s="554"/>
      <c r="I70" s="554"/>
      <c r="J70" s="554"/>
      <c r="K70" s="554"/>
      <c r="L70" s="555"/>
      <c r="M70" s="556"/>
      <c r="N70" s="1150"/>
      <c r="O70" s="1150"/>
      <c r="P70" s="2624"/>
      <c r="Q70" s="558"/>
    </row>
    <row r="71" spans="1:17" s="470" customFormat="1" ht="14.4" thickBot="1">
      <c r="A71" s="552"/>
      <c r="B71" s="542"/>
      <c r="C71" s="559"/>
      <c r="D71" s="535"/>
      <c r="E71" s="535"/>
      <c r="F71" s="535"/>
      <c r="G71" s="535"/>
      <c r="H71" s="535"/>
      <c r="I71" s="535"/>
      <c r="J71" s="535"/>
      <c r="K71" s="535"/>
      <c r="L71" s="535"/>
      <c r="M71" s="536"/>
      <c r="N71" s="1149"/>
      <c r="O71" s="1149"/>
      <c r="P71" s="2624"/>
      <c r="Q71" s="558"/>
    </row>
    <row r="72" spans="1:17" s="470" customFormat="1" ht="14.4" thickTop="1">
      <c r="A72" s="552"/>
      <c r="B72" s="537">
        <f>B13</f>
        <v>111</v>
      </c>
      <c r="C72" s="553"/>
      <c r="D72" s="553"/>
      <c r="E72" s="553"/>
      <c r="F72" s="553"/>
      <c r="G72" s="553"/>
      <c r="H72" s="554"/>
      <c r="I72" s="554"/>
      <c r="J72" s="554"/>
      <c r="K72" s="554"/>
      <c r="L72" s="555"/>
      <c r="M72" s="556"/>
      <c r="N72" s="1150"/>
      <c r="O72" s="1150"/>
      <c r="P72" s="2625"/>
      <c r="Q72" s="560"/>
    </row>
    <row r="73" spans="1:17" s="470" customFormat="1" ht="14.4" thickBot="1">
      <c r="A73" s="552"/>
      <c r="B73" s="542"/>
      <c r="C73" s="559"/>
      <c r="D73" s="535"/>
      <c r="E73" s="535"/>
      <c r="F73" s="535"/>
      <c r="G73" s="559"/>
      <c r="H73" s="561"/>
      <c r="I73" s="561"/>
      <c r="J73" s="561"/>
      <c r="K73" s="561"/>
      <c r="L73" s="561"/>
      <c r="M73" s="562"/>
      <c r="N73" s="1150"/>
      <c r="O73" s="1150"/>
      <c r="P73" s="2624"/>
      <c r="Q73" s="558"/>
    </row>
    <row r="74" spans="1:17" s="470" customFormat="1" ht="14.4" thickTop="1">
      <c r="A74" s="552"/>
      <c r="B74" s="545">
        <f>B14</f>
        <v>111</v>
      </c>
      <c r="C74" s="553"/>
      <c r="D74" s="553"/>
      <c r="E74" s="553"/>
      <c r="F74" s="553"/>
      <c r="G74" s="522"/>
      <c r="H74" s="563"/>
      <c r="I74" s="563"/>
      <c r="J74" s="563"/>
      <c r="K74" s="563"/>
      <c r="L74" s="564"/>
      <c r="M74" s="565"/>
      <c r="N74" s="1150"/>
      <c r="O74" s="1150"/>
      <c r="P74" s="2626"/>
      <c r="Q74" s="558"/>
    </row>
    <row r="75" spans="1:17" s="470" customFormat="1" ht="14.4" thickBot="1">
      <c r="A75" s="567"/>
      <c r="B75" s="568"/>
      <c r="C75" s="569"/>
      <c r="D75" s="569"/>
      <c r="E75" s="569"/>
      <c r="F75" s="569"/>
      <c r="G75" s="569"/>
      <c r="H75" s="570"/>
      <c r="I75" s="570"/>
      <c r="J75" s="570"/>
      <c r="K75" s="570"/>
      <c r="L75" s="570"/>
      <c r="M75" s="571"/>
      <c r="N75" s="1150"/>
      <c r="O75" s="1150"/>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 thickTop="1">
      <c r="A86" s="578"/>
      <c r="B86" s="537" t="s">
        <v>2679</v>
      </c>
      <c r="C86" s="553"/>
      <c r="D86" s="553"/>
      <c r="E86" s="553"/>
      <c r="F86" s="553"/>
      <c r="G86" s="553"/>
      <c r="H86" s="553"/>
      <c r="I86" s="553"/>
      <c r="J86" s="553"/>
      <c r="K86" s="553"/>
      <c r="L86" s="579"/>
      <c r="M86" s="580"/>
      <c r="N86" s="1147"/>
      <c r="O86" s="1147"/>
      <c r="P86" s="2623"/>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4.4"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4.4" thickBot="1">
      <c r="A89" s="578"/>
      <c r="B89" s="542"/>
      <c r="C89" s="559"/>
      <c r="D89" s="535"/>
      <c r="E89" s="535"/>
      <c r="F89" s="535"/>
      <c r="G89" s="535"/>
      <c r="H89" s="535"/>
      <c r="I89" s="535"/>
      <c r="J89" s="535"/>
      <c r="K89" s="535"/>
      <c r="L89" s="535"/>
      <c r="M89" s="535"/>
      <c r="N89" s="1149"/>
      <c r="O89" s="1149"/>
      <c r="P89" s="2623"/>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4.4" thickTop="1">
      <c r="A92" s="533"/>
      <c r="B92" s="537" t="str">
        <f>B28</f>
        <v>楼层</v>
      </c>
      <c r="C92" s="553"/>
      <c r="D92" s="553"/>
      <c r="E92" s="553"/>
      <c r="F92" s="553"/>
      <c r="G92" s="553"/>
      <c r="H92" s="553"/>
      <c r="I92" s="553"/>
      <c r="J92" s="553"/>
      <c r="K92" s="553"/>
      <c r="L92" s="579"/>
      <c r="M92" s="580"/>
      <c r="N92" s="1148"/>
      <c r="O92" s="1148"/>
      <c r="P92" s="2623"/>
      <c r="Q92" s="503"/>
    </row>
    <row r="93" spans="1:17" ht="14.4" thickBot="1">
      <c r="A93" s="533"/>
      <c r="B93" s="542"/>
      <c r="C93" s="535"/>
      <c r="D93" s="535"/>
      <c r="E93" s="535"/>
      <c r="F93" s="535"/>
      <c r="G93" s="535"/>
      <c r="H93" s="535"/>
      <c r="I93" s="535"/>
      <c r="J93" s="535"/>
      <c r="K93" s="535"/>
      <c r="L93" s="535"/>
      <c r="M93" s="536"/>
      <c r="N93" s="1149"/>
      <c r="O93" s="1149"/>
      <c r="P93" s="2623"/>
      <c r="Q93" s="503"/>
    </row>
    <row r="94" spans="1:17" ht="14.4" thickTop="1">
      <c r="A94" s="533"/>
      <c r="B94" s="537">
        <f>B29</f>
        <v>111</v>
      </c>
      <c r="C94" s="553"/>
      <c r="D94" s="553"/>
      <c r="E94" s="553"/>
      <c r="F94" s="553"/>
      <c r="G94" s="582"/>
      <c r="H94" s="582"/>
      <c r="I94" s="582"/>
      <c r="J94" s="582"/>
      <c r="K94" s="583"/>
      <c r="L94" s="584"/>
      <c r="M94" s="585"/>
      <c r="N94" s="1148"/>
      <c r="O94" s="1148"/>
      <c r="P94" s="2623"/>
      <c r="Q94" s="503"/>
    </row>
    <row r="95" spans="1:17" ht="14.4" thickBot="1">
      <c r="A95" s="533"/>
      <c r="B95" s="542"/>
      <c r="C95" s="559"/>
      <c r="D95" s="535"/>
      <c r="E95" s="535"/>
      <c r="F95" s="535"/>
      <c r="G95" s="535"/>
      <c r="H95" s="535"/>
      <c r="I95" s="535"/>
      <c r="J95" s="535"/>
      <c r="K95" s="535"/>
      <c r="L95" s="535"/>
      <c r="M95" s="536"/>
      <c r="N95" s="1149"/>
      <c r="O95" s="1149"/>
      <c r="P95" s="2623"/>
      <c r="Q95" s="503"/>
    </row>
    <row r="96" spans="1:17" ht="14.4" thickTop="1">
      <c r="A96" s="533"/>
      <c r="B96" s="537">
        <f>B30</f>
        <v>111</v>
      </c>
      <c r="C96" s="553"/>
      <c r="D96" s="553"/>
      <c r="E96" s="553"/>
      <c r="F96" s="553"/>
      <c r="G96" s="582"/>
      <c r="H96" s="582"/>
      <c r="I96" s="582"/>
      <c r="J96" s="582"/>
      <c r="K96" s="583"/>
      <c r="L96" s="584"/>
      <c r="M96" s="585"/>
      <c r="N96" s="1148"/>
      <c r="O96" s="1148"/>
      <c r="P96" s="2623"/>
      <c r="Q96" s="503"/>
    </row>
    <row r="97" spans="1:17" ht="14.4" thickBot="1">
      <c r="A97" s="533"/>
      <c r="B97" s="542"/>
      <c r="C97" s="559"/>
      <c r="D97" s="535"/>
      <c r="E97" s="535"/>
      <c r="F97" s="535"/>
      <c r="G97" s="535"/>
      <c r="H97" s="535"/>
      <c r="I97" s="535"/>
      <c r="J97" s="535"/>
      <c r="K97" s="535"/>
      <c r="L97" s="535"/>
      <c r="M97" s="536"/>
      <c r="N97" s="1149"/>
      <c r="O97" s="1149"/>
      <c r="P97" s="2623"/>
      <c r="Q97" s="503"/>
    </row>
    <row r="98" spans="1:17" ht="14.4" thickTop="1">
      <c r="A98" s="533"/>
      <c r="B98" s="545">
        <f>B31</f>
        <v>111</v>
      </c>
      <c r="C98" s="553"/>
      <c r="D98" s="553"/>
      <c r="E98" s="553"/>
      <c r="F98" s="553"/>
      <c r="G98" s="586"/>
      <c r="H98" s="586"/>
      <c r="I98" s="586"/>
      <c r="J98" s="586"/>
      <c r="K98" s="587"/>
      <c r="L98" s="588"/>
      <c r="M98" s="589"/>
      <c r="N98" s="1148"/>
      <c r="O98" s="1148"/>
      <c r="P98" s="2623"/>
      <c r="Q98" s="503"/>
    </row>
    <row r="99" spans="1:17" ht="14.4" thickBot="1">
      <c r="A99" s="2629"/>
      <c r="B99" s="568"/>
      <c r="C99" s="569"/>
      <c r="D99" s="569"/>
      <c r="E99" s="569"/>
      <c r="F99" s="569"/>
      <c r="G99" s="590"/>
      <c r="H99" s="590"/>
      <c r="I99" s="590"/>
      <c r="J99" s="590"/>
      <c r="K99" s="590"/>
      <c r="L99" s="590"/>
      <c r="M99" s="591"/>
      <c r="N99" s="1149"/>
      <c r="O99" s="1149"/>
      <c r="P99" s="2623"/>
      <c r="Q99" s="503"/>
    </row>
    <row r="100" spans="1:17" ht="14.4">
      <c r="A100" s="526" t="s">
        <v>2562</v>
      </c>
      <c r="B100" s="527" t="s">
        <v>2680</v>
      </c>
      <c r="C100" s="529"/>
      <c r="D100" s="529"/>
      <c r="E100" s="529"/>
      <c r="F100" s="529"/>
      <c r="G100" s="529"/>
      <c r="H100" s="529"/>
      <c r="I100" s="529"/>
      <c r="J100" s="529"/>
      <c r="K100" s="530"/>
      <c r="L100" s="531"/>
      <c r="M100" s="532"/>
      <c r="N100" s="1148"/>
      <c r="O100" s="1148"/>
      <c r="P100" s="262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4.4"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4"/>
      <c r="Q127" s="558"/>
    </row>
    <row r="128" spans="1:17" ht="14.4" thickTop="1">
      <c r="A128" s="598"/>
      <c r="B128" s="537">
        <f>B45</f>
        <v>111</v>
      </c>
      <c r="C128" s="553"/>
      <c r="D128" s="553"/>
      <c r="E128" s="553"/>
      <c r="F128" s="553"/>
      <c r="G128" s="582"/>
      <c r="H128" s="582"/>
      <c r="I128" s="582"/>
      <c r="J128" s="582"/>
      <c r="K128" s="583"/>
      <c r="L128" s="584"/>
      <c r="M128" s="585"/>
      <c r="N128" s="1148"/>
      <c r="O128" s="1148"/>
      <c r="P128" s="2623"/>
      <c r="Q128" s="503"/>
    </row>
    <row r="129" spans="1:17" ht="14.4" thickBot="1">
      <c r="A129" s="533"/>
      <c r="B129" s="542"/>
      <c r="C129" s="559"/>
      <c r="D129" s="535"/>
      <c r="E129" s="535"/>
      <c r="F129" s="535"/>
      <c r="G129" s="535"/>
      <c r="H129" s="535"/>
      <c r="I129" s="535"/>
      <c r="J129" s="535"/>
      <c r="K129" s="535"/>
      <c r="L129" s="535"/>
      <c r="M129" s="536"/>
      <c r="N129" s="1149"/>
      <c r="O129" s="1149"/>
      <c r="P129" s="2623"/>
      <c r="Q129" s="503"/>
    </row>
    <row r="130" spans="1:17" ht="14.4" thickTop="1">
      <c r="A130" s="598"/>
      <c r="B130" s="545">
        <f>B46</f>
        <v>111</v>
      </c>
      <c r="C130" s="553"/>
      <c r="D130" s="553"/>
      <c r="E130" s="553"/>
      <c r="F130" s="553"/>
      <c r="G130" s="586"/>
      <c r="H130" s="586"/>
      <c r="I130" s="586"/>
      <c r="J130" s="586"/>
      <c r="K130" s="522"/>
      <c r="L130" s="523"/>
      <c r="M130" s="589"/>
      <c r="N130" s="1148"/>
      <c r="O130" s="1148"/>
      <c r="P130" s="2623"/>
      <c r="Q130" s="503"/>
    </row>
    <row r="131" spans="1:17" ht="14.4"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6" zoomScaleNormal="100" zoomScaleSheetLayoutView="100" zoomScalePageLayoutView="80" workbookViewId="0">
      <selection activeCell="I118" sqref="B118:I118"/>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48</v>
      </c>
      <c r="D1" s="2409"/>
      <c r="E1" s="2409"/>
      <c r="F1" s="2411" t="s">
        <v>2117</v>
      </c>
      <c r="G1" s="2063" t="s">
        <v>3388</v>
      </c>
      <c r="H1" s="2412" t="str">
        <f>IF(G1="现房","——","估价对象范围")</f>
        <v>——</v>
      </c>
      <c r="I1" s="2413"/>
    </row>
    <row r="2" spans="1:12" ht="21.75" customHeight="1" thickBot="1">
      <c r="A2" s="3159" t="str">
        <f>项目基本情况!S2</f>
        <v>北京市大兴区黄村镇房地产</v>
      </c>
      <c r="B2" s="3160"/>
      <c r="C2" s="3160"/>
      <c r="D2" s="3160"/>
      <c r="E2" s="3160"/>
      <c r="F2" s="3160"/>
      <c r="G2" s="3160"/>
      <c r="H2" s="3160"/>
      <c r="I2" s="3161"/>
    </row>
    <row r="3" spans="1:12" ht="13.2">
      <c r="A3" s="3163" t="s">
        <v>2118</v>
      </c>
      <c r="B3" s="3164"/>
      <c r="C3" s="3164"/>
      <c r="D3" s="3164"/>
      <c r="E3" s="3164"/>
      <c r="F3" s="3164"/>
      <c r="G3" s="3164"/>
      <c r="H3" s="3164"/>
      <c r="I3" s="3164"/>
    </row>
    <row r="4" spans="1:12" ht="14.4">
      <c r="A4" s="2416" t="s">
        <v>2119</v>
      </c>
      <c r="B4" s="2417" t="s">
        <v>2120</v>
      </c>
      <c r="C4" s="2418" t="s">
        <v>3381</v>
      </c>
      <c r="D4" s="2418" t="s">
        <v>3375</v>
      </c>
      <c r="E4" s="3156" t="s">
        <v>2121</v>
      </c>
      <c r="F4" s="3157"/>
      <c r="G4" s="3157"/>
      <c r="H4" s="3157"/>
      <c r="I4" s="3165"/>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3.2">
      <c r="A5" s="3139" t="s">
        <v>2122</v>
      </c>
      <c r="B5" s="3077">
        <v>25</v>
      </c>
      <c r="C5" s="3142"/>
      <c r="D5" s="3162"/>
      <c r="E5" s="139" t="s">
        <v>2123</v>
      </c>
      <c r="F5" s="2420"/>
      <c r="G5" s="2420"/>
      <c r="H5" s="2420"/>
      <c r="I5" s="1827"/>
    </row>
    <row r="6" spans="1:12" ht="13.2">
      <c r="A6" s="3139"/>
      <c r="B6" s="3077"/>
      <c r="C6" s="3143"/>
      <c r="D6" s="3162"/>
      <c r="E6" s="139" t="s">
        <v>2124</v>
      </c>
      <c r="F6" s="2420"/>
      <c r="G6" s="2420"/>
      <c r="H6" s="2420"/>
      <c r="I6" s="1827"/>
    </row>
    <row r="7" spans="1:12" ht="13.2">
      <c r="A7" s="3139"/>
      <c r="B7" s="3077"/>
      <c r="C7" s="3144"/>
      <c r="D7" s="3162"/>
      <c r="E7" s="139" t="s">
        <v>2125</v>
      </c>
      <c r="F7" s="2420"/>
      <c r="G7" s="2420"/>
      <c r="H7" s="2420"/>
      <c r="I7" s="1827"/>
    </row>
    <row r="8" spans="1:12" ht="13.2">
      <c r="A8" s="3139" t="s">
        <v>2126</v>
      </c>
      <c r="B8" s="3077">
        <v>15</v>
      </c>
      <c r="C8" s="3142"/>
      <c r="D8" s="3162"/>
      <c r="E8" s="139" t="s">
        <v>2127</v>
      </c>
      <c r="F8" s="2420"/>
      <c r="G8" s="2420"/>
      <c r="H8" s="2420"/>
      <c r="I8" s="1827"/>
    </row>
    <row r="9" spans="1:12" ht="13.2">
      <c r="A9" s="3139"/>
      <c r="B9" s="3077"/>
      <c r="C9" s="3144"/>
      <c r="D9" s="3162"/>
      <c r="E9" s="139" t="s">
        <v>2128</v>
      </c>
      <c r="F9" s="2420"/>
      <c r="G9" s="2420"/>
      <c r="H9" s="2420"/>
      <c r="I9" s="1827"/>
    </row>
    <row r="10" spans="1:12" ht="13.2">
      <c r="A10" s="3139" t="s">
        <v>2129</v>
      </c>
      <c r="B10" s="3077">
        <v>15</v>
      </c>
      <c r="C10" s="3142"/>
      <c r="D10" s="3162"/>
      <c r="E10" s="139" t="s">
        <v>2130</v>
      </c>
      <c r="F10" s="2420"/>
      <c r="G10" s="2420"/>
      <c r="H10" s="2420"/>
      <c r="I10" s="1827"/>
    </row>
    <row r="11" spans="1:12" ht="13.2">
      <c r="A11" s="3139"/>
      <c r="B11" s="3077"/>
      <c r="C11" s="3144"/>
      <c r="D11" s="3162"/>
      <c r="E11" s="139" t="s">
        <v>2131</v>
      </c>
      <c r="F11" s="2420"/>
      <c r="G11" s="2420"/>
      <c r="H11" s="2420"/>
      <c r="I11" s="1827"/>
    </row>
    <row r="12" spans="1:12" ht="13.2">
      <c r="A12" s="3139" t="s">
        <v>2132</v>
      </c>
      <c r="B12" s="3077">
        <v>15</v>
      </c>
      <c r="C12" s="3142"/>
      <c r="D12" s="3162"/>
      <c r="E12" s="139" t="s">
        <v>2133</v>
      </c>
      <c r="F12" s="2420"/>
      <c r="G12" s="2420"/>
      <c r="H12" s="2420"/>
      <c r="I12" s="1827"/>
    </row>
    <row r="13" spans="1:12" ht="13.2">
      <c r="A13" s="3139"/>
      <c r="B13" s="3077"/>
      <c r="C13" s="3144"/>
      <c r="D13" s="3162"/>
      <c r="E13" s="139" t="s">
        <v>2134</v>
      </c>
      <c r="F13" s="2420"/>
      <c r="G13" s="2420"/>
      <c r="H13" s="2420"/>
      <c r="I13" s="1827"/>
    </row>
    <row r="14" spans="1:12" ht="13.2">
      <c r="A14" s="3139" t="s">
        <v>2135</v>
      </c>
      <c r="B14" s="3077">
        <v>30</v>
      </c>
      <c r="C14" s="3142">
        <v>4</v>
      </c>
      <c r="D14" s="3162">
        <v>6</v>
      </c>
      <c r="E14" s="139" t="s">
        <v>2136</v>
      </c>
      <c r="F14" s="2420"/>
      <c r="G14" s="2420"/>
      <c r="H14" s="2420"/>
      <c r="I14" s="1827"/>
    </row>
    <row r="15" spans="1:12" ht="13.2">
      <c r="A15" s="3139"/>
      <c r="B15" s="3077"/>
      <c r="C15" s="3143"/>
      <c r="D15" s="3162"/>
      <c r="E15" s="139" t="s">
        <v>2137</v>
      </c>
      <c r="F15" s="2420"/>
      <c r="G15" s="2420"/>
      <c r="H15" s="2420"/>
      <c r="I15" s="1827"/>
    </row>
    <row r="16" spans="1:12" ht="13.2">
      <c r="A16" s="3139"/>
      <c r="B16" s="3077"/>
      <c r="C16" s="3144"/>
      <c r="D16" s="3162"/>
      <c r="E16" s="139" t="s">
        <v>2138</v>
      </c>
      <c r="F16" s="2420"/>
      <c r="G16" s="2420"/>
      <c r="H16" s="2420"/>
      <c r="I16" s="1827"/>
    </row>
    <row r="17" spans="1:35" ht="14.4">
      <c r="A17" s="2421" t="s">
        <v>2139</v>
      </c>
      <c r="B17" s="63"/>
      <c r="C17" s="140">
        <f>SUM(C5:C16)</f>
        <v>4</v>
      </c>
      <c r="D17" s="140">
        <f>SUM(D5:D16)</f>
        <v>6</v>
      </c>
      <c r="E17" s="137"/>
      <c r="F17" s="137"/>
      <c r="G17" s="137"/>
      <c r="H17" s="137"/>
      <c r="I17" s="137"/>
      <c r="K17" s="2419"/>
      <c r="L17" s="2422" t="s">
        <v>2140</v>
      </c>
      <c r="M17" s="2422" t="s">
        <v>2141</v>
      </c>
    </row>
    <row r="18" spans="1:35" ht="1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4184.2899999999991</v>
      </c>
      <c r="M18" s="2419">
        <f>IF(C1="",'数据-汇总表'!E3,SUMIF(项目类型,C1,'数据-汇总表'!E17:E26))</f>
        <v>4184.2899999999991</v>
      </c>
    </row>
    <row r="19" spans="1:35" ht="14.4">
      <c r="A19" s="2425" t="s">
        <v>2144</v>
      </c>
      <c r="B19" s="2426" t="s">
        <v>2145</v>
      </c>
      <c r="C19" s="142">
        <f ca="1">SUMIF(INDIRECT("'"&amp;C4&amp;"'"&amp;"!A:A"),'结果表（地下车库）'!B19,INDIRECT("'"&amp;C4&amp;"'"&amp;"!B:B"))</f>
        <v>2042</v>
      </c>
      <c r="D19" s="143">
        <f ca="1">SUMIF(INDIRECT("'"&amp;D4&amp;"'"&amp;"!A:A"),'结果表（地下车库）'!B19,INDIRECT("'"&amp;D4&amp;"'"&amp;"!B:B"))</f>
        <v>5809</v>
      </c>
      <c r="E19" s="2425" t="s">
        <v>2146</v>
      </c>
      <c r="F19" s="2426" t="s">
        <v>2145</v>
      </c>
      <c r="G19" s="144">
        <f ca="1">ROUND(C19*$C$18+D19*$D$18,0)</f>
        <v>4302</v>
      </c>
      <c r="H19" s="2427" t="s">
        <v>2147</v>
      </c>
      <c r="I19" s="137"/>
      <c r="K19" s="2419" t="s">
        <v>2148</v>
      </c>
      <c r="L19" s="2419">
        <f>IF(C1="",'数据-汇总表'!D3,SUMIF(项目类型,C1,'数据-汇总表'!D17:D26)+SUMIF(项目类型,C1,'数据-汇总表'!H17:H27))</f>
        <v>709.36</v>
      </c>
      <c r="M19" s="2419">
        <f>IF(C1="",'数据-汇总表'!D3,SUMIF(项目类型,C1,'数据-汇总表'!D17:D26))</f>
        <v>709.36</v>
      </c>
    </row>
    <row r="20" spans="1:35" ht="14.4">
      <c r="A20" s="2428"/>
      <c r="B20" s="1243" t="s">
        <v>2149</v>
      </c>
      <c r="C20" s="145">
        <f ca="1">SUMIF(INDIRECT("'"&amp;C4&amp;"'"&amp;"!A:A"),'结果表（地下车库）'!B20,INDIRECT("'"&amp;C4&amp;"'"&amp;"!B:B"))</f>
        <v>4880</v>
      </c>
      <c r="D20" s="146">
        <f ca="1">SUMIF(INDIRECT("'"&amp;D4&amp;"'"&amp;"!A:A"),'结果表（地下车库）'!B20,INDIRECT("'"&amp;D4&amp;"'"&amp;"!B:B"))</f>
        <v>13883</v>
      </c>
      <c r="E20" s="2428"/>
      <c r="F20" s="1243" t="s">
        <v>2149</v>
      </c>
      <c r="G20" s="147">
        <f ca="1">ROUND(C20*$C$18+D20*$D$18,0)</f>
        <v>10282</v>
      </c>
      <c r="H20" s="976" t="s">
        <v>2150</v>
      </c>
      <c r="I20" s="137"/>
    </row>
    <row r="21" spans="1:35" ht="15" customHeight="1" thickBot="1">
      <c r="A21" s="996"/>
      <c r="B21" s="2429" t="s">
        <v>2151</v>
      </c>
      <c r="C21" s="788">
        <f ca="1">ROUND(C19*10000/L19,0)</f>
        <v>28787</v>
      </c>
      <c r="D21" s="789">
        <f ca="1">ROUND(D19*10000/L19,0)</f>
        <v>81891</v>
      </c>
      <c r="E21" s="996"/>
      <c r="F21" s="2429" t="s">
        <v>2151</v>
      </c>
      <c r="G21" s="148">
        <f ca="1">ROUND(G19*10000/L19,0)</f>
        <v>60646</v>
      </c>
      <c r="H21" s="2430" t="s">
        <v>2150</v>
      </c>
      <c r="I21" s="137"/>
    </row>
    <row r="22" spans="1:35" ht="15" thickBot="1">
      <c r="A22" s="2273" t="s">
        <v>2152</v>
      </c>
      <c r="B22" s="2431"/>
      <c r="C22" s="2432"/>
      <c r="D22" s="790">
        <f ca="1">IF(C19&lt;D19,D19/C19-1,C19/D19-1)</f>
        <v>1.8447600391772774</v>
      </c>
      <c r="E22" s="137"/>
      <c r="F22" s="137"/>
      <c r="G22" s="137"/>
      <c r="H22" s="137"/>
      <c r="I22" s="137"/>
    </row>
    <row r="23" spans="1:35" ht="13.8" thickBot="1">
      <c r="A23" s="2409"/>
      <c r="B23" s="2409"/>
      <c r="C23" s="2409"/>
      <c r="D23" s="2409"/>
      <c r="E23" s="137"/>
      <c r="F23" s="137"/>
      <c r="G23" s="137"/>
      <c r="H23" s="137"/>
      <c r="I23" s="137"/>
    </row>
    <row r="24" spans="1:35" ht="14.4">
      <c r="A24" s="3133" t="s">
        <v>2153</v>
      </c>
      <c r="B24" s="2426" t="s">
        <v>2145</v>
      </c>
      <c r="C24" s="144">
        <f>IF(B30=0,0,D30)</f>
        <v>0</v>
      </c>
      <c r="D24" s="2433"/>
      <c r="E24" s="137"/>
      <c r="F24" s="137"/>
      <c r="G24" s="137"/>
      <c r="H24" s="137"/>
      <c r="I24" s="137"/>
    </row>
    <row r="25" spans="1:35" ht="14.4">
      <c r="A25" s="3134"/>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4302</v>
      </c>
      <c r="D32" s="2440" t="s">
        <v>2160</v>
      </c>
      <c r="E32" s="137"/>
      <c r="F32" s="137"/>
      <c r="G32" s="137"/>
      <c r="H32" s="137"/>
      <c r="I32" s="137"/>
    </row>
    <row r="33" spans="1:15" ht="14.4">
      <c r="A33" s="953" t="s">
        <v>2161</v>
      </c>
      <c r="B33" s="2441"/>
      <c r="C33" s="2442" t="s">
        <v>3389</v>
      </c>
      <c r="D33" s="2443" t="s">
        <v>3381</v>
      </c>
      <c r="E33" s="2444" t="s">
        <v>2162</v>
      </c>
      <c r="F33" s="2953" t="str">
        <f>IF(D32="楼面单价","取值（单价）","取值（总价）")</f>
        <v>取值（总价）</v>
      </c>
      <c r="G33" s="137"/>
      <c r="H33" s="137"/>
      <c r="I33" s="137"/>
    </row>
    <row r="34" spans="1:15" ht="14.4">
      <c r="A34" s="2446"/>
      <c r="B34" s="2447" t="s">
        <v>2163</v>
      </c>
      <c r="C34" s="156">
        <f ca="1">IF(C33="自定义",F34,C32-C35)</f>
        <v>1157</v>
      </c>
      <c r="D34" s="1051">
        <f ca="1">IF(C33="自定义",ROUND(C34/C32,3),IF(C33="收益比率",SUMIF(INDIRECT("'"&amp;D33&amp;"'"&amp;"!b:b"),"土地收益比率",INDIRECT("'"&amp;D33&amp;"'"&amp;"!c:c")),SUMIF(INDIRECT("'"&amp;D33&amp;"'"&amp;"!b:b"),"土地成本比率",INDIRECT("'"&amp;D33&amp;"'"&amp;"!c:c"))))</f>
        <v>0.26900000000000002</v>
      </c>
      <c r="E34" s="2448" t="s">
        <v>2164</v>
      </c>
      <c r="F34" s="1732"/>
      <c r="G34" s="137"/>
      <c r="H34" s="137"/>
      <c r="I34" s="137"/>
    </row>
    <row r="35" spans="1:15" ht="15" thickBot="1">
      <c r="A35" s="2449"/>
      <c r="B35" s="2450" t="s">
        <v>2165</v>
      </c>
      <c r="C35" s="1437">
        <f ca="1">IF(C33="自定义",F35,ROUND(C32*D35,0))</f>
        <v>3145</v>
      </c>
      <c r="D35" s="1438">
        <f ca="1">IF(C33="自定义",ROUND(C35/C32,3),IF(C33="收益比率",SUMIF(INDIRECT("'"&amp;D33&amp;"'"&amp;"!b:b"),"建筑物收益比率",INDIRECT("'"&amp;D33&amp;"'"&amp;"!c:c")),SUMIF(INDIRECT("'"&amp;D33&amp;"'"&amp;"!b:b"),"建筑物成本比率",INDIRECT("'"&amp;D33&amp;"'"&amp;"!c:c"))))</f>
        <v>0.73099999999999998</v>
      </c>
      <c r="E35" s="2451" t="s">
        <v>2166</v>
      </c>
      <c r="F35" s="162"/>
      <c r="G35" s="137"/>
      <c r="H35" s="137"/>
      <c r="I35" s="137"/>
    </row>
    <row r="36" spans="1:15" ht="15" thickBot="1">
      <c r="A36" s="3151" t="s">
        <v>2167</v>
      </c>
      <c r="B36" s="2452" t="s">
        <v>2168</v>
      </c>
      <c r="C36" s="153"/>
      <c r="D36" s="2453"/>
      <c r="E36" s="2454"/>
      <c r="F36" s="2455"/>
      <c r="G36" s="137"/>
      <c r="H36" s="137"/>
      <c r="I36" s="137"/>
    </row>
    <row r="37" spans="1:15" ht="15" thickBot="1">
      <c r="A37" s="3152"/>
      <c r="B37" s="2259" t="s">
        <v>2169</v>
      </c>
      <c r="C37" s="155"/>
      <c r="D37" s="1388"/>
      <c r="E37" s="1388"/>
      <c r="F37" s="2455"/>
      <c r="G37" s="137"/>
      <c r="H37" s="137"/>
      <c r="I37" s="137"/>
    </row>
    <row r="38" spans="1:15" ht="15" thickBot="1">
      <c r="A38" s="3153"/>
      <c r="B38" s="2456" t="s">
        <v>2170</v>
      </c>
      <c r="C38" s="726"/>
      <c r="D38" s="2457" t="s">
        <v>2171</v>
      </c>
      <c r="E38" s="1388"/>
      <c r="F38" s="2455"/>
      <c r="G38" s="137"/>
      <c r="H38" s="137"/>
      <c r="I38" s="137"/>
    </row>
    <row r="39" spans="1:15" ht="14.4">
      <c r="A39" s="2428" t="s">
        <v>2172</v>
      </c>
      <c r="B39" s="2458" t="s">
        <v>2155</v>
      </c>
      <c r="C39" s="2459" t="s">
        <v>2156</v>
      </c>
      <c r="D39" s="2459" t="s">
        <v>2175</v>
      </c>
      <c r="E39" s="2460" t="s">
        <v>2157</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30" t="s">
        <v>2181</v>
      </c>
      <c r="B45" s="3131"/>
      <c r="C45" s="3132"/>
      <c r="D45" s="163">
        <f ca="1">ROUND(H101*F45,0)</f>
        <v>4302</v>
      </c>
      <c r="E45" s="164" t="s">
        <v>2182</v>
      </c>
      <c r="F45" s="165">
        <v>1</v>
      </c>
      <c r="G45" s="166" t="s">
        <v>2183</v>
      </c>
      <c r="H45" s="137"/>
      <c r="I45" s="137"/>
      <c r="J45" s="3190" t="s">
        <v>2184</v>
      </c>
      <c r="K45" s="3190"/>
      <c r="L45" s="3190"/>
      <c r="M45" s="3190"/>
      <c r="N45" s="3190"/>
      <c r="O45" s="3190"/>
    </row>
    <row r="46" spans="1:15" ht="14.25" customHeight="1">
      <c r="A46" s="3127" t="s">
        <v>2185</v>
      </c>
      <c r="B46" s="3128"/>
      <c r="C46" s="3128"/>
      <c r="D46" s="3128"/>
      <c r="E46" s="3128"/>
      <c r="F46" s="3128"/>
      <c r="G46" s="3129"/>
      <c r="H46" s="2471"/>
      <c r="I46" s="167"/>
      <c r="J46" s="2965">
        <v>1</v>
      </c>
      <c r="K46" s="3190" t="s">
        <v>2186</v>
      </c>
      <c r="L46" s="3190"/>
      <c r="M46" s="3210"/>
      <c r="N46" s="3210"/>
      <c r="O46" s="3210"/>
    </row>
    <row r="47" spans="1:15" ht="12" customHeight="1">
      <c r="A47" s="168" t="s">
        <v>2187</v>
      </c>
      <c r="B47" s="169"/>
      <c r="C47" s="170"/>
      <c r="D47" s="171" t="s">
        <v>2188</v>
      </c>
      <c r="E47" s="23" t="s">
        <v>2189</v>
      </c>
      <c r="F47" s="172" t="s">
        <v>2190</v>
      </c>
      <c r="G47" s="173" t="s">
        <v>2191</v>
      </c>
      <c r="H47" s="2471"/>
      <c r="I47" s="167"/>
      <c r="J47" s="2965">
        <v>2</v>
      </c>
      <c r="K47" s="3190" t="s">
        <v>2192</v>
      </c>
      <c r="L47" s="3190"/>
      <c r="M47" s="3211">
        <f>'数据-取费表'!B2</f>
        <v>43227</v>
      </c>
      <c r="N47" s="3211"/>
      <c r="O47" s="3211"/>
    </row>
    <row r="48" spans="1:15" ht="26.4">
      <c r="A48" s="3158" t="s">
        <v>2193</v>
      </c>
      <c r="B48" s="3141"/>
      <c r="C48" s="3141"/>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90" t="s">
        <v>2196</v>
      </c>
      <c r="L48" s="3190"/>
      <c r="M48" s="3212">
        <f ca="1">H101</f>
        <v>4302</v>
      </c>
      <c r="N48" s="3212"/>
      <c r="O48" s="3212"/>
    </row>
    <row r="49" spans="1:35" ht="25.5" customHeight="1">
      <c r="A49" s="175" t="s">
        <v>2197</v>
      </c>
      <c r="B49" s="3126" t="s">
        <v>2198</v>
      </c>
      <c r="C49" s="3126"/>
      <c r="D49" s="176">
        <v>0</v>
      </c>
      <c r="E49" s="22" t="s">
        <v>2199</v>
      </c>
      <c r="F49" s="27" t="s">
        <v>34</v>
      </c>
      <c r="G49" s="3196"/>
      <c r="H49" s="137"/>
      <c r="I49" s="2474"/>
      <c r="J49" s="2965">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4302</v>
      </c>
      <c r="N49" s="3212"/>
      <c r="O49" s="3212"/>
    </row>
    <row r="50" spans="1:35" ht="25.5" customHeight="1">
      <c r="A50" s="177"/>
      <c r="B50" s="3126" t="s">
        <v>2200</v>
      </c>
      <c r="C50" s="3126"/>
      <c r="D50" s="178"/>
      <c r="E50" s="30"/>
      <c r="F50" s="179"/>
      <c r="G50" s="3197"/>
      <c r="H50" s="137"/>
      <c r="I50" s="2474"/>
      <c r="J50" s="3190" t="s">
        <v>2201</v>
      </c>
      <c r="K50" s="3190"/>
      <c r="L50" s="3190"/>
      <c r="M50" s="3190"/>
      <c r="N50" s="3190"/>
      <c r="O50" s="3190"/>
    </row>
    <row r="51" spans="1:35" ht="12" customHeight="1">
      <c r="A51" s="180"/>
      <c r="B51" s="3126" t="s">
        <v>2202</v>
      </c>
      <c r="C51" s="3126"/>
      <c r="D51" s="181"/>
      <c r="E51" s="29"/>
      <c r="F51" s="179"/>
      <c r="G51" s="3198"/>
      <c r="H51" s="137"/>
      <c r="I51" s="2474"/>
      <c r="J51" s="2964" t="s">
        <v>2203</v>
      </c>
      <c r="K51" s="3190" t="s">
        <v>2204</v>
      </c>
      <c r="L51" s="3190"/>
      <c r="M51" s="2964" t="s">
        <v>2205</v>
      </c>
      <c r="N51" s="2964" t="s">
        <v>2206</v>
      </c>
      <c r="O51" s="2964" t="s">
        <v>2207</v>
      </c>
    </row>
    <row r="52" spans="1:35" ht="24" customHeight="1">
      <c r="A52" s="182" t="s">
        <v>2208</v>
      </c>
      <c r="B52" s="3126" t="s">
        <v>2209</v>
      </c>
      <c r="C52" s="3126"/>
      <c r="D52" s="181">
        <f ca="1">ROUND(D45*'数据-取费表'!B41/(1+'数据-取费表'!C42),0)</f>
        <v>225</v>
      </c>
      <c r="E52" s="11" t="s">
        <v>2210</v>
      </c>
      <c r="F52" s="183">
        <f>'数据-取费表'!B41</f>
        <v>5.5000000000000007E-2</v>
      </c>
      <c r="G52" s="2476"/>
      <c r="H52" s="137"/>
      <c r="I52" s="2474"/>
      <c r="J52" s="2965">
        <v>1</v>
      </c>
      <c r="K52" s="3191" t="s">
        <v>2211</v>
      </c>
      <c r="L52" s="3191"/>
      <c r="M52" s="1747">
        <f>D48</f>
        <v>0</v>
      </c>
      <c r="N52" s="2965" t="str">
        <f>E48</f>
        <v>销售额×税（费）率</v>
      </c>
      <c r="O52" s="1748" t="str">
        <f>F48</f>
        <v>免征</v>
      </c>
    </row>
    <row r="53" spans="1:35" ht="12" customHeight="1">
      <c r="A53" s="182" t="s">
        <v>2212</v>
      </c>
      <c r="B53" s="3149" t="s">
        <v>2213</v>
      </c>
      <c r="C53" s="3150"/>
      <c r="D53" s="181">
        <f ca="1">ROUND(D45*'数据-取费表'!B41/(1+'数据-取费表'!C42),0)</f>
        <v>225</v>
      </c>
      <c r="E53" s="11" t="s">
        <v>2210</v>
      </c>
      <c r="F53" s="183">
        <f>'数据-取费表'!B41</f>
        <v>5.5000000000000007E-2</v>
      </c>
      <c r="G53" s="2476"/>
      <c r="H53" s="137"/>
      <c r="I53" s="2474"/>
      <c r="J53" s="2965">
        <v>2</v>
      </c>
      <c r="K53" s="3191" t="s">
        <v>2214</v>
      </c>
      <c r="L53" s="3191"/>
      <c r="M53" s="1747">
        <f t="shared" ref="M53:O54" ca="1" si="0">D55</f>
        <v>2</v>
      </c>
      <c r="N53" s="2965" t="str">
        <f t="shared" si="0"/>
        <v>销售额×税（费）率</v>
      </c>
      <c r="O53" s="1748">
        <f t="shared" si="0"/>
        <v>5.0000000000000001E-4</v>
      </c>
    </row>
    <row r="54" spans="1:35" ht="12" customHeight="1">
      <c r="A54" s="182" t="s">
        <v>2215</v>
      </c>
      <c r="B54" s="3149" t="s">
        <v>2216</v>
      </c>
      <c r="C54" s="3150"/>
      <c r="D54" s="181">
        <f ca="1">C68</f>
        <v>225</v>
      </c>
      <c r="E54" s="29" t="s">
        <v>2217</v>
      </c>
      <c r="F54" s="183">
        <f>'数据-取费表'!B41</f>
        <v>5.5000000000000007E-2</v>
      </c>
      <c r="G54" s="2476"/>
      <c r="H54" s="2477"/>
      <c r="I54" s="2474"/>
      <c r="J54" s="2965">
        <v>3</v>
      </c>
      <c r="K54" s="3191" t="s">
        <v>2218</v>
      </c>
      <c r="L54" s="3191"/>
      <c r="M54" s="1747">
        <f t="shared" ca="1" si="0"/>
        <v>2439</v>
      </c>
      <c r="N54" s="2965" t="str">
        <f t="shared" si="0"/>
        <v>增值额×税（费）率</v>
      </c>
      <c r="O54" s="1749" t="str">
        <f t="shared" si="0"/>
        <v>——</v>
      </c>
    </row>
    <row r="55" spans="1:35" ht="24" customHeight="1">
      <c r="A55" s="3140" t="s">
        <v>2219</v>
      </c>
      <c r="B55" s="3141"/>
      <c r="C55" s="3141"/>
      <c r="D55" s="184">
        <f ca="1">IF(H55="个人住宅",0,ROUND(D45*I55,0))</f>
        <v>2</v>
      </c>
      <c r="E55" s="11" t="s">
        <v>2220</v>
      </c>
      <c r="F55" s="183">
        <f>IF(H55="正常",I55,"免征")</f>
        <v>5.0000000000000001E-4</v>
      </c>
      <c r="G55" s="2476"/>
      <c r="H55" s="2473" t="s">
        <v>2221</v>
      </c>
      <c r="I55" s="185">
        <f>'数据-取费表'!B49</f>
        <v>5.0000000000000001E-4</v>
      </c>
      <c r="J55" s="2965" t="str">
        <f>IF(H59="非个人房产","",4)</f>
        <v/>
      </c>
      <c r="K55" s="3191" t="str">
        <f>IF(H59="非个人房产","——","个人所得税")</f>
        <v>——</v>
      </c>
      <c r="L55" s="3191"/>
      <c r="M55" s="1750" t="str">
        <f>D59</f>
        <v>——</v>
      </c>
      <c r="N55" s="2966" t="str">
        <f>E59</f>
        <v>——</v>
      </c>
      <c r="O55" s="1751" t="str">
        <f>F59</f>
        <v>——</v>
      </c>
    </row>
    <row r="56" spans="1:35" ht="25.2">
      <c r="A56" s="3140" t="s">
        <v>2222</v>
      </c>
      <c r="B56" s="3141"/>
      <c r="C56" s="3141"/>
      <c r="D56" s="184">
        <f ca="1">IF(H56="个人住宅",D57,D58)</f>
        <v>2439</v>
      </c>
      <c r="E56" s="11" t="s">
        <v>2223</v>
      </c>
      <c r="F56" s="183" t="str">
        <f>IF(H56="正常",F58,"免征")</f>
        <v>——</v>
      </c>
      <c r="G56" s="2478" t="s">
        <v>2224</v>
      </c>
      <c r="H56" s="2479" t="s">
        <v>2221</v>
      </c>
      <c r="I56" s="2480"/>
      <c r="J56" s="2965" t="str">
        <f>IF(项目基本情况!K6="上海银行",IF(J55="",4,J55+1),"")</f>
        <v/>
      </c>
      <c r="K56" s="3214" t="str">
        <f>IF(项目基本情况!K6="上海银行","其他处置费用","")</f>
        <v/>
      </c>
      <c r="L56" s="3215"/>
      <c r="M56" s="1747" t="str">
        <f>IF(项目基本情况!K6="上海银行",M69,"")</f>
        <v/>
      </c>
      <c r="N56" s="3217" t="str">
        <f>IF(项目基本情况!K6="上海银行","包含处置中涉及的律师、诉讼、拍卖、评估等费用","")</f>
        <v/>
      </c>
      <c r="O56" s="3218"/>
    </row>
    <row r="57" spans="1:35" ht="13.2">
      <c r="A57" s="182" t="s">
        <v>2197</v>
      </c>
      <c r="B57" s="3156" t="s">
        <v>2225</v>
      </c>
      <c r="C57" s="3165"/>
      <c r="D57" s="186">
        <v>0</v>
      </c>
      <c r="E57" s="22" t="s">
        <v>2199</v>
      </c>
      <c r="F57" s="154"/>
      <c r="G57" s="2476"/>
      <c r="H57" s="2480"/>
      <c r="I57" s="2480"/>
      <c r="J57" s="3191">
        <f>IF(AND(J55="",J56=""),4,IF(项目基本情况!K6="上海银行",'结果表（地下车库）'!J56+1,'结果表（地下车库）'!J55+1))</f>
        <v>4</v>
      </c>
      <c r="K57" s="3191" t="s">
        <v>2226</v>
      </c>
      <c r="L57" s="2481" t="s">
        <v>2227</v>
      </c>
      <c r="M57" s="1752"/>
      <c r="N57" s="1753">
        <f ca="1">SUMIF(M52:M56,"&lt;9e307")</f>
        <v>2441</v>
      </c>
      <c r="O57" s="2482"/>
      <c r="P57" s="1746">
        <f ca="1">N57/M49</f>
        <v>0.56741050674105065</v>
      </c>
    </row>
    <row r="58" spans="1:35" ht="25.2">
      <c r="A58" s="182" t="s">
        <v>2208</v>
      </c>
      <c r="B58" s="3156" t="s">
        <v>2228</v>
      </c>
      <c r="C58" s="3157"/>
      <c r="D58" s="184">
        <f ca="1">IF(H58="转让取得",C81,C97)</f>
        <v>2439</v>
      </c>
      <c r="E58" s="11" t="s">
        <v>2223</v>
      </c>
      <c r="F58" s="23" t="s">
        <v>34</v>
      </c>
      <c r="G58" s="2476"/>
      <c r="H58" s="2479" t="s">
        <v>2229</v>
      </c>
      <c r="I58" s="2480"/>
      <c r="J58" s="3191"/>
      <c r="K58" s="3191"/>
      <c r="L58" s="2481" t="s">
        <v>2230</v>
      </c>
      <c r="M58" s="1754"/>
      <c r="N58" s="2483" t="str">
        <f ca="1">NUMBERSTRING(INT(N57*10000),2)&amp;"元整"</f>
        <v>贰仟肆佰肆拾壹万元整</v>
      </c>
      <c r="O58" s="2484"/>
    </row>
    <row r="59" spans="1:35" ht="24.6" thickBot="1">
      <c r="A59" s="3194" t="s">
        <v>2231</v>
      </c>
      <c r="B59" s="3195"/>
      <c r="C59" s="3195"/>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92">
        <f>J57+1</f>
        <v>5</v>
      </c>
      <c r="K59" s="3191" t="s">
        <v>2233</v>
      </c>
      <c r="L59" s="2965" t="s">
        <v>2227</v>
      </c>
      <c r="M59" s="1755"/>
      <c r="N59" s="1756">
        <f ca="1">M49-N57</f>
        <v>1861</v>
      </c>
      <c r="O59" s="2486"/>
    </row>
    <row r="60" spans="1:35" ht="12" customHeight="1">
      <c r="A60" s="2487"/>
      <c r="B60" s="2409"/>
      <c r="C60" s="2409"/>
      <c r="D60" s="2409"/>
      <c r="E60" s="2159"/>
      <c r="F60" s="2480"/>
      <c r="G60" s="2480"/>
      <c r="H60" s="2488"/>
      <c r="I60" s="137"/>
      <c r="J60" s="3193"/>
      <c r="K60" s="3191"/>
      <c r="L60" s="2481" t="s">
        <v>2230</v>
      </c>
      <c r="M60" s="1754"/>
      <c r="N60" s="2483" t="str">
        <f ca="1">NUMBERSTRING(INT(N59*10000),2)&amp;"元整"</f>
        <v>壹仟捌佰陆拾壹万元整</v>
      </c>
      <c r="O60" s="2484"/>
    </row>
    <row r="61" spans="1:35" ht="13.8" thickBot="1">
      <c r="A61" s="3138" t="s">
        <v>2234</v>
      </c>
      <c r="B61" s="3138"/>
      <c r="C61" s="3138"/>
      <c r="D61" s="3138"/>
      <c r="E61" s="3138"/>
      <c r="F61" s="2480"/>
      <c r="G61" s="2480"/>
      <c r="H61" s="2488"/>
      <c r="I61" s="137"/>
      <c r="J61" s="2965">
        <f>J59+1</f>
        <v>6</v>
      </c>
      <c r="K61" s="3191" t="s">
        <v>2235</v>
      </c>
      <c r="L61" s="3191"/>
      <c r="M61" s="1757"/>
      <c r="N61" s="1758">
        <f ca="1">ROUND(N59*10000/'数据-汇总表'!E3,0)</f>
        <v>666</v>
      </c>
      <c r="O61" s="2489"/>
    </row>
    <row r="62" spans="1:35" ht="13.2">
      <c r="A62" s="3154" t="s">
        <v>2236</v>
      </c>
      <c r="B62" s="3155"/>
      <c r="C62" s="2960"/>
      <c r="D62" s="2960" t="s">
        <v>2237</v>
      </c>
      <c r="E62" s="191" t="s">
        <v>2238</v>
      </c>
      <c r="F62" s="2480"/>
      <c r="G62" s="2480"/>
      <c r="H62" s="2488"/>
      <c r="I62" s="137"/>
    </row>
    <row r="63" spans="1:35" ht="13.2">
      <c r="A63" s="202" t="s">
        <v>775</v>
      </c>
      <c r="B63" s="192" t="s">
        <v>2239</v>
      </c>
      <c r="C63" s="193">
        <f ca="1">ROUND((C64+C65)/(1+'数据-取费表'!C42),0)</f>
        <v>4097</v>
      </c>
      <c r="D63" s="194"/>
      <c r="E63" s="195"/>
      <c r="F63" s="2480"/>
      <c r="G63" s="2480"/>
      <c r="H63" s="2488"/>
      <c r="I63" s="137"/>
      <c r="J63" s="3216" t="s">
        <v>2240</v>
      </c>
      <c r="K63" s="2969" t="s">
        <v>2241</v>
      </c>
      <c r="L63" s="1745">
        <f ca="1">IF(M49&gt;10000,M49*0.5%,IF(AND(M49&gt;1000,M49&lt;=10000),M49*1%,IF(AND(M49&gt;100,M49&lt;=1000),M49*3%,IF(AND(M49&gt;10,M49&lt;=100),M49*5%,M49*8%))))</f>
        <v>43.02</v>
      </c>
      <c r="M63" s="23">
        <f ca="1">ROUND(L63,1)</f>
        <v>43</v>
      </c>
      <c r="Z63" s="2414"/>
      <c r="AI63" s="2415"/>
    </row>
    <row r="64" spans="1:35" ht="14.25" customHeight="1">
      <c r="A64" s="196" t="s">
        <v>770</v>
      </c>
      <c r="B64" s="197" t="s">
        <v>2242</v>
      </c>
      <c r="C64" s="198">
        <f ca="1">D45</f>
        <v>4302</v>
      </c>
      <c r="D64" s="199" t="s">
        <v>32</v>
      </c>
      <c r="E64" s="200"/>
      <c r="F64" s="2480"/>
      <c r="G64" s="2480"/>
      <c r="H64" s="2488"/>
      <c r="I64" s="137"/>
      <c r="J64" s="3216"/>
      <c r="K64" s="2969" t="s">
        <v>2243</v>
      </c>
      <c r="L64" s="1745">
        <f ca="1">IF(M49&gt;2000,M49*0.5%,IF(AND(M49&gt;1000,M49&lt;=2000),M49*0.6%,IF(AND(M49&gt;500,M49&lt;=1000),M49*0.7%,IF(AND(M49&gt;200,M49&lt;=500),M49*0.8%,IF(AND(M49&gt;100,M49&lt;=200),M49*0.9%,IF(AND(M49&gt;50,M49&lt;=100),M49*1%,IF(AND(M49&gt;20,M49&lt;=50),M49*1.5%,IF(AND(M49&gt;10,M49&lt;=20),M49*2%,IF(AND(M49&gt;1,M49&lt;=10),M49*2.5%)))))))))</f>
        <v>21.51</v>
      </c>
      <c r="M64" s="23">
        <f t="shared" ref="M64:M65" ca="1" si="1">ROUND(L64,1)</f>
        <v>21.5</v>
      </c>
      <c r="N64" s="137" t="s">
        <v>2244</v>
      </c>
      <c r="Z64" s="2414"/>
      <c r="AI64" s="2415"/>
    </row>
    <row r="65" spans="1:35" ht="14.25" customHeight="1">
      <c r="A65" s="196" t="s">
        <v>771</v>
      </c>
      <c r="B65" s="197" t="s">
        <v>2245</v>
      </c>
      <c r="C65" s="201"/>
      <c r="D65" s="199"/>
      <c r="E65" s="200"/>
      <c r="F65" s="2480"/>
      <c r="G65" s="2480"/>
      <c r="H65" s="2488"/>
      <c r="I65" s="137"/>
      <c r="J65" s="3216"/>
      <c r="K65" s="2969" t="s">
        <v>2246</v>
      </c>
      <c r="L65" s="1745">
        <f ca="1">IF(M49&gt;1000,M49*0.1%,IF(AND(M49&gt;500,M49&lt;=1000),M49*0.5%,IF(AND(M49&gt;50,M49&lt;=500),M49*1%,IF(AND(M49&gt;1,M49&lt;=50),M49*1.5%))))</f>
        <v>4.3020000000000005</v>
      </c>
      <c r="M65" s="23">
        <f t="shared" ca="1" si="1"/>
        <v>4.3</v>
      </c>
      <c r="N65" s="137" t="s">
        <v>2244</v>
      </c>
      <c r="Z65" s="2414"/>
      <c r="AI65" s="2415"/>
    </row>
    <row r="66" spans="1:35" ht="14.25" customHeight="1">
      <c r="A66" s="202" t="s">
        <v>772</v>
      </c>
      <c r="B66" s="203" t="s">
        <v>2247</v>
      </c>
      <c r="C66" s="204"/>
      <c r="D66" s="205" t="s">
        <v>32</v>
      </c>
      <c r="E66" s="1769" t="s">
        <v>1371</v>
      </c>
      <c r="F66" s="2480"/>
      <c r="G66" s="2480"/>
      <c r="H66" s="2488"/>
      <c r="I66" s="137"/>
      <c r="J66" s="3216"/>
      <c r="K66" s="2969" t="s">
        <v>2248</v>
      </c>
      <c r="L66" s="1745">
        <f ca="1">M49*0.5%</f>
        <v>21.51</v>
      </c>
      <c r="M66" s="23">
        <f ca="1">IF(L66&gt;0.5,0.5,ROUND(L66,0))</f>
        <v>0.5</v>
      </c>
      <c r="N66" s="137" t="s">
        <v>2249</v>
      </c>
      <c r="Z66" s="2414"/>
      <c r="AI66" s="2415"/>
    </row>
    <row r="67" spans="1:35" ht="14.25" customHeight="1">
      <c r="A67" s="202" t="s">
        <v>773</v>
      </c>
      <c r="B67" s="203" t="s">
        <v>2250</v>
      </c>
      <c r="C67" s="206">
        <f ca="1">C63-C66</f>
        <v>4097</v>
      </c>
      <c r="D67" s="199" t="s">
        <v>32</v>
      </c>
      <c r="E67" s="200"/>
      <c r="F67" s="2480"/>
      <c r="G67" s="2480"/>
      <c r="H67" s="2488"/>
      <c r="I67" s="137"/>
      <c r="J67" s="3216"/>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225</v>
      </c>
      <c r="D68" s="210">
        <f>'数据-取费表'!B41</f>
        <v>5.5000000000000007E-2</v>
      </c>
      <c r="E68" s="211"/>
      <c r="F68" s="2480"/>
      <c r="G68" s="2480"/>
      <c r="H68" s="2488"/>
      <c r="I68" s="137"/>
      <c r="J68" s="3216"/>
      <c r="K68" s="2969" t="s">
        <v>2253</v>
      </c>
      <c r="L68" s="1745">
        <f ca="1">IF(M49&gt;10000,M49*0.5%,IF(AND(M49&gt;5000,M49&lt;=10000),M49*1%,IF(AND(M49&gt;1000,M49&lt;=5000),M49*2%,IF(AND(M49&gt;200,M49&lt;=1000),M49*3%,M49*5%))))</f>
        <v>86.04</v>
      </c>
      <c r="M68" s="23">
        <f ca="1">ROUND(L68,1)</f>
        <v>86</v>
      </c>
      <c r="Z68" s="2414"/>
      <c r="AI68" s="2415"/>
    </row>
    <row r="69" spans="1:35" s="2437" customFormat="1" ht="16.5" customHeight="1">
      <c r="A69" s="2491"/>
      <c r="B69" s="2492"/>
      <c r="C69" s="2493"/>
      <c r="D69" s="2494"/>
      <c r="E69" s="2495"/>
      <c r="F69" s="2159"/>
      <c r="G69" s="2159"/>
      <c r="H69" s="2158"/>
      <c r="I69" s="2409"/>
      <c r="J69" s="3216"/>
      <c r="K69" s="2969" t="s">
        <v>2254</v>
      </c>
      <c r="L69" s="2496"/>
      <c r="M69" s="23">
        <f ca="1">ROUND(SUM(M63:M68),0)</f>
        <v>158</v>
      </c>
      <c r="N69" s="1746">
        <f ca="1">M69/M49</f>
        <v>3.6727103672710371E-2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75" t="s">
        <v>2255</v>
      </c>
      <c r="B70" s="3176"/>
      <c r="C70" s="3176"/>
      <c r="D70" s="3176"/>
      <c r="E70" s="3176"/>
      <c r="F70" s="3176"/>
      <c r="G70" s="3176"/>
      <c r="H70" s="317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54" t="s">
        <v>2236</v>
      </c>
      <c r="B71" s="3155"/>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4097</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20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49" t="s">
        <v>2264</v>
      </c>
      <c r="F76" s="3126"/>
      <c r="G76" s="3126"/>
      <c r="H76" s="317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20</v>
      </c>
      <c r="D78" s="225">
        <f>'数据-取费表'!B43</f>
        <v>5.000000000000001E-3</v>
      </c>
      <c r="E78" s="3135" t="s">
        <v>2269</v>
      </c>
      <c r="F78" s="3136"/>
      <c r="G78" s="3136"/>
      <c r="H78" s="314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3" t="s">
        <v>2270</v>
      </c>
      <c r="C79" s="206">
        <f ca="1">C72-C73</f>
        <v>4077</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203.85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2439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75" t="s">
        <v>2273</v>
      </c>
      <c r="B83" s="3176"/>
      <c r="C83" s="3176"/>
      <c r="D83" s="3176"/>
      <c r="E83" s="3176"/>
      <c r="F83" s="3176"/>
      <c r="G83" s="3176"/>
      <c r="H83" s="317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54" t="s">
        <v>2236</v>
      </c>
      <c r="B84" s="3155"/>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4097</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20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35" t="s">
        <v>2282</v>
      </c>
      <c r="F91" s="3136"/>
      <c r="G91" s="3136"/>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35" t="s">
        <v>2286</v>
      </c>
      <c r="F92" s="3136"/>
      <c r="G92" s="3136"/>
      <c r="H92" s="314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20</v>
      </c>
      <c r="D93" s="225">
        <f>'数据-取费表'!B43</f>
        <v>5.000000000000001E-3</v>
      </c>
      <c r="E93" s="3135" t="s">
        <v>2269</v>
      </c>
      <c r="F93" s="3136"/>
      <c r="G93" s="3136"/>
      <c r="H93" s="314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46" t="s">
        <v>2290</v>
      </c>
      <c r="F94" s="3147"/>
      <c r="G94" s="3147"/>
      <c r="H94" s="314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3" t="s">
        <v>2270</v>
      </c>
      <c r="C95" s="206">
        <f ca="1">ROUND(C85-C86,0)</f>
        <v>4077</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203.85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2439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0" t="s">
        <v>2292</v>
      </c>
      <c r="B100" s="3121"/>
      <c r="C100" s="3121"/>
      <c r="D100" s="3137"/>
      <c r="E100" s="3121" t="s">
        <v>2293</v>
      </c>
      <c r="F100" s="3121"/>
      <c r="G100" s="3121"/>
      <c r="H100" s="3137"/>
      <c r="I100" s="137"/>
    </row>
    <row r="101" spans="1:35" ht="18.75" customHeight="1">
      <c r="A101" s="3199" t="s">
        <v>2294</v>
      </c>
      <c r="B101" s="3200"/>
      <c r="C101" s="735" t="str">
        <f>C4</f>
        <v>成本法（地下车库）</v>
      </c>
      <c r="D101" s="736" t="str">
        <f>D4</f>
        <v>收益法（地下车库）</v>
      </c>
      <c r="E101" s="3213" t="s">
        <v>2295</v>
      </c>
      <c r="F101" s="3167"/>
      <c r="G101" s="2511" t="s">
        <v>2296</v>
      </c>
      <c r="H101" s="1041">
        <f ca="1">H118</f>
        <v>4302</v>
      </c>
      <c r="I101" s="137"/>
    </row>
    <row r="102" spans="1:35" ht="18.75" customHeight="1">
      <c r="A102" s="3169" t="s">
        <v>2297</v>
      </c>
      <c r="B102" s="2511" t="s">
        <v>2296</v>
      </c>
      <c r="C102" s="735">
        <f ca="1">C19</f>
        <v>2042</v>
      </c>
      <c r="D102" s="736">
        <f ca="1">D19</f>
        <v>5809</v>
      </c>
      <c r="E102" s="3213"/>
      <c r="F102" s="3167"/>
      <c r="G102" s="2511" t="s">
        <v>2298</v>
      </c>
      <c r="H102" s="370">
        <f ca="1">I118</f>
        <v>10281</v>
      </c>
      <c r="I102" s="137"/>
    </row>
    <row r="103" spans="1:35" ht="42.75" customHeight="1">
      <c r="A103" s="3169"/>
      <c r="B103" s="2511" t="s">
        <v>2298</v>
      </c>
      <c r="C103" s="737">
        <f ca="1">C20</f>
        <v>4880</v>
      </c>
      <c r="D103" s="738">
        <f ca="1">D20</f>
        <v>13883</v>
      </c>
      <c r="E103" s="3208" t="s">
        <v>2299</v>
      </c>
      <c r="F103" s="3209"/>
      <c r="G103" s="2512" t="s">
        <v>2300</v>
      </c>
      <c r="H103" s="1041">
        <f>IF(D36="正常操作",H104+H105+H106,H105+H106)</f>
        <v>0</v>
      </c>
      <c r="I103" s="137"/>
    </row>
    <row r="104" spans="1:35" ht="18.75" customHeight="1">
      <c r="A104" s="3169" t="s">
        <v>2301</v>
      </c>
      <c r="B104" s="2513" t="s">
        <v>2296</v>
      </c>
      <c r="C104" s="739">
        <f ca="1">H118</f>
        <v>4302</v>
      </c>
      <c r="D104" s="740"/>
      <c r="E104" s="2259" t="s">
        <v>2302</v>
      </c>
      <c r="F104" s="2251"/>
      <c r="G104" s="2512" t="s">
        <v>2300</v>
      </c>
      <c r="H104" s="1042">
        <f>IF(D36="同一抵押权人同一抵押物续贷",C36&amp;"（未扣减，详见特别提示）",C36)</f>
        <v>0</v>
      </c>
      <c r="I104" s="137"/>
    </row>
    <row r="105" spans="1:35" ht="18.75" customHeight="1" thickBot="1">
      <c r="A105" s="3170"/>
      <c r="B105" s="2514" t="s">
        <v>2298</v>
      </c>
      <c r="C105" s="741">
        <f ca="1">I118</f>
        <v>10281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6" t="str">
        <f>IF(项目基本情况!E8="已注销","——","3.房地产抵押价值")</f>
        <v>——</v>
      </c>
      <c r="F107" s="3167"/>
      <c r="G107" s="2511" t="s">
        <v>2296</v>
      </c>
      <c r="H107" s="1041" t="str">
        <f>IF(E107="——","——",H101-H103)</f>
        <v>——</v>
      </c>
      <c r="I107" s="137"/>
    </row>
    <row r="108" spans="1:35" ht="18.75" customHeight="1">
      <c r="A108" s="137"/>
      <c r="B108" s="137"/>
      <c r="C108" s="137"/>
      <c r="D108" s="137"/>
      <c r="E108" s="3166"/>
      <c r="F108" s="3167"/>
      <c r="G108" s="2511" t="s">
        <v>2298</v>
      </c>
      <c r="H108" s="370" t="e">
        <f>ROUND(H107*10000/'数据-汇总表'!E3,0)</f>
        <v>#VALUE!</v>
      </c>
      <c r="I108" s="137"/>
    </row>
    <row r="109" spans="1:35" ht="18.75" customHeight="1">
      <c r="A109" s="137"/>
      <c r="B109" s="137"/>
      <c r="C109" s="137"/>
      <c r="D109" s="137"/>
      <c r="E109" s="3166" t="str">
        <f>IF(项目基本情况!E8="已注销及未注销","4.抵押担保权已注销时的房地产抵押价值",IF(项目基本情况!E8="已注销","3.抵押担保权已注销时的房地产抵押价值","——"))</f>
        <v>3.抵押担保权已注销时的房地产抵押价值</v>
      </c>
      <c r="F109" s="3167"/>
      <c r="G109" s="2511" t="s">
        <v>2296</v>
      </c>
      <c r="H109" s="347">
        <f ca="1">IF(E109="——","——",H101-H105-H106)</f>
        <v>4302</v>
      </c>
      <c r="I109" s="137"/>
    </row>
    <row r="110" spans="1:35" ht="18.75" customHeight="1">
      <c r="A110" s="137"/>
      <c r="B110" s="137"/>
      <c r="C110" s="137"/>
      <c r="D110" s="137"/>
      <c r="E110" s="3166"/>
      <c r="F110" s="3167"/>
      <c r="G110" s="2511" t="s">
        <v>2298</v>
      </c>
      <c r="H110" s="370">
        <f ca="1">IF(H109="——","——",ROUND(H109*10000/'数据-汇总表'!E3,0))</f>
        <v>1539</v>
      </c>
      <c r="I110" s="137"/>
    </row>
    <row r="111" spans="1:35" ht="18.75" customHeight="1">
      <c r="A111" s="137"/>
      <c r="B111" s="137"/>
      <c r="C111" s="137"/>
      <c r="D111" s="137"/>
      <c r="E111" s="3201" t="str">
        <f>IF(项目基本情况!E9="抵押净值",IF(OR(项目基本情况!E8="已注销",项目基本情况!E8="房地产抵押价值"),"4.抵押净值","5.抵押净值"),"——")</f>
        <v>——</v>
      </c>
      <c r="F111" s="3202"/>
      <c r="G111" s="2511" t="s">
        <v>2296</v>
      </c>
      <c r="H111" s="1041" t="str">
        <f>IF(E111="——","——",N59)</f>
        <v>——</v>
      </c>
      <c r="I111" s="137"/>
    </row>
    <row r="112" spans="1:35" ht="18.75" customHeight="1" thickBot="1">
      <c r="A112" s="137"/>
      <c r="B112" s="137"/>
      <c r="C112" s="137"/>
      <c r="D112" s="137"/>
      <c r="E112" s="3203"/>
      <c r="F112" s="3204"/>
      <c r="G112" s="2516" t="s">
        <v>2298</v>
      </c>
      <c r="H112" s="789" t="str">
        <f>IF(E111="——","——",N61)</f>
        <v>——</v>
      </c>
      <c r="I112" s="137"/>
    </row>
    <row r="113" spans="1:11" ht="18.75" customHeight="1">
      <c r="A113" s="137"/>
      <c r="B113" s="137"/>
      <c r="C113" s="137"/>
      <c r="D113" s="137"/>
      <c r="E113" s="3171" t="s">
        <v>2304</v>
      </c>
      <c r="F113" s="3171"/>
      <c r="G113" s="3171"/>
      <c r="H113" s="3171"/>
      <c r="I113" s="137"/>
    </row>
    <row r="114" spans="1:11" ht="3.75" customHeight="1">
      <c r="A114" s="2409"/>
      <c r="B114" s="2409"/>
      <c r="C114" s="2409"/>
      <c r="D114" s="2409"/>
      <c r="E114" s="2487"/>
      <c r="F114" s="2487"/>
      <c r="G114" s="2487"/>
      <c r="H114" s="2487"/>
      <c r="I114" s="2409"/>
    </row>
    <row r="115" spans="1:11" ht="18.75" customHeight="1">
      <c r="A115" s="3184" t="s">
        <v>2306</v>
      </c>
      <c r="B115" s="3185"/>
      <c r="C115" s="3185"/>
      <c r="D115" s="3185"/>
      <c r="E115" s="3185"/>
      <c r="F115" s="3185"/>
      <c r="G115" s="3185"/>
      <c r="H115" s="3185"/>
      <c r="I115" s="3186"/>
    </row>
    <row r="116" spans="1:11" ht="27" customHeight="1">
      <c r="A116" s="3077" t="s">
        <v>2307</v>
      </c>
      <c r="B116" s="3172" t="s">
        <v>2308</v>
      </c>
      <c r="C116" s="3172" t="s">
        <v>2309</v>
      </c>
      <c r="D116" s="3188" t="s">
        <v>2310</v>
      </c>
      <c r="E116" s="3189"/>
      <c r="F116" s="3180" t="s">
        <v>2311</v>
      </c>
      <c r="G116" s="3180"/>
      <c r="H116" s="3077" t="s">
        <v>2312</v>
      </c>
      <c r="I116" s="3077"/>
    </row>
    <row r="117" spans="1:11" ht="18.75" customHeight="1">
      <c r="A117" s="3077"/>
      <c r="B117" s="3173"/>
      <c r="C117" s="3173"/>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4184.2899999999991</v>
      </c>
      <c r="C118" s="2952">
        <f>M19</f>
        <v>709.36</v>
      </c>
      <c r="D118" s="2952">
        <f ca="1">ROUND(IF(D32="总价",C34,E118*B118/10000),0)</f>
        <v>1157</v>
      </c>
      <c r="E118" s="2952">
        <f ca="1">ROUND(IF(C33="自定义",IF(D32="楼面单价",C34,D118*10000/B118),I118-G118),0)</f>
        <v>2765</v>
      </c>
      <c r="F118" s="2952">
        <f ca="1">ROUND(IF(D32="总价",C35,G118*B118/10000),0)</f>
        <v>3145</v>
      </c>
      <c r="G118" s="2952">
        <f ca="1">ROUND(IF(D32="楼面单价",C35,F118*10000/B118),0)</f>
        <v>7516</v>
      </c>
      <c r="H118" s="2952">
        <f ca="1">ROUND(IF(D32="总价",C32,I118*B118/10000),0)</f>
        <v>4302</v>
      </c>
      <c r="I118" s="2952">
        <f ca="1">ROUND(IF(D32="楼面单价",C32,H118*10000/B118),0)</f>
        <v>10281</v>
      </c>
    </row>
    <row r="119" spans="1:11" ht="18.75" customHeight="1">
      <c r="A119" s="3077" t="s">
        <v>2316</v>
      </c>
      <c r="B119" s="3077"/>
      <c r="C119" s="3077"/>
      <c r="D119" s="3177" t="str">
        <f ca="1">NUMBERSTRING(INT(D118*10000),2)&amp;"元整"</f>
        <v>壹仟壹佰伍拾柒万元整</v>
      </c>
      <c r="E119" s="3179"/>
      <c r="F119" s="3177" t="str">
        <f ca="1">NUMBERSTRING(INT(F118*10000),2)&amp;"元整"</f>
        <v>叁仟壹佰肆拾伍万元整</v>
      </c>
      <c r="G119" s="3179"/>
      <c r="H119" s="3177" t="str">
        <f ca="1">NUMBERSTRING(INT(H118*10000),2)&amp;"元整"</f>
        <v>肆仟叁佰零贰万元整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4" t="str">
        <f>IF(D120=0,"故，本次评估不存在"&amp;A120,"故，本次评估"&amp;A120&amp;"为人民币"&amp;D120&amp;"万元整。")</f>
        <v>故，本次评估不存在估价师知悉的法定优先受偿款</v>
      </c>
    </row>
    <row r="121" spans="1:11" ht="18.75" customHeight="1">
      <c r="A121" s="3181" t="s">
        <v>2316</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
      </c>
      <c r="B122" s="3168"/>
      <c r="C122" s="3168"/>
      <c r="D122" s="3205" t="str">
        <f>H107</f>
        <v>——</v>
      </c>
      <c r="E122" s="3206"/>
      <c r="F122" s="3206"/>
      <c r="G122" s="3206"/>
      <c r="H122" s="3206"/>
      <c r="I122" s="3207"/>
    </row>
    <row r="123" spans="1:11" ht="18.75" customHeight="1">
      <c r="A123" s="3077" t="s">
        <v>2316</v>
      </c>
      <c r="B123" s="3077"/>
      <c r="C123" s="3077"/>
      <c r="D123" s="3177" t="e">
        <f>NUMBERSTRING(INT(D122*10000),2)&amp;"元整"</f>
        <v>#VALUE!</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4302</v>
      </c>
      <c r="E124" s="3206"/>
      <c r="F124" s="3206"/>
      <c r="G124" s="3206"/>
      <c r="H124" s="3206"/>
      <c r="I124" s="3207"/>
    </row>
    <row r="125" spans="1:11" ht="18.75" customHeight="1">
      <c r="A125" s="3077" t="s">
        <v>2316</v>
      </c>
      <c r="B125" s="3077"/>
      <c r="C125" s="3077"/>
      <c r="D125" s="3177" t="str">
        <f ca="1">NUMBERSTRING(INT(D124*10000),2)&amp;"元整"</f>
        <v>肆仟叁佰零贰万元整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2316</v>
      </c>
      <c r="B127" s="3077"/>
      <c r="C127" s="3077"/>
      <c r="D127" s="3177" t="e">
        <f>NUMBERSTRING(INT(D126*10000),2)&amp;"元整"</f>
        <v>#VALUE!</v>
      </c>
      <c r="E127" s="3178"/>
      <c r="F127" s="3178"/>
      <c r="G127" s="3178"/>
      <c r="H127" s="3178"/>
      <c r="I127" s="3179"/>
    </row>
    <row r="128" spans="1:11" ht="21.75" customHeight="1">
      <c r="A128" s="3187" t="s">
        <v>2317</v>
      </c>
      <c r="B128" s="3187"/>
      <c r="C128" s="3187"/>
      <c r="D128" s="3187"/>
      <c r="E128" s="3187"/>
      <c r="F128" s="3187"/>
      <c r="G128" s="3187"/>
      <c r="H128" s="3187"/>
      <c r="I128" s="3187"/>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37" sqref="C37:C3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48</v>
      </c>
      <c r="C1" s="241"/>
      <c r="D1" s="241"/>
      <c r="E1" s="241"/>
      <c r="F1" s="241"/>
      <c r="G1" s="1375">
        <f>MATCH(B1,'数据-取费表'!A6:A16,0)+5</f>
        <v>8</v>
      </c>
    </row>
    <row r="2" spans="1:9" s="243" customFormat="1" ht="18" customHeight="1">
      <c r="A2" s="244" t="s">
        <v>1394</v>
      </c>
      <c r="B2" s="245">
        <f ca="1">IF(D2="——",C52,C52-E2)</f>
        <v>2042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4880</v>
      </c>
      <c r="C3" s="242" t="s">
        <v>2329</v>
      </c>
      <c r="D3" s="242"/>
      <c r="E3" s="242"/>
      <c r="F3" s="242"/>
      <c r="G3" s="242"/>
    </row>
    <row r="4" spans="1:9" s="251" customFormat="1" ht="16.2">
      <c r="A4" s="248" t="s">
        <v>2330</v>
      </c>
      <c r="B4" s="249"/>
      <c r="C4" s="249"/>
      <c r="D4" s="249"/>
      <c r="E4" s="249"/>
      <c r="F4" s="249"/>
      <c r="G4" s="250"/>
    </row>
    <row r="5" spans="1:9" s="257" customFormat="1" ht="13.5" customHeight="1">
      <c r="A5" s="298" t="s">
        <v>782</v>
      </c>
      <c r="B5" s="253" t="s">
        <v>2332</v>
      </c>
      <c r="C5" s="254">
        <f>C6+C7+C8</f>
        <v>398</v>
      </c>
      <c r="D5" s="254" t="s">
        <v>2333</v>
      </c>
      <c r="E5" s="255" t="s">
        <v>2334</v>
      </c>
      <c r="F5" s="255" t="s">
        <v>2335</v>
      </c>
      <c r="G5" s="256"/>
    </row>
    <row r="6" spans="1:9" s="257" customFormat="1" ht="13.5" customHeight="1">
      <c r="A6" s="945" t="s">
        <v>791</v>
      </c>
      <c r="B6" s="258" t="s">
        <v>2337</v>
      </c>
      <c r="C6" s="259">
        <f>'土地比较法-住宅、综合'!F65</f>
        <v>386</v>
      </c>
      <c r="D6" s="260"/>
      <c r="E6" s="261"/>
      <c r="F6" s="261"/>
      <c r="G6" s="262"/>
    </row>
    <row r="7" spans="1:9" s="257" customFormat="1" ht="13.5" customHeight="1">
      <c r="A7" s="945" t="s">
        <v>792</v>
      </c>
      <c r="B7" s="258" t="s">
        <v>2339</v>
      </c>
      <c r="C7" s="263">
        <f>ROUND(C6*F7,0)</f>
        <v>12</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84</v>
      </c>
      <c r="D10" s="1028">
        <f ca="1">IF(B1="",'数据-汇总表'!E6,IF(INDIRECT("'数据-取费表'!c"&amp;$G$1)="住宅",INDIRECT("'数据-取费表'!s"&amp;$G$1),INDIRECT("'数据-取费表'!k"&amp;$G$1)+INDIRECT("'数据-取费表'!s"&amp;$G$1)))</f>
        <v>4184.2899999999991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4184.2899999999991</v>
      </c>
      <c r="E19" s="254">
        <f>'数据-取费表'!B31</f>
        <v>200</v>
      </c>
      <c r="F19" s="274"/>
      <c r="G19" s="2543" t="s">
        <v>3054</v>
      </c>
    </row>
    <row r="20" spans="1:7" s="257" customFormat="1" ht="13.5" customHeight="1">
      <c r="A20" s="298" t="s">
        <v>2357</v>
      </c>
      <c r="B20" s="253" t="s">
        <v>2358</v>
      </c>
      <c r="C20" s="275">
        <f>ROUND((C5+C19)*F20,0)</f>
        <v>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60</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59</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41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41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549</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1177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1046</v>
      </c>
      <c r="D34" s="260"/>
      <c r="E34" s="263"/>
      <c r="F34" s="300">
        <f ca="1">IF('数据-取费表'!B24=0,1,IF(B1="",'数据-取费表'!N16,INDIRECT("'数据-取费表'!n"&amp;$G$1)))</f>
        <v>1</v>
      </c>
      <c r="G34" s="262" t="s">
        <v>2390</v>
      </c>
    </row>
    <row r="35" spans="1:7" ht="13.5" customHeight="1">
      <c r="A35" s="947" t="s">
        <v>796</v>
      </c>
      <c r="B35" s="258" t="s">
        <v>2391</v>
      </c>
      <c r="C35" s="263">
        <f ca="1">ROUND(C34*F35,0)</f>
        <v>31</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84</v>
      </c>
      <c r="D37" s="260">
        <f ca="1">D19</f>
        <v>4184.2899999999991</v>
      </c>
      <c r="E37" s="292">
        <f>'数据-取费表'!B35</f>
        <v>200</v>
      </c>
      <c r="F37" s="302"/>
      <c r="G37" s="304" t="s">
        <v>2396</v>
      </c>
    </row>
    <row r="38" spans="1:7" ht="13.5" customHeight="1">
      <c r="A38" s="947" t="s">
        <v>799</v>
      </c>
      <c r="B38" s="258" t="s">
        <v>2397</v>
      </c>
      <c r="C38" s="263">
        <f ca="1">ROUND(C34*F38,0)</f>
        <v>16</v>
      </c>
      <c r="D38" s="263"/>
      <c r="E38" s="263"/>
      <c r="F38" s="302">
        <f>'数据-取费表'!B36</f>
        <v>1.4999999999999999E-2</v>
      </c>
      <c r="G38" s="262" t="s">
        <v>2392</v>
      </c>
    </row>
    <row r="39" spans="1:7" s="257" customFormat="1" ht="13.5" customHeight="1">
      <c r="A39" s="298" t="s">
        <v>2355</v>
      </c>
      <c r="B39" s="253" t="s">
        <v>2358</v>
      </c>
      <c r="C39" s="275">
        <f ca="1">ROUND(C33*F20,0)</f>
        <v>24</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87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85</v>
      </c>
      <c r="D42" s="281"/>
      <c r="E42" s="281"/>
      <c r="F42" s="282"/>
      <c r="G42" s="3219" t="s">
        <v>2408</v>
      </c>
    </row>
    <row r="43" spans="1:7" ht="13.5" customHeight="1">
      <c r="A43" s="947" t="s">
        <v>792</v>
      </c>
      <c r="B43" s="258" t="s">
        <v>2370</v>
      </c>
      <c r="C43" s="281">
        <f ca="1">ROUND(IF('数据-取费表'!B22&lt;=1,C39*F22*'数据-取费表'!B21/2,C39*(POWER((1+F22),'数据-取费表'!B21/2)-1)),0)</f>
        <v>2</v>
      </c>
      <c r="D43" s="281"/>
      <c r="E43" s="281"/>
      <c r="F43" s="282"/>
      <c r="G43" s="3220"/>
    </row>
    <row r="44" spans="1:7" ht="13.5" customHeight="1">
      <c r="A44" s="947" t="s">
        <v>793</v>
      </c>
      <c r="B44" s="258" t="s">
        <v>2373</v>
      </c>
      <c r="C44" s="281">
        <f ca="1">ROUND(IF('数据-取费表'!B22&lt;=1,C40*F22*'数据-取费表'!B21/2,C40*(POWER((1+F22),'数据-取费表'!B21/2)-1)),4)</f>
        <v>1.4E-3</v>
      </c>
      <c r="D44" s="281"/>
      <c r="E44" s="281"/>
      <c r="F44" s="282"/>
      <c r="G44" s="3221"/>
    </row>
    <row r="45" spans="1:7" s="257" customFormat="1" ht="13.5" customHeight="1">
      <c r="A45" s="298" t="s">
        <v>2364</v>
      </c>
      <c r="B45" s="287" t="s">
        <v>2377</v>
      </c>
      <c r="C45" s="288">
        <f ca="1">C46</f>
        <v>120</v>
      </c>
      <c r="D45" s="278">
        <f ca="1">C47</f>
        <v>2E-3</v>
      </c>
      <c r="E45" s="279" t="s">
        <v>2403</v>
      </c>
      <c r="F45" s="289"/>
      <c r="G45" s="290" t="s">
        <v>2412</v>
      </c>
    </row>
    <row r="46" spans="1:7" s="257" customFormat="1" ht="13.5" customHeight="1">
      <c r="A46" s="947" t="s">
        <v>791</v>
      </c>
      <c r="B46" s="291" t="s">
        <v>2413</v>
      </c>
      <c r="C46" s="292">
        <f ca="1">ROUND((C33+C39)*F27,0)</f>
        <v>120</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1523</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1493</v>
      </c>
      <c r="D51" s="275"/>
      <c r="E51" s="275"/>
      <c r="F51" s="307"/>
      <c r="G51" s="277" t="s">
        <v>2424</v>
      </c>
    </row>
    <row r="52" spans="1:7" s="251" customFormat="1" ht="16.8" thickBot="1">
      <c r="A52" s="308" t="s">
        <v>2425</v>
      </c>
      <c r="B52" s="309"/>
      <c r="C52" s="310">
        <f ca="1">C31+C51</f>
        <v>2042</v>
      </c>
      <c r="D52" s="309"/>
      <c r="E52" s="309"/>
      <c r="F52" s="309"/>
      <c r="G52" s="311"/>
    </row>
    <row r="55" spans="1:7" ht="15">
      <c r="B55" s="313" t="s">
        <v>2426</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1611</v>
      </c>
    </row>
    <row r="2" spans="1:1">
      <c r="A2" s="1942"/>
    </row>
    <row r="3" spans="1:1" ht="17.399999999999999">
      <c r="A3" s="1943" t="str">
        <f>项目基本情况!B5&amp;"："</f>
        <v>北京正浩置业有限公司：</v>
      </c>
    </row>
    <row r="4" spans="1:1" ht="34.799999999999997">
      <c r="A4" s="1944" t="str">
        <f>"受贵公司委托，我公司对"&amp;项目基本情况!S1&amp;"进行了预评估。"</f>
        <v>受贵公司委托，我公司对北京市大兴区黄村镇房地产抵押价值进行了预评估。</v>
      </c>
    </row>
    <row r="5" spans="1:1" ht="17.399999999999999">
      <c r="A5" s="1945" t="s">
        <v>1612</v>
      </c>
    </row>
    <row r="6" spans="1:1" ht="17.399999999999999">
      <c r="A6" s="1946" t="s">
        <v>1613</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估价对象为北京市大兴区黄村镇房地产，为所有。根据《国有土地使用证》，估价对象（分摊）出让国有建设用地使用权面积为4737.35平方米，建筑面积为27944.31平方米。</v>
      </c>
    </row>
    <row r="8" spans="1:1" ht="54.6">
      <c r="A8" s="1947" t="s">
        <v>1614</v>
      </c>
    </row>
    <row r="9" spans="1:1" ht="17.399999999999999">
      <c r="A9" s="1946" t="s">
        <v>1615</v>
      </c>
    </row>
    <row r="10" spans="1:1" ht="52.2">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估价对象为北京市大兴区黄村镇房地产,属开发建设的，该项目尚在开发建设中。根据《国有土地使用证》，估价对象（分摊）出让国有建设用地使用权面积为4737.35平方米，规划建筑面积为27944.31平方米。</v>
      </c>
    </row>
    <row r="11" spans="1:1" ht="72">
      <c r="A11" s="1947" t="s">
        <v>1616</v>
      </c>
    </row>
    <row r="12" spans="1:1" ht="17.399999999999999">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7.399999999999999">
      <c r="A14" s="1949" t="s">
        <v>1618</v>
      </c>
    </row>
    <row r="15" spans="1:1" ht="17.399999999999999">
      <c r="A15" s="1950" t="str">
        <f>TEXT(项目基本情况!D3,"yyyy年m月d日;;")&amp;IF(项目基本情况!D3=项目基本情况!B3,"（评估专业人员实地查勘之日）","")</f>
        <v>2018年5月7日（评估专业人员实地查勘之日）</v>
      </c>
    </row>
    <row r="16" spans="1:1" ht="17.399999999999999">
      <c r="A16" s="1949" t="s">
        <v>1619</v>
      </c>
    </row>
    <row r="17" spans="1:1" ht="69.599999999999994">
      <c r="A17" s="1944" t="s">
        <v>1620</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4" t="str">
        <f>IF(项目基本情况!B9="房地产市场价值","——",IF(项目基本情况!E9="——","",定义!C57))</f>
        <v/>
      </c>
    </row>
    <row r="23" spans="1:1" ht="17.399999999999999">
      <c r="A23" s="1949" t="s">
        <v>1609</v>
      </c>
    </row>
    <row r="24" spans="1:1" ht="17.399999999999999">
      <c r="A24" s="1951" t="str">
        <f>"本次评估采用的主估价方法为"&amp;'结果表（办公）'!K4&amp;"和"&amp;'结果表（办公）'!L4&amp;"。"</f>
        <v>本次评估采用的主估价方法为成本法和收益法。</v>
      </c>
    </row>
    <row r="25" spans="1:1" ht="17.399999999999999">
      <c r="A25" s="1951"/>
    </row>
    <row r="26" spans="1:1" ht="17.399999999999999">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39" sqref="C39:C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48</v>
      </c>
      <c r="D1" s="1816" t="s">
        <v>70</v>
      </c>
      <c r="E1" s="1817" t="s">
        <v>1387</v>
      </c>
      <c r="F1" s="1279">
        <f ca="1">J53</f>
        <v>46.08</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5809</v>
      </c>
      <c r="C2" s="1841" t="s">
        <v>1517</v>
      </c>
      <c r="D2" s="1841"/>
      <c r="E2" s="1842"/>
      <c r="F2" s="1843"/>
      <c r="G2" s="1844"/>
      <c r="H2" s="1836"/>
      <c r="I2" s="1836"/>
      <c r="J2" s="1836"/>
      <c r="K2" s="1837"/>
      <c r="L2" s="1836"/>
      <c r="M2" s="1836"/>
    </row>
    <row r="3" spans="1:37" ht="18" customHeight="1" thickBot="1">
      <c r="A3" s="1845" t="s">
        <v>1518</v>
      </c>
      <c r="B3" s="1846">
        <f ca="1">IF(ISERROR(B2*10000/F43),0,ROUND(B2*10000/F43,0))</f>
        <v>13883</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305</v>
      </c>
      <c r="D5" s="1818" t="s">
        <v>1402</v>
      </c>
      <c r="E5" s="1289"/>
      <c r="F5" s="1290"/>
      <c r="G5" s="1847"/>
      <c r="H5" s="343">
        <v>1</v>
      </c>
      <c r="I5" s="344" t="s">
        <v>1401</v>
      </c>
      <c r="J5" s="1288">
        <f ca="1">J6+J10+J12</f>
        <v>0</v>
      </c>
      <c r="K5" s="1818" t="s">
        <v>1402</v>
      </c>
      <c r="L5" s="1289"/>
      <c r="M5" s="1290"/>
    </row>
    <row r="6" spans="1:37" ht="18" customHeight="1">
      <c r="A6" s="1287" t="s">
        <v>1035</v>
      </c>
      <c r="B6" s="3224" t="s">
        <v>1403</v>
      </c>
      <c r="C6" s="1292">
        <f ca="1">ROUND(F6*F8*F7*(1-F9)/10000,0)</f>
        <v>305</v>
      </c>
      <c r="D6" s="163" t="s">
        <v>3034</v>
      </c>
      <c r="E6" s="346" t="s">
        <v>1405</v>
      </c>
      <c r="F6" s="347">
        <f ca="1">INDIRECT("'数据-取费表'!u"&amp;$G$1)</f>
        <v>2.1</v>
      </c>
      <c r="G6" s="1847"/>
      <c r="H6" s="1287" t="s">
        <v>1035</v>
      </c>
      <c r="I6" s="3224" t="s">
        <v>1403</v>
      </c>
      <c r="J6" s="345">
        <f ca="1">ROUND(M6*M8*M7*(1-M9)/10000,0)</f>
        <v>0</v>
      </c>
      <c r="K6" s="163" t="s">
        <v>3033</v>
      </c>
      <c r="L6" s="346" t="s">
        <v>1405</v>
      </c>
      <c r="M6" s="347">
        <f ca="1">INDIRECT("'数据-取费表'!z"&amp;$G$1)</f>
        <v>0</v>
      </c>
    </row>
    <row r="7" spans="1:37" ht="18" customHeight="1">
      <c r="A7" s="1291"/>
      <c r="B7" s="3225"/>
      <c r="C7" s="1293"/>
      <c r="D7" s="351"/>
      <c r="E7" s="2971" t="s">
        <v>1406</v>
      </c>
      <c r="F7" s="347">
        <f ca="1">IF(INDIRECT("'数据-取费表'!ah"&amp;$G$1)="",INDIRECT("'数据-取费表'!k"&amp;$G$1),INDIRECT("'数据-取费表'!ah"&amp;$G$1))</f>
        <v>4184.2899999999991</v>
      </c>
      <c r="G7" s="1847"/>
      <c r="H7" s="348"/>
      <c r="I7" s="3225"/>
      <c r="J7" s="350"/>
      <c r="K7" s="351"/>
      <c r="L7" s="346" t="s">
        <v>1406</v>
      </c>
      <c r="M7" s="347">
        <f ca="1">F7</f>
        <v>4184.2899999999991</v>
      </c>
    </row>
    <row r="8" spans="1:37" ht="18" customHeight="1">
      <c r="A8" s="348"/>
      <c r="B8" s="3225"/>
      <c r="C8" s="350"/>
      <c r="D8" s="351"/>
      <c r="E8" s="346" t="s">
        <v>1407</v>
      </c>
      <c r="F8" s="347">
        <f ca="1">INDIRECT("'数据-取费表'!ai"&amp;$G$1)</f>
        <v>365</v>
      </c>
      <c r="G8" s="1847"/>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0.05</v>
      </c>
      <c r="G9" s="1847"/>
      <c r="H9" s="348"/>
      <c r="I9" s="322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3387</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1493</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1046</v>
      </c>
      <c r="D14" s="2959" t="s">
        <v>1419</v>
      </c>
      <c r="E14" s="2954"/>
      <c r="F14" s="363"/>
      <c r="G14" s="1847"/>
      <c r="H14" s="1197" t="s">
        <v>1035</v>
      </c>
      <c r="I14" s="346" t="s">
        <v>1420</v>
      </c>
      <c r="J14" s="23">
        <f ca="1">C29</f>
        <v>1523</v>
      </c>
      <c r="K14" s="2970"/>
      <c r="L14" s="975"/>
      <c r="M14" s="976"/>
    </row>
    <row r="15" spans="1:37" s="1854" customFormat="1" ht="18" customHeight="1" thickBot="1">
      <c r="A15" s="1197" t="s">
        <v>1036</v>
      </c>
      <c r="B15" s="346" t="s">
        <v>1421</v>
      </c>
      <c r="C15" s="23">
        <f ca="1">ROUND(C14*F15,0)</f>
        <v>31</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43</v>
      </c>
      <c r="K16" s="1333" t="s">
        <v>1426</v>
      </c>
      <c r="L16" s="2961"/>
      <c r="M16" s="1290"/>
    </row>
    <row r="17" spans="1:37" s="1854" customFormat="1" ht="18" customHeight="1">
      <c r="A17" s="1197" t="s">
        <v>1390</v>
      </c>
      <c r="B17" s="346" t="s">
        <v>1427</v>
      </c>
      <c r="C17" s="23">
        <f ca="1">ROUND(F17*(F43+INDIRECT("'数据-取费表'!S"&amp;$G$1))/10000,0)</f>
        <v>84</v>
      </c>
      <c r="D17" s="346" t="s">
        <v>1428</v>
      </c>
      <c r="E17" s="346" t="s">
        <v>1429</v>
      </c>
      <c r="F17" s="25">
        <f>'数据-取费表'!B35</f>
        <v>200</v>
      </c>
      <c r="G17" s="1850"/>
      <c r="H17" s="1197" t="s">
        <v>1035</v>
      </c>
      <c r="I17" s="346" t="s">
        <v>1430</v>
      </c>
      <c r="J17" s="23">
        <f ca="1">ROUND(IF(项目基本情况!B11="自然人",J5*M17,J18+J19+J20),1)</f>
        <v>12.9</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16</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1177</v>
      </c>
      <c r="D19" s="139" t="s">
        <v>1437</v>
      </c>
      <c r="E19" s="2968"/>
      <c r="F19" s="25"/>
      <c r="G19" s="1847"/>
      <c r="H19" s="1197" t="s">
        <v>1036</v>
      </c>
      <c r="I19" s="346" t="s">
        <v>1438</v>
      </c>
      <c r="J19" s="23">
        <f ca="1">IF(K19="按租金收入计税",ROUND(J5*M19,2),ROUND(C29*M19*0.7,2))</f>
        <v>12.79</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24</v>
      </c>
      <c r="D20" s="368" t="s">
        <v>1441</v>
      </c>
      <c r="E20" s="346" t="s">
        <v>1423</v>
      </c>
      <c r="F20" s="366">
        <f>'数据-取费表'!B37</f>
        <v>0.02</v>
      </c>
      <c r="G20" s="1850"/>
      <c r="H20" s="1197" t="s">
        <v>1389</v>
      </c>
      <c r="I20" s="163" t="s">
        <v>1442</v>
      </c>
      <c r="J20" s="24">
        <f ca="1">ROUND(M20*M21/10000,2)</f>
        <v>0.11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709.36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30.5</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87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-43</v>
      </c>
      <c r="K25" s="1341" t="s">
        <v>1465</v>
      </c>
      <c r="L25" s="1342"/>
      <c r="M25" s="1343"/>
    </row>
    <row r="26" spans="1:37">
      <c r="A26" s="1197" t="s">
        <v>1034</v>
      </c>
      <c r="B26" s="346" t="s">
        <v>1466</v>
      </c>
      <c r="C26" s="23">
        <f ca="1">ROUND((C19+C20)*F26,0)</f>
        <v>120</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1523</v>
      </c>
      <c r="D29" s="1338"/>
      <c r="E29" s="1336"/>
      <c r="F29" s="1339"/>
      <c r="G29" s="1850"/>
      <c r="H29" s="379" t="s">
        <v>1033</v>
      </c>
      <c r="I29" s="380" t="s">
        <v>1480</v>
      </c>
      <c r="J29" s="381">
        <f ca="1">ROUND(J26/(1+F40)^F41,0)</f>
        <v>0</v>
      </c>
      <c r="K29" s="382" t="s">
        <v>1481</v>
      </c>
      <c r="L29" s="383"/>
      <c r="M29" s="384">
        <f ca="1">INDIRECT("'数据-取费表'!k"&amp;$G$1)</f>
        <v>4184.2899999999991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69</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28.9</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15.98</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12.79</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709.36</v>
      </c>
      <c r="G35" s="1847"/>
      <c r="H35" s="744"/>
      <c r="I35" s="1856"/>
      <c r="J35" s="1857"/>
      <c r="K35" s="1858"/>
      <c r="L35" s="1855"/>
      <c r="M35" s="1855"/>
    </row>
    <row r="36" spans="1:18" ht="18" customHeight="1">
      <c r="A36" s="1348" t="s">
        <v>1039</v>
      </c>
      <c r="B36" s="346" t="s">
        <v>1450</v>
      </c>
      <c r="C36" s="23">
        <f ca="1">ROUND(C29*F36,1)</f>
        <v>30.5</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6.1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236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5798</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13857</v>
      </c>
      <c r="D43" s="382" t="s">
        <v>1489</v>
      </c>
      <c r="E43" s="383" t="s">
        <v>1490</v>
      </c>
      <c r="F43" s="384">
        <f ca="1">INDIRECT("'数据-取费表'!k"&amp;$G$1)</f>
        <v>4184.2899999999991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-6621</v>
      </c>
      <c r="D46" s="1868" t="str">
        <f>C2</f>
        <v>万元</v>
      </c>
      <c r="E46" s="1862"/>
      <c r="F46" s="1862"/>
      <c r="I46" s="1869" t="s">
        <v>1522</v>
      </c>
      <c r="J46" s="1870"/>
      <c r="K46" s="1871"/>
      <c r="L46" s="1872">
        <f ca="1">IF(M47="住宅",0,IF(L48&gt;J51,L60,J60))</f>
        <v>11</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5798</v>
      </c>
      <c r="R47" s="1882" t="s">
        <v>1530</v>
      </c>
    </row>
    <row r="48" spans="1:18" s="1838" customFormat="1" ht="40.200000000000003"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11</v>
      </c>
      <c r="R48" s="1882" t="s">
        <v>1534</v>
      </c>
    </row>
    <row r="49" spans="1:18" s="1838" customFormat="1" ht="13.8"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1523</v>
      </c>
      <c r="R49" s="1882" t="s">
        <v>1530</v>
      </c>
    </row>
    <row r="50" spans="1:18" s="1838" customFormat="1" ht="13.8" thickBot="1">
      <c r="A50" s="1191"/>
      <c r="B50" s="1194"/>
      <c r="C50" s="1364"/>
      <c r="D50" s="1168"/>
      <c r="E50" s="1273" t="s">
        <v>1406</v>
      </c>
      <c r="F50" s="1274">
        <f ca="1">F7</f>
        <v>4184.2899999999991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2105</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36.6"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46.08</v>
      </c>
      <c r="K53" s="3222" t="s">
        <v>1549</v>
      </c>
      <c r="L53" s="3223"/>
      <c r="O53" s="1880" t="s">
        <v>1046</v>
      </c>
      <c r="P53" s="1881" t="s">
        <v>1550</v>
      </c>
      <c r="Q53" s="1882">
        <f ca="1">Q47+Q48</f>
        <v>5809</v>
      </c>
      <c r="R53" s="1882" t="s">
        <v>1047</v>
      </c>
    </row>
    <row r="54" spans="1:18" s="1838" customFormat="1" ht="24.6"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2963"/>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1493</v>
      </c>
      <c r="D56" s="1910"/>
      <c r="E56" s="1911"/>
      <c r="F56" s="1903"/>
      <c r="I56" s="1912" t="s">
        <v>1554</v>
      </c>
      <c r="J56" s="1913" t="s">
        <v>3385</v>
      </c>
      <c r="K56" s="1883" t="s">
        <v>1555</v>
      </c>
      <c r="L56" s="1886" t="str">
        <f ca="1">IF(L48&lt;J51,"——",L48-J53)</f>
        <v>——</v>
      </c>
      <c r="O56" s="1880" t="s">
        <v>1040</v>
      </c>
      <c r="P56" s="1881" t="s">
        <v>1529</v>
      </c>
      <c r="Q56" s="1882">
        <f ca="1">C40+J29</f>
        <v>5798</v>
      </c>
      <c r="R56" s="1882" t="s">
        <v>1530</v>
      </c>
    </row>
    <row r="57" spans="1:18" s="1838" customFormat="1" ht="24.6" thickBot="1">
      <c r="A57" s="1914"/>
      <c r="B57" s="1165" t="s">
        <v>1479</v>
      </c>
      <c r="C57" s="281">
        <f ca="1">C29</f>
        <v>1523</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46</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12.9</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609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11</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1438</v>
      </c>
      <c r="C61" s="23">
        <f ca="1">IF(项目基本情况!B11="自然人","——",IF(D61="按租金收入计税",ROUND(C48*F61,2),IF(D61="按房产原值计税",ROUND(C57*F61*0.7,2),INDIRECT("'数据-取费表'!Aj"&amp;$G$1))))</f>
        <v>12.79</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1442</v>
      </c>
      <c r="C62" s="24">
        <f ca="1">IF(项目基本情况!B11="自然人","——",ROUND(F62*F63/10000,2))</f>
        <v>0.11</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5798</v>
      </c>
      <c r="R62" s="1882" t="s">
        <v>1047</v>
      </c>
    </row>
    <row r="63" spans="1:18" s="1838" customFormat="1" ht="13.8" thickBot="1">
      <c r="A63" s="371"/>
      <c r="B63" s="1171"/>
      <c r="C63" s="28"/>
      <c r="D63" s="1181"/>
      <c r="E63" s="1165" t="s">
        <v>1448</v>
      </c>
      <c r="F63" s="347">
        <f t="shared" ca="1" si="0"/>
        <v>709.36</v>
      </c>
      <c r="I63" s="1925" t="s">
        <v>1576</v>
      </c>
      <c r="J63" s="1926">
        <v>70</v>
      </c>
      <c r="K63" s="1926">
        <v>50</v>
      </c>
      <c r="L63" s="1926">
        <v>80</v>
      </c>
      <c r="M63" s="1928">
        <v>0.02</v>
      </c>
      <c r="O63" s="1865" t="s">
        <v>1577</v>
      </c>
      <c r="P63" s="1835"/>
      <c r="Q63" s="1835"/>
      <c r="R63" s="1835"/>
    </row>
    <row r="64" spans="1:18" s="1838" customFormat="1" ht="13.8" thickBot="1">
      <c r="A64" s="1197" t="s">
        <v>1039</v>
      </c>
      <c r="B64" s="1165" t="s">
        <v>1450</v>
      </c>
      <c r="C64" s="23">
        <f ca="1">ROUND(C57*F64,1)</f>
        <v>30.5</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3</v>
      </c>
      <c r="D65" s="1179" t="s">
        <v>1455</v>
      </c>
      <c r="E65" s="1165" t="s">
        <v>1423</v>
      </c>
      <c r="F65" s="375">
        <f t="shared" ca="1" si="0"/>
        <v>2E-3</v>
      </c>
      <c r="I65" s="1925" t="s">
        <v>1579</v>
      </c>
      <c r="J65" s="1926">
        <v>40</v>
      </c>
      <c r="K65" s="1926">
        <v>30</v>
      </c>
      <c r="L65" s="1926">
        <v>50</v>
      </c>
      <c r="M65" s="1928">
        <v>0.02</v>
      </c>
      <c r="O65" s="1880" t="s">
        <v>1040</v>
      </c>
      <c r="P65" s="1881" t="s">
        <v>1529</v>
      </c>
      <c r="Q65" s="1882">
        <f ca="1">C40+J29</f>
        <v>5798</v>
      </c>
      <c r="R65" s="1882" t="s">
        <v>1530</v>
      </c>
    </row>
    <row r="66" spans="1:18" s="1838" customFormat="1" ht="16.2"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-46</v>
      </c>
      <c r="D67" s="1178" t="s">
        <v>1465</v>
      </c>
      <c r="E67" s="1183"/>
      <c r="F67" s="1184"/>
      <c r="O67" s="1890" t="s">
        <v>1042</v>
      </c>
      <c r="P67" s="1881" t="s">
        <v>1562</v>
      </c>
      <c r="Q67" s="1929">
        <f ca="1">L51</f>
        <v>2105</v>
      </c>
      <c r="R67" s="1882" t="s">
        <v>1582</v>
      </c>
    </row>
    <row r="68" spans="1:18" s="1838" customFormat="1" ht="16.2" thickBot="1">
      <c r="A68" s="1162" t="s">
        <v>1032</v>
      </c>
      <c r="B68" s="1163" t="s">
        <v>1486</v>
      </c>
      <c r="C68" s="345">
        <f ca="1">ROUND(C67*(1-((1+F70)/(1+F68))^F69)/(F68-F70),0)</f>
        <v>-823</v>
      </c>
      <c r="D68" s="1180" t="s">
        <v>1470</v>
      </c>
      <c r="E68" s="1165" t="s">
        <v>1471</v>
      </c>
      <c r="F68" s="356">
        <f ca="1">F40</f>
        <v>0.05</v>
      </c>
      <c r="O68" s="1890" t="s">
        <v>1043</v>
      </c>
      <c r="P68" s="1930" t="s">
        <v>1583</v>
      </c>
      <c r="Q68" s="1882">
        <f ca="1">ROUND(Q69-Q70*Q71,0)</f>
        <v>109</v>
      </c>
      <c r="R68" s="1882" t="s">
        <v>1051</v>
      </c>
    </row>
    <row r="69" spans="1:18" s="1838" customFormat="1" ht="13.8" thickBot="1">
      <c r="A69" s="1166"/>
      <c r="B69" s="1167"/>
      <c r="C69" s="350"/>
      <c r="D69" s="1185" t="s">
        <v>1474</v>
      </c>
      <c r="E69" s="1165" t="s">
        <v>1475</v>
      </c>
      <c r="F69" s="378">
        <f ca="1">F41</f>
        <v>46.08</v>
      </c>
      <c r="O69" s="1890" t="s">
        <v>1048</v>
      </c>
      <c r="P69" s="1930" t="s">
        <v>1584</v>
      </c>
      <c r="Q69" s="1882">
        <f ca="1">C39</f>
        <v>236</v>
      </c>
      <c r="R69" s="1882" t="s">
        <v>1530</v>
      </c>
    </row>
    <row r="70" spans="1:18" s="1838" customFormat="1" ht="13.8" thickBot="1">
      <c r="A70" s="1169"/>
      <c r="B70" s="1170"/>
      <c r="C70" s="354"/>
      <c r="D70" s="1181"/>
      <c r="E70" s="1165" t="s">
        <v>1478</v>
      </c>
      <c r="F70" s="1271"/>
      <c r="O70" s="1890" t="s">
        <v>1049</v>
      </c>
      <c r="P70" s="1930" t="s">
        <v>1585</v>
      </c>
      <c r="Q70" s="1882">
        <f ca="1">C13</f>
        <v>1493</v>
      </c>
      <c r="R70" s="1882" t="s">
        <v>1530</v>
      </c>
    </row>
    <row r="71" spans="1:18" s="1838" customFormat="1" ht="13.8" thickBot="1">
      <c r="A71" s="1186" t="s">
        <v>1033</v>
      </c>
      <c r="B71" s="1187" t="s">
        <v>1488</v>
      </c>
      <c r="C71" s="381">
        <f ca="1">ROUND(C68*10000/F71,0)</f>
        <v>-1967</v>
      </c>
      <c r="D71" s="1188" t="s">
        <v>1489</v>
      </c>
      <c r="E71" s="1189" t="s">
        <v>1490</v>
      </c>
      <c r="F71" s="384">
        <f ca="1">F43</f>
        <v>4184.2899999999991</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127</v>
      </c>
      <c r="D75" s="1838"/>
      <c r="E75" s="1838"/>
      <c r="F75" s="1838"/>
      <c r="K75" s="1864"/>
      <c r="L75" s="1838"/>
      <c r="O75" s="1880" t="s">
        <v>1046</v>
      </c>
      <c r="P75" s="1881" t="s">
        <v>1550</v>
      </c>
      <c r="Q75" s="1882">
        <f ca="1">Q65+Q66</f>
        <v>5798</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0.46199999999999997</v>
      </c>
    </row>
    <row r="80" spans="1:18">
      <c r="B80" s="385" t="s">
        <v>1512</v>
      </c>
      <c r="C80" s="317">
        <f ca="1">ROUND(C75/C39,3)</f>
        <v>0.53800000000000003</v>
      </c>
    </row>
    <row r="81" spans="2:3">
      <c r="B81" s="313" t="s">
        <v>1513</v>
      </c>
      <c r="C81" s="281"/>
    </row>
    <row r="82" spans="2:3">
      <c r="B82" s="316" t="s">
        <v>1514</v>
      </c>
      <c r="C82" s="318">
        <f ca="1">1-C83</f>
        <v>0.74199999999999999</v>
      </c>
    </row>
    <row r="83" spans="2:3">
      <c r="B83" s="316" t="s">
        <v>1515</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24" t="s">
        <v>1403</v>
      </c>
      <c r="C6" s="1292">
        <f ca="1">ROUND(F6*F8*F7*(1-F9),0)</f>
        <v>0</v>
      </c>
      <c r="D6" s="163" t="s">
        <v>3029</v>
      </c>
      <c r="E6" s="346" t="s">
        <v>1405</v>
      </c>
      <c r="F6" s="347">
        <f ca="1">INDIRECT("'数据-取费表'!u"&amp;$G$1)</f>
        <v>0</v>
      </c>
      <c r="G6" s="1847"/>
      <c r="H6" s="1287" t="s">
        <v>1035</v>
      </c>
      <c r="I6" s="3224" t="s">
        <v>1403</v>
      </c>
      <c r="J6" s="345">
        <f ca="1">ROUND(M6*M8*M7*(1-M9),0)</f>
        <v>0</v>
      </c>
      <c r="K6" s="1830" t="s">
        <v>3032</v>
      </c>
      <c r="L6" s="346" t="s">
        <v>1405</v>
      </c>
      <c r="M6" s="347">
        <f ca="1">INDIRECT("'数据-取费表'!z"&amp;$G$1)</f>
        <v>0</v>
      </c>
    </row>
    <row r="7" spans="1:37" ht="18" customHeight="1">
      <c r="A7" s="1291"/>
      <c r="B7" s="3225"/>
      <c r="C7" s="1293"/>
      <c r="D7" s="351"/>
      <c r="E7" s="1294" t="s">
        <v>1406</v>
      </c>
      <c r="F7" s="347">
        <f ca="1">IF(INDIRECT("'数据-取费表'!ah"&amp;$G$1)="",INDIRECT("'数据-取费表'!k"&amp;$G$1),INDIRECT("'数据-取费表'!ah"&amp;$G$1))</f>
        <v>0</v>
      </c>
      <c r="G7" s="1847"/>
      <c r="H7" s="348"/>
      <c r="I7" s="3225"/>
      <c r="J7" s="350"/>
      <c r="K7" s="351"/>
      <c r="L7" s="346" t="s">
        <v>1406</v>
      </c>
      <c r="M7" s="347">
        <f ca="1">F7</f>
        <v>0</v>
      </c>
    </row>
    <row r="8" spans="1:37" ht="18" customHeight="1">
      <c r="A8" s="348"/>
      <c r="B8" s="3225"/>
      <c r="C8" s="350"/>
      <c r="D8" s="351"/>
      <c r="E8" s="346" t="s">
        <v>1407</v>
      </c>
      <c r="F8" s="347">
        <f ca="1">INDIRECT("'数据-取费表'!ai"&amp;$G$1)</f>
        <v>0</v>
      </c>
      <c r="G8" s="1847"/>
      <c r="H8" s="348"/>
      <c r="I8" s="3225"/>
      <c r="J8" s="350"/>
      <c r="K8" s="351"/>
      <c r="L8" s="346" t="s">
        <v>1407</v>
      </c>
      <c r="M8" s="347">
        <f ca="1">INDIRECT("'数据-取费表'!ai"&amp;$G$1)</f>
        <v>0</v>
      </c>
    </row>
    <row r="9" spans="1:37" ht="18" customHeight="1">
      <c r="A9" s="348"/>
      <c r="B9" s="3226"/>
      <c r="C9" s="350"/>
      <c r="D9" s="351"/>
      <c r="E9" s="346" t="s">
        <v>1408</v>
      </c>
      <c r="F9" s="356">
        <f ca="1">INDIRECT("'数据-取费表'!w"&amp;$G$1)</f>
        <v>0</v>
      </c>
      <c r="G9" s="1847"/>
      <c r="H9" s="348"/>
      <c r="I9" s="322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8"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8"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40.200000000000003"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8"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8"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8"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8"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22" t="s">
        <v>1549</v>
      </c>
      <c r="L53" s="3223"/>
      <c r="O53" s="1880" t="s">
        <v>1046</v>
      </c>
      <c r="P53" s="1881" t="s">
        <v>1550</v>
      </c>
      <c r="Q53" s="1882" t="e">
        <f ca="1">Q47+Q48</f>
        <v>#DIV/0!</v>
      </c>
      <c r="R53" s="1882" t="s">
        <v>1047</v>
      </c>
    </row>
    <row r="54" spans="1:18" s="1838" customFormat="1" ht="13.8"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8"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6"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6"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8"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8"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8"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8"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2"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24.6"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2"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8" thickBot="1">
      <c r="A69" s="1166"/>
      <c r="B69" s="1167"/>
      <c r="C69" s="350"/>
      <c r="D69" s="1185" t="s">
        <v>1474</v>
      </c>
      <c r="E69" s="1165" t="s">
        <v>1475</v>
      </c>
      <c r="F69" s="378">
        <f ca="1">F41</f>
        <v>0</v>
      </c>
      <c r="O69" s="1890" t="s">
        <v>1048</v>
      </c>
      <c r="P69" s="1930" t="s">
        <v>1584</v>
      </c>
      <c r="Q69" s="1882">
        <f ca="1">C39</f>
        <v>0</v>
      </c>
      <c r="R69" s="1882" t="s">
        <v>1530</v>
      </c>
    </row>
    <row r="70" spans="1:18" s="1838" customFormat="1" ht="13.8" thickBot="1">
      <c r="A70" s="1169"/>
      <c r="B70" s="1170"/>
      <c r="C70" s="354"/>
      <c r="D70" s="1181"/>
      <c r="E70" s="1165" t="s">
        <v>1478</v>
      </c>
      <c r="F70" s="1271">
        <f ca="1">F42</f>
        <v>0</v>
      </c>
      <c r="O70" s="1890" t="s">
        <v>1049</v>
      </c>
      <c r="P70" s="1930" t="s">
        <v>1585</v>
      </c>
      <c r="Q70" s="1882">
        <f ca="1">C13</f>
        <v>0</v>
      </c>
      <c r="R70" s="1882" t="s">
        <v>1530</v>
      </c>
    </row>
    <row r="71" spans="1:18" s="1838" customFormat="1" ht="13.8"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8"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4" t="s">
        <v>2525</v>
      </c>
      <c r="B1" s="2555"/>
      <c r="C1" s="2555"/>
      <c r="D1" s="2555"/>
      <c r="E1" s="2556"/>
    </row>
    <row r="2" spans="1:6" ht="15.6">
      <c r="A2" s="2557" t="s">
        <v>2326</v>
      </c>
      <c r="B2" s="2558">
        <f ca="1">SUMIF(B6:B13,"&lt;&gt;#ref!",B6:B13)</f>
        <v>5809</v>
      </c>
      <c r="C2" s="2559" t="s">
        <v>2518</v>
      </c>
      <c r="D2" s="2560" t="s">
        <v>2519</v>
      </c>
      <c r="E2" s="2561">
        <f>SUM(E6:E13)</f>
        <v>4184.2899999999991</v>
      </c>
    </row>
    <row r="3" spans="1:6" ht="15.6">
      <c r="A3" s="2557" t="s">
        <v>1395</v>
      </c>
      <c r="B3" s="2558">
        <f ca="1">ROUND(B2*10000/E2,0)</f>
        <v>13883</v>
      </c>
      <c r="C3" s="2559" t="s">
        <v>2526</v>
      </c>
      <c r="D3" s="2562"/>
      <c r="E3" s="2563"/>
    </row>
    <row r="4" spans="1:6" ht="15.6">
      <c r="A4" s="2564"/>
      <c r="B4" s="2562"/>
      <c r="C4" s="2562"/>
      <c r="D4" s="2562"/>
      <c r="E4" s="2563"/>
    </row>
    <row r="5" spans="1:6" ht="14.4">
      <c r="A5" s="2565" t="s">
        <v>2520</v>
      </c>
      <c r="B5" s="3290" t="s">
        <v>2521</v>
      </c>
      <c r="C5" s="3290"/>
      <c r="D5" s="2566"/>
      <c r="E5" s="2567" t="s">
        <v>2522</v>
      </c>
      <c r="F5" s="2568" t="s">
        <v>2523</v>
      </c>
    </row>
    <row r="6" spans="1:6" ht="14.4">
      <c r="A6" s="2569" t="str">
        <f>'数据-取费表'!AN6</f>
        <v>收益法（办公）</v>
      </c>
      <c r="B6" s="2568">
        <f>IF(F6="是",'数据-取费表'!AO6,0)</f>
        <v>0</v>
      </c>
      <c r="C6" s="2559" t="s">
        <v>2518</v>
      </c>
      <c r="D6" s="2562"/>
      <c r="E6" s="2570">
        <f>IF(OR(A6=0,F6="否"),0,'数据-取费表'!K6+'数据-取费表'!S6)</f>
        <v>0</v>
      </c>
      <c r="F6" s="2571" t="s">
        <v>3385</v>
      </c>
    </row>
    <row r="7" spans="1:6" ht="14.4">
      <c r="A7" s="2569" t="str">
        <f>'数据-取费表'!AN7</f>
        <v>收益法（商业）</v>
      </c>
      <c r="B7" s="2568">
        <f>IF(F7="是",'数据-取费表'!AO7,0)</f>
        <v>0</v>
      </c>
      <c r="C7" s="2559" t="s">
        <v>2518</v>
      </c>
      <c r="D7" s="2562"/>
      <c r="E7" s="2570">
        <f>IF(OR(A7=0,F7="否"),0,'数据-取费表'!K7+'数据-取费表'!S7)</f>
        <v>0</v>
      </c>
      <c r="F7" s="2571" t="s">
        <v>3385</v>
      </c>
    </row>
    <row r="8" spans="1:6" ht="14.4">
      <c r="A8" s="2569" t="str">
        <f>'数据-取费表'!AN8</f>
        <v>收益法（地下车库）</v>
      </c>
      <c r="B8" s="2568">
        <f ca="1">IF(F8="是",'数据-取费表'!AO8,0)</f>
        <v>5809</v>
      </c>
      <c r="C8" s="2559" t="s">
        <v>2518</v>
      </c>
      <c r="D8" s="2562"/>
      <c r="E8" s="2570">
        <f>IF(OR(A8=0,F8="否"),0,'数据-取费表'!K8+'数据-取费表'!S8)</f>
        <v>4184.2899999999991</v>
      </c>
      <c r="F8" s="2571" t="s">
        <v>2524</v>
      </c>
    </row>
    <row r="9" spans="1:6" ht="14.4">
      <c r="A9" s="2569">
        <f>'数据-取费表'!AN9</f>
        <v>0</v>
      </c>
      <c r="B9" s="2568" t="e">
        <f ca="1">IF(F9="是",'数据-取费表'!AO9,0)</f>
        <v>#REF!</v>
      </c>
      <c r="C9" s="2559" t="s">
        <v>2518</v>
      </c>
      <c r="D9" s="2562"/>
      <c r="E9" s="2570">
        <f>IF(OR(A9=0,F9="否"),0,'数据-取费表'!K9+'数据-取费表'!S9)</f>
        <v>0</v>
      </c>
      <c r="F9" s="2571" t="s">
        <v>2524</v>
      </c>
    </row>
    <row r="10" spans="1:6" ht="14.4">
      <c r="A10" s="2569">
        <f>'数据-取费表'!AN10</f>
        <v>0</v>
      </c>
      <c r="B10" s="2568" t="e">
        <f ca="1">IF(F10="是",'数据-取费表'!AO10,0)</f>
        <v>#REF!</v>
      </c>
      <c r="C10" s="2559" t="s">
        <v>2518</v>
      </c>
      <c r="D10" s="2562"/>
      <c r="E10" s="2570">
        <f>IF(OR(A10=0,F10="否"),0,'数据-取费表'!K10+'数据-取费表'!S10)</f>
        <v>0</v>
      </c>
      <c r="F10" s="2571" t="s">
        <v>2524</v>
      </c>
    </row>
    <row r="11" spans="1:6" ht="14.4">
      <c r="A11" s="2569">
        <f>'数据-取费表'!AN11</f>
        <v>0</v>
      </c>
      <c r="B11" s="2568" t="e">
        <f ca="1">IF(F11="是",'数据-取费表'!AO11,0)</f>
        <v>#REF!</v>
      </c>
      <c r="C11" s="2559" t="s">
        <v>2518</v>
      </c>
      <c r="D11" s="2562"/>
      <c r="E11" s="2570">
        <f>IF(OR(A11=0,F11="否"),0,'数据-取费表'!K11+'数据-取费表'!S11)</f>
        <v>0</v>
      </c>
      <c r="F11" s="2571" t="s">
        <v>2524</v>
      </c>
    </row>
    <row r="12" spans="1:6" ht="14.4">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07" t="s">
        <v>1076</v>
      </c>
      <c r="B1" s="3308"/>
      <c r="C1" s="3309"/>
      <c r="D1" s="3310">
        <f>SUM(I10,I15,I20,I21,I23)</f>
        <v>0</v>
      </c>
      <c r="E1" s="3310"/>
      <c r="F1" s="3310"/>
      <c r="G1" s="3310"/>
      <c r="H1" s="3310"/>
      <c r="I1" s="3311"/>
    </row>
    <row r="2" spans="1:9">
      <c r="A2" s="3297" t="s">
        <v>1077</v>
      </c>
      <c r="B2" s="3298" t="s">
        <v>1078</v>
      </c>
      <c r="C2" s="3298"/>
      <c r="D2" s="1297" t="s">
        <v>1079</v>
      </c>
      <c r="E2" s="1297" t="s">
        <v>1080</v>
      </c>
      <c r="F2" s="1297" t="s">
        <v>1081</v>
      </c>
      <c r="G2" s="1297" t="s">
        <v>1082</v>
      </c>
      <c r="H2" s="1297" t="s">
        <v>1083</v>
      </c>
      <c r="I2" s="1298" t="s">
        <v>1084</v>
      </c>
    </row>
    <row r="3" spans="1:9">
      <c r="A3" s="3297"/>
      <c r="B3" s="3298" t="s">
        <v>1085</v>
      </c>
      <c r="C3" s="3298"/>
      <c r="D3" s="1299"/>
      <c r="E3" s="1297"/>
      <c r="F3" s="1300"/>
      <c r="G3" s="1300"/>
      <c r="H3" s="1301"/>
      <c r="I3" s="1302">
        <f>ROUND(D3*E3*F3*G3*H3/10000,0)</f>
        <v>0</v>
      </c>
    </row>
    <row r="4" spans="1:9">
      <c r="A4" s="3297"/>
      <c r="B4" s="3298" t="s">
        <v>1086</v>
      </c>
      <c r="C4" s="3298"/>
      <c r="D4" s="1299"/>
      <c r="E4" s="1297"/>
      <c r="F4" s="1300"/>
      <c r="G4" s="1300"/>
      <c r="H4" s="1301"/>
      <c r="I4" s="1302">
        <f t="shared" ref="I4:I9" si="0">ROUND(D4*E4*F4*G4*H4/10000,0)</f>
        <v>0</v>
      </c>
    </row>
    <row r="5" spans="1:9">
      <c r="A5" s="3297"/>
      <c r="B5" s="3298" t="s">
        <v>1087</v>
      </c>
      <c r="C5" s="3298"/>
      <c r="D5" s="1299"/>
      <c r="E5" s="1297"/>
      <c r="F5" s="1300"/>
      <c r="G5" s="1300"/>
      <c r="H5" s="1301"/>
      <c r="I5" s="1302">
        <f t="shared" si="0"/>
        <v>0</v>
      </c>
    </row>
    <row r="6" spans="1:9">
      <c r="A6" s="3297"/>
      <c r="B6" s="3298" t="s">
        <v>1088</v>
      </c>
      <c r="C6" s="3298"/>
      <c r="D6" s="1299"/>
      <c r="E6" s="1297"/>
      <c r="F6" s="1300"/>
      <c r="G6" s="1300"/>
      <c r="H6" s="1301"/>
      <c r="I6" s="1302">
        <f t="shared" si="0"/>
        <v>0</v>
      </c>
    </row>
    <row r="7" spans="1:9">
      <c r="A7" s="3297"/>
      <c r="B7" s="3298" t="s">
        <v>1089</v>
      </c>
      <c r="C7" s="3298"/>
      <c r="D7" s="1299"/>
      <c r="E7" s="1297"/>
      <c r="F7" s="1300"/>
      <c r="G7" s="1300"/>
      <c r="H7" s="1301"/>
      <c r="I7" s="1302">
        <f t="shared" si="0"/>
        <v>0</v>
      </c>
    </row>
    <row r="8" spans="1:9">
      <c r="A8" s="3297"/>
      <c r="B8" s="3298" t="s">
        <v>1090</v>
      </c>
      <c r="C8" s="3298"/>
      <c r="D8" s="1299"/>
      <c r="E8" s="1297"/>
      <c r="F8" s="1300"/>
      <c r="G8" s="1300"/>
      <c r="H8" s="1301"/>
      <c r="I8" s="1302">
        <f t="shared" si="0"/>
        <v>0</v>
      </c>
    </row>
    <row r="9" spans="1:9">
      <c r="A9" s="3297"/>
      <c r="B9" s="3298" t="s">
        <v>1091</v>
      </c>
      <c r="C9" s="3298"/>
      <c r="D9" s="1299"/>
      <c r="E9" s="1297"/>
      <c r="F9" s="1300"/>
      <c r="G9" s="1300"/>
      <c r="H9" s="1301"/>
      <c r="I9" s="1302">
        <f t="shared" si="0"/>
        <v>0</v>
      </c>
    </row>
    <row r="10" spans="1:9">
      <c r="A10" s="3297"/>
      <c r="B10" s="3299" t="s">
        <v>1092</v>
      </c>
      <c r="C10" s="3299"/>
      <c r="D10" s="1303"/>
      <c r="E10" s="1303" t="e">
        <f>ROUND(D1*10000/D10/H9,0)</f>
        <v>#DIV/0!</v>
      </c>
      <c r="F10" s="1304"/>
      <c r="G10" s="1304"/>
      <c r="H10" s="1305"/>
      <c r="I10" s="1306">
        <f>SUM(I3:I9)</f>
        <v>0</v>
      </c>
    </row>
    <row r="11" spans="1:9" ht="15.6">
      <c r="A11" s="3297" t="s">
        <v>1093</v>
      </c>
      <c r="B11" s="3298" t="s">
        <v>1094</v>
      </c>
      <c r="C11" s="3298"/>
      <c r="D11" s="1299" t="s">
        <v>1095</v>
      </c>
      <c r="E11" s="1299" t="s">
        <v>1096</v>
      </c>
      <c r="F11" s="1300" t="s">
        <v>1097</v>
      </c>
      <c r="G11" s="1300" t="s">
        <v>1083</v>
      </c>
      <c r="H11" s="1307" t="s">
        <v>1098</v>
      </c>
      <c r="I11" s="1298" t="s">
        <v>1084</v>
      </c>
    </row>
    <row r="12" spans="1:9">
      <c r="A12" s="3297"/>
      <c r="B12" s="3298" t="s">
        <v>1099</v>
      </c>
      <c r="C12" s="3298"/>
      <c r="D12" s="1299"/>
      <c r="E12" s="1299"/>
      <c r="F12" s="1300"/>
      <c r="G12" s="1301"/>
      <c r="H12" s="1308"/>
      <c r="I12" s="1298">
        <f>ROUND(D12*E12*F12*G12/10000,0)</f>
        <v>0</v>
      </c>
    </row>
    <row r="13" spans="1:9">
      <c r="A13" s="3297"/>
      <c r="B13" s="3298" t="s">
        <v>1100</v>
      </c>
      <c r="C13" s="3298"/>
      <c r="D13" s="1299"/>
      <c r="E13" s="1299"/>
      <c r="F13" s="1300"/>
      <c r="G13" s="1301"/>
      <c r="H13" s="1308"/>
      <c r="I13" s="1298">
        <f>ROUND(D13*E13*F13*G13/10000,0)</f>
        <v>0</v>
      </c>
    </row>
    <row r="14" spans="1:9">
      <c r="A14" s="3297"/>
      <c r="B14" s="3298" t="s">
        <v>1101</v>
      </c>
      <c r="C14" s="3298"/>
      <c r="D14" s="1299"/>
      <c r="E14" s="1299"/>
      <c r="F14" s="1300"/>
      <c r="G14" s="1301"/>
      <c r="H14" s="1308"/>
      <c r="I14" s="1298">
        <f>ROUND(D14*E14*F14*G14/10000,0)</f>
        <v>0</v>
      </c>
    </row>
    <row r="15" spans="1:9">
      <c r="A15" s="3297"/>
      <c r="B15" s="3299" t="s">
        <v>1092</v>
      </c>
      <c r="C15" s="3299"/>
      <c r="D15" s="1303"/>
      <c r="E15" s="1303">
        <f>SUM(E12:E14)</f>
        <v>0</v>
      </c>
      <c r="F15" s="1304"/>
      <c r="G15" s="1301"/>
      <c r="H15" s="1308"/>
      <c r="I15" s="1309">
        <f>SUM(I12:I14)</f>
        <v>0</v>
      </c>
    </row>
    <row r="16" spans="1:9" ht="24">
      <c r="A16" s="3297" t="s">
        <v>1102</v>
      </c>
      <c r="B16" s="3298" t="s">
        <v>1103</v>
      </c>
      <c r="C16" s="3298"/>
      <c r="D16" s="1299" t="s">
        <v>1079</v>
      </c>
      <c r="E16" s="1310" t="s">
        <v>1104</v>
      </c>
      <c r="F16" s="1300" t="s">
        <v>1105</v>
      </c>
      <c r="G16" s="1301" t="s">
        <v>1083</v>
      </c>
      <c r="H16" s="1307" t="s">
        <v>1098</v>
      </c>
      <c r="I16" s="1298" t="s">
        <v>1084</v>
      </c>
    </row>
    <row r="17" spans="1:9" ht="15.6">
      <c r="A17" s="3297"/>
      <c r="B17" s="3298" t="s">
        <v>1106</v>
      </c>
      <c r="C17" s="3298"/>
      <c r="D17" s="1299"/>
      <c r="E17" s="1299"/>
      <c r="F17" s="1300"/>
      <c r="G17" s="1301"/>
      <c r="H17" s="1311"/>
      <c r="I17" s="1312">
        <f>ROUND(D17*E17*F17*G17/10000,0)</f>
        <v>0</v>
      </c>
    </row>
    <row r="18" spans="1:9" ht="15.6">
      <c r="A18" s="3297"/>
      <c r="B18" s="3298" t="s">
        <v>1107</v>
      </c>
      <c r="C18" s="3298"/>
      <c r="D18" s="1299"/>
      <c r="E18" s="1299"/>
      <c r="F18" s="1300"/>
      <c r="G18" s="1301"/>
      <c r="H18" s="1311"/>
      <c r="I18" s="1312">
        <f>ROUND(D18*E18*F18*G18/10000,0)</f>
        <v>0</v>
      </c>
    </row>
    <row r="19" spans="1:9" ht="15.6">
      <c r="A19" s="3297"/>
      <c r="B19" s="3298" t="s">
        <v>1108</v>
      </c>
      <c r="C19" s="3298"/>
      <c r="D19" s="1299"/>
      <c r="E19" s="1299"/>
      <c r="F19" s="1300"/>
      <c r="G19" s="1301"/>
      <c r="H19" s="1311"/>
      <c r="I19" s="1312">
        <f>ROUND(D19*E19*F19*G19/10000,0)</f>
        <v>0</v>
      </c>
    </row>
    <row r="20" spans="1:9">
      <c r="A20" s="3297"/>
      <c r="B20" s="3299" t="s">
        <v>1092</v>
      </c>
      <c r="C20" s="3299"/>
      <c r="D20" s="1303">
        <f>SUM(D17:D19)</f>
        <v>0</v>
      </c>
      <c r="E20" s="1303"/>
      <c r="F20" s="1304"/>
      <c r="G20" s="1301"/>
      <c r="H20" s="1308"/>
      <c r="I20" s="1309">
        <f>SUM(I17:I19)</f>
        <v>0</v>
      </c>
    </row>
    <row r="21" spans="1:9">
      <c r="A21" s="3297" t="s">
        <v>1109</v>
      </c>
      <c r="B21" s="3300"/>
      <c r="C21" s="3300"/>
      <c r="D21" s="3300"/>
      <c r="E21" s="3300"/>
      <c r="F21" s="3300"/>
      <c r="G21" s="3300"/>
      <c r="H21" s="1761">
        <v>0.1</v>
      </c>
      <c r="I21" s="1306">
        <f>ROUND(I10*H21,0)</f>
        <v>0</v>
      </c>
    </row>
    <row r="22" spans="1:9" ht="15.6">
      <c r="A22" s="3301" t="s">
        <v>1110</v>
      </c>
      <c r="B22" s="3302"/>
      <c r="C22" s="3303"/>
      <c r="D22" s="1313" t="s">
        <v>1111</v>
      </c>
      <c r="E22" s="1313" t="s">
        <v>1112</v>
      </c>
      <c r="F22" s="1314" t="s">
        <v>1113</v>
      </c>
      <c r="G22" s="1314" t="s">
        <v>1114</v>
      </c>
      <c r="H22" s="1307" t="s">
        <v>1115</v>
      </c>
      <c r="I22" s="1298" t="s">
        <v>1116</v>
      </c>
    </row>
    <row r="23" spans="1:9" ht="15" thickBot="1">
      <c r="A23" s="3304"/>
      <c r="B23" s="3305"/>
      <c r="C23" s="3306"/>
      <c r="D23" s="1315"/>
      <c r="E23" s="1315"/>
      <c r="F23" s="1315"/>
      <c r="G23" s="1316"/>
      <c r="H23" s="1317"/>
      <c r="I23" s="1318">
        <f>ROUND(E23*D23*F23*(1-G23)/10000,0)</f>
        <v>0</v>
      </c>
    </row>
    <row r="26" spans="1:9">
      <c r="A26" s="1319" t="s">
        <v>1117</v>
      </c>
      <c r="B26" s="1319"/>
      <c r="C26" s="1319"/>
      <c r="D26" s="1319"/>
      <c r="E26" s="3294">
        <f>C27-C30-C31-C32</f>
        <v>0</v>
      </c>
      <c r="F26" s="3294"/>
      <c r="G26" s="3294"/>
      <c r="H26" s="1733" t="s">
        <v>1340</v>
      </c>
    </row>
    <row r="27" spans="1:9">
      <c r="A27" s="1320">
        <v>1</v>
      </c>
      <c r="B27" s="1321" t="s">
        <v>1118</v>
      </c>
      <c r="C27" s="1321">
        <f>C28+C29</f>
        <v>0</v>
      </c>
      <c r="D27" s="1321"/>
      <c r="E27" s="3295"/>
      <c r="F27" s="3295"/>
      <c r="G27" s="3295"/>
    </row>
    <row r="28" spans="1:9">
      <c r="A28" s="1322" t="s">
        <v>1119</v>
      </c>
      <c r="B28" s="1321" t="s">
        <v>1120</v>
      </c>
      <c r="C28" s="1321"/>
      <c r="D28" s="1321"/>
      <c r="E28" s="3295"/>
      <c r="F28" s="3295"/>
      <c r="G28" s="329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6"/>
      <c r="F32" s="3296"/>
      <c r="G32" s="3296"/>
    </row>
    <row r="33" spans="1:7" hidden="1">
      <c r="A33" s="3291" t="s">
        <v>1129</v>
      </c>
      <c r="B33" s="3292"/>
      <c r="C33" s="3292"/>
      <c r="D33" s="3293"/>
      <c r="E33" s="3294"/>
      <c r="F33" s="3294"/>
      <c r="G33" s="3294"/>
    </row>
    <row r="34" spans="1:7" hidden="1">
      <c r="A34" s="1324">
        <v>1</v>
      </c>
      <c r="B34" s="1321" t="s">
        <v>1130</v>
      </c>
      <c r="C34" s="1321"/>
      <c r="D34" s="1321"/>
      <c r="E34" s="3295"/>
      <c r="F34" s="3295"/>
      <c r="G34" s="3295"/>
    </row>
    <row r="35" spans="1:7" hidden="1">
      <c r="A35" s="1324">
        <v>2</v>
      </c>
      <c r="B35" s="1321" t="s">
        <v>1131</v>
      </c>
      <c r="C35" s="1321"/>
      <c r="D35" s="1321"/>
      <c r="E35" s="3295"/>
      <c r="F35" s="3295"/>
      <c r="G35" s="3295"/>
    </row>
    <row r="36" spans="1:7" hidden="1">
      <c r="A36" s="1324">
        <v>3</v>
      </c>
      <c r="B36" s="1321" t="s">
        <v>1132</v>
      </c>
      <c r="C36" s="1321"/>
      <c r="D36" s="1321"/>
      <c r="E36" s="3295"/>
      <c r="F36" s="3295"/>
      <c r="G36" s="3295"/>
    </row>
    <row r="37" spans="1:7" hidden="1">
      <c r="A37" s="1324">
        <v>4</v>
      </c>
      <c r="B37" s="1321" t="s">
        <v>1133</v>
      </c>
      <c r="C37" s="1321"/>
      <c r="D37" s="1321"/>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27944.309999999998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2534</v>
      </c>
      <c r="B4" s="401"/>
      <c r="C4" s="3245" t="s">
        <v>2535</v>
      </c>
      <c r="D4" s="3246"/>
      <c r="E4" s="3247" t="s">
        <v>2536</v>
      </c>
      <c r="F4" s="3248"/>
      <c r="G4" s="3245" t="s">
        <v>2537</v>
      </c>
      <c r="H4" s="3246"/>
      <c r="I4" s="3245" t="s">
        <v>2538</v>
      </c>
      <c r="J4" s="3246"/>
      <c r="K4" s="2589" t="s">
        <v>2539</v>
      </c>
      <c r="L4" s="1126"/>
      <c r="M4" s="1127"/>
      <c r="N4" s="1127"/>
      <c r="O4" s="1127"/>
      <c r="P4" s="3283" t="s">
        <v>2540</v>
      </c>
      <c r="Q4" s="3284"/>
      <c r="R4" s="3287" t="s">
        <v>2536</v>
      </c>
      <c r="S4" s="3288"/>
      <c r="T4" s="3287" t="s">
        <v>2537</v>
      </c>
      <c r="U4" s="3288"/>
      <c r="V4" s="3262" t="s">
        <v>2538</v>
      </c>
      <c r="W4" s="3262"/>
      <c r="X4" s="1809"/>
      <c r="Y4" s="3287" t="s">
        <v>2540</v>
      </c>
      <c r="Z4" s="3288"/>
      <c r="AA4" s="3282" t="s">
        <v>2536</v>
      </c>
      <c r="AB4" s="3282" t="s">
        <v>2537</v>
      </c>
      <c r="AC4" s="3282" t="s">
        <v>2538</v>
      </c>
    </row>
    <row r="5" spans="1:29">
      <c r="A5" s="403"/>
      <c r="B5" s="404"/>
      <c r="C5" s="3271" t="s">
        <v>2541</v>
      </c>
      <c r="D5" s="3266"/>
      <c r="E5" s="3289" t="s">
        <v>2542</v>
      </c>
      <c r="F5" s="3278"/>
      <c r="G5" s="3271" t="s">
        <v>2543</v>
      </c>
      <c r="H5" s="3266"/>
      <c r="I5" s="3271" t="s">
        <v>2544</v>
      </c>
      <c r="J5" s="3266"/>
      <c r="K5" s="2590"/>
      <c r="L5" s="1126"/>
      <c r="M5" s="1127"/>
      <c r="N5" s="1127"/>
      <c r="O5" s="1127"/>
      <c r="P5" s="3285"/>
      <c r="Q5" s="3252"/>
      <c r="R5" s="3257"/>
      <c r="S5" s="3258"/>
      <c r="T5" s="3257"/>
      <c r="U5" s="3258"/>
      <c r="V5" s="3262"/>
      <c r="W5" s="3262"/>
      <c r="X5" s="1809"/>
      <c r="Y5" s="3257"/>
      <c r="Z5" s="3258"/>
      <c r="AA5" s="3275"/>
      <c r="AB5" s="3275"/>
      <c r="AC5" s="3275"/>
    </row>
    <row r="6" spans="1:29" ht="15" thickBot="1">
      <c r="A6" s="405"/>
      <c r="B6" s="406"/>
      <c r="C6" s="3263" t="s">
        <v>2545</v>
      </c>
      <c r="D6" s="3264"/>
      <c r="E6" s="3272" t="s">
        <v>2545</v>
      </c>
      <c r="F6" s="3273"/>
      <c r="G6" s="3263" t="s">
        <v>2545</v>
      </c>
      <c r="H6" s="3264"/>
      <c r="I6" s="3263" t="s">
        <v>2545</v>
      </c>
      <c r="J6" s="3264"/>
      <c r="K6" s="2590" t="s">
        <v>2546</v>
      </c>
      <c r="L6" s="1126"/>
      <c r="M6" s="1127"/>
      <c r="N6" s="1127"/>
      <c r="O6" s="1127"/>
      <c r="P6" s="3286"/>
      <c r="Q6" s="3254"/>
      <c r="R6" s="3257"/>
      <c r="S6" s="3258"/>
      <c r="T6" s="3259"/>
      <c r="U6" s="3260"/>
      <c r="V6" s="3262"/>
      <c r="W6" s="3262"/>
      <c r="X6" s="1809"/>
      <c r="Y6" s="3259"/>
      <c r="Z6" s="3260"/>
      <c r="AA6" s="3276"/>
      <c r="AB6" s="3276"/>
      <c r="AC6" s="3276"/>
    </row>
    <row r="7" spans="1:29" s="116" customFormat="1" ht="1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69" t="s">
        <v>2548</v>
      </c>
      <c r="Q7" s="3270"/>
      <c r="R7" s="769" t="s">
        <v>23</v>
      </c>
      <c r="S7" s="770">
        <f t="shared" ref="S7:S15" si="0">F7</f>
        <v>0</v>
      </c>
      <c r="T7" s="769" t="s">
        <v>23</v>
      </c>
      <c r="U7" s="770">
        <f t="shared" ref="U7:U15" si="1">H7</f>
        <v>0</v>
      </c>
      <c r="V7" s="769" t="s">
        <v>23</v>
      </c>
      <c r="W7" s="770">
        <f t="shared" ref="W7:W15" si="2">J7</f>
        <v>0</v>
      </c>
      <c r="X7" s="771"/>
      <c r="Y7" s="3269" t="s">
        <v>2548</v>
      </c>
      <c r="Z7" s="3268"/>
      <c r="AA7" s="772" t="e">
        <f>D7/F7</f>
        <v>#DIV/0!</v>
      </c>
      <c r="AB7" s="772" t="e">
        <f>D7/H7</f>
        <v>#DIV/0!</v>
      </c>
      <c r="AC7" s="772" t="e">
        <f>D7/J7</f>
        <v>#DIV/0!</v>
      </c>
    </row>
    <row r="8" spans="1:29" s="116" customFormat="1" ht="1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69" t="s">
        <v>2551</v>
      </c>
      <c r="Q8" s="3268"/>
      <c r="R8" s="769" t="s">
        <v>23</v>
      </c>
      <c r="S8" s="770">
        <f t="shared" si="0"/>
        <v>0</v>
      </c>
      <c r="T8" s="769" t="s">
        <v>23</v>
      </c>
      <c r="U8" s="770">
        <f t="shared" si="1"/>
        <v>0</v>
      </c>
      <c r="V8" s="769" t="s">
        <v>23</v>
      </c>
      <c r="W8" s="770">
        <f t="shared" si="2"/>
        <v>0</v>
      </c>
      <c r="X8" s="771"/>
      <c r="Y8" s="3269" t="s">
        <v>2551</v>
      </c>
      <c r="Z8" s="3268"/>
      <c r="AA8" s="772" t="e">
        <f t="shared" ref="AA8:AA19" si="3">D8/F8</f>
        <v>#DIV/0!</v>
      </c>
      <c r="AB8" s="772" t="e">
        <f t="shared" ref="AB8:AB19" si="4">D8/H8</f>
        <v>#DIV/0!</v>
      </c>
      <c r="AC8" s="772" t="e">
        <f t="shared" ref="AC8:AC19" si="5">D8/J8</f>
        <v>#DIV/0!</v>
      </c>
    </row>
    <row r="9" spans="1:29" s="116" customFormat="1" ht="14.4">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27"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27"/>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27"/>
      <c r="Q11" s="1791" t="str">
        <f t="shared" si="6"/>
        <v>容积率</v>
      </c>
      <c r="R11" s="769" t="s">
        <v>21</v>
      </c>
      <c r="S11" s="770" t="e">
        <f t="shared" si="0"/>
        <v>#N/A</v>
      </c>
      <c r="T11" s="769" t="s">
        <v>21</v>
      </c>
      <c r="U11" s="770" t="e">
        <f t="shared" si="1"/>
        <v>#N/A</v>
      </c>
      <c r="V11" s="769" t="s">
        <v>21</v>
      </c>
      <c r="W11" s="770" t="e">
        <f t="shared" si="2"/>
        <v>#N/A</v>
      </c>
      <c r="X11" s="771"/>
      <c r="Y11" s="3077"/>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27"/>
      <c r="Q12" s="1791">
        <f t="shared" si="6"/>
        <v>111</v>
      </c>
      <c r="R12" s="769" t="s">
        <v>21</v>
      </c>
      <c r="S12" s="770">
        <f t="shared" si="0"/>
        <v>100</v>
      </c>
      <c r="T12" s="769" t="s">
        <v>21</v>
      </c>
      <c r="U12" s="770">
        <f t="shared" si="1"/>
        <v>100</v>
      </c>
      <c r="V12" s="769" t="s">
        <v>21</v>
      </c>
      <c r="W12" s="770">
        <f t="shared" si="2"/>
        <v>100</v>
      </c>
      <c r="X12" s="771"/>
      <c r="Y12" s="3077"/>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27"/>
      <c r="Q13" s="1791">
        <f t="shared" si="6"/>
        <v>111</v>
      </c>
      <c r="R13" s="769" t="s">
        <v>21</v>
      </c>
      <c r="S13" s="770">
        <f t="shared" si="0"/>
        <v>100</v>
      </c>
      <c r="T13" s="769" t="s">
        <v>21</v>
      </c>
      <c r="U13" s="770">
        <f t="shared" si="1"/>
        <v>100</v>
      </c>
      <c r="V13" s="769" t="s">
        <v>21</v>
      </c>
      <c r="W13" s="770">
        <f t="shared" si="2"/>
        <v>100</v>
      </c>
      <c r="X13" s="771"/>
      <c r="Y13" s="3077"/>
      <c r="Z13" s="54">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27"/>
      <c r="Q14" s="1791">
        <f t="shared" si="6"/>
        <v>111</v>
      </c>
      <c r="R14" s="769" t="s">
        <v>21</v>
      </c>
      <c r="S14" s="770">
        <f t="shared" si="0"/>
        <v>100</v>
      </c>
      <c r="T14" s="769" t="s">
        <v>21</v>
      </c>
      <c r="U14" s="770">
        <f t="shared" si="1"/>
        <v>100</v>
      </c>
      <c r="V14" s="769" t="s">
        <v>21</v>
      </c>
      <c r="W14" s="770">
        <f t="shared" si="2"/>
        <v>100</v>
      </c>
      <c r="X14" s="771"/>
      <c r="Y14" s="3077"/>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33" t="s">
        <v>2559</v>
      </c>
      <c r="Q15" s="1806" t="str">
        <f t="shared" si="6"/>
        <v>居住社区成熟度</v>
      </c>
      <c r="R15" s="773" t="s">
        <v>21</v>
      </c>
      <c r="S15" s="774">
        <f t="shared" si="0"/>
        <v>100</v>
      </c>
      <c r="T15" s="773" t="s">
        <v>21</v>
      </c>
      <c r="U15" s="774">
        <f t="shared" si="1"/>
        <v>100</v>
      </c>
      <c r="V15" s="773" t="s">
        <v>21</v>
      </c>
      <c r="W15" s="774">
        <f t="shared" si="2"/>
        <v>100</v>
      </c>
      <c r="X15" s="1809"/>
      <c r="Y15" s="3235"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34"/>
      <c r="Q16" s="1806"/>
      <c r="R16" s="773"/>
      <c r="S16" s="774"/>
      <c r="T16" s="773"/>
      <c r="U16" s="774"/>
      <c r="V16" s="773"/>
      <c r="W16" s="774"/>
      <c r="X16" s="1809"/>
      <c r="Y16" s="3236"/>
      <c r="Z16" s="1810"/>
      <c r="AA16" s="1807">
        <v>1</v>
      </c>
      <c r="AB16" s="1807">
        <v>1</v>
      </c>
      <c r="AC16" s="1807">
        <v>1</v>
      </c>
    </row>
    <row r="17" spans="1:29" ht="234.6">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34"/>
      <c r="Q17" s="1806" t="str">
        <f>B17</f>
        <v>交通便捷度</v>
      </c>
      <c r="R17" s="773" t="s">
        <v>21</v>
      </c>
      <c r="S17" s="774">
        <f>F17</f>
        <v>100</v>
      </c>
      <c r="T17" s="773" t="s">
        <v>21</v>
      </c>
      <c r="U17" s="774">
        <f>H17</f>
        <v>100</v>
      </c>
      <c r="V17" s="773" t="s">
        <v>21</v>
      </c>
      <c r="W17" s="774">
        <f>J17</f>
        <v>100</v>
      </c>
      <c r="X17" s="1809"/>
      <c r="Y17" s="3236"/>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34"/>
      <c r="Q18" s="1806"/>
      <c r="R18" s="773"/>
      <c r="S18" s="774"/>
      <c r="T18" s="773"/>
      <c r="U18" s="774"/>
      <c r="V18" s="773"/>
      <c r="W18" s="774"/>
      <c r="X18" s="1809"/>
      <c r="Y18" s="3236"/>
      <c r="Z18" s="1810"/>
      <c r="AA18" s="1807">
        <v>1</v>
      </c>
      <c r="AB18" s="1807">
        <v>1</v>
      </c>
      <c r="AC18" s="1807">
        <v>1</v>
      </c>
    </row>
    <row r="19" spans="1:29" ht="41.4">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34"/>
      <c r="Q19" s="1806" t="str">
        <f>B19</f>
        <v>公共配套设施</v>
      </c>
      <c r="R19" s="773" t="s">
        <v>21</v>
      </c>
      <c r="S19" s="774">
        <f>F19</f>
        <v>100</v>
      </c>
      <c r="T19" s="773" t="s">
        <v>21</v>
      </c>
      <c r="U19" s="774">
        <f>H19</f>
        <v>100</v>
      </c>
      <c r="V19" s="773" t="s">
        <v>21</v>
      </c>
      <c r="W19" s="774">
        <f>J19</f>
        <v>100</v>
      </c>
      <c r="X19" s="1809"/>
      <c r="Y19" s="3236"/>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34"/>
      <c r="Q20" s="1806"/>
      <c r="R20" s="773"/>
      <c r="S20" s="774"/>
      <c r="T20" s="773"/>
      <c r="U20" s="774"/>
      <c r="V20" s="773"/>
      <c r="W20" s="774"/>
      <c r="X20" s="1809"/>
      <c r="Y20" s="3236"/>
      <c r="Z20" s="1810"/>
      <c r="AA20" s="1807">
        <v>1</v>
      </c>
      <c r="AB20" s="1807">
        <v>1</v>
      </c>
      <c r="AC20" s="1807">
        <v>1</v>
      </c>
    </row>
    <row r="21" spans="1:29" ht="41.4">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34"/>
      <c r="Q21" s="1806" t="str">
        <f>B21</f>
        <v>基础设施水平</v>
      </c>
      <c r="R21" s="773" t="s">
        <v>17</v>
      </c>
      <c r="S21" s="774">
        <f>F21</f>
        <v>100</v>
      </c>
      <c r="T21" s="773" t="s">
        <v>17</v>
      </c>
      <c r="U21" s="774">
        <f>H21</f>
        <v>100</v>
      </c>
      <c r="V21" s="773" t="s">
        <v>17</v>
      </c>
      <c r="W21" s="774">
        <f>J21</f>
        <v>100</v>
      </c>
      <c r="X21" s="1809"/>
      <c r="Y21" s="3236"/>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34"/>
      <c r="Q22" s="1806"/>
      <c r="R22" s="773"/>
      <c r="S22" s="774"/>
      <c r="T22" s="773"/>
      <c r="U22" s="774"/>
      <c r="V22" s="773"/>
      <c r="W22" s="774"/>
      <c r="X22" s="1809"/>
      <c r="Y22" s="3236"/>
      <c r="Z22" s="1810"/>
      <c r="AA22" s="1807">
        <v>1</v>
      </c>
      <c r="AB22" s="1807">
        <v>1</v>
      </c>
      <c r="AC22" s="1807">
        <v>1</v>
      </c>
    </row>
    <row r="23" spans="1:29" ht="138">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34"/>
      <c r="Q23" s="1806" t="str">
        <f>B23</f>
        <v>自然及人文环境</v>
      </c>
      <c r="R23" s="773" t="s">
        <v>21</v>
      </c>
      <c r="S23" s="774">
        <f>F23</f>
        <v>100</v>
      </c>
      <c r="T23" s="773" t="s">
        <v>21</v>
      </c>
      <c r="U23" s="774">
        <f>H23</f>
        <v>100</v>
      </c>
      <c r="V23" s="773" t="s">
        <v>21</v>
      </c>
      <c r="W23" s="774">
        <f>J23</f>
        <v>100</v>
      </c>
      <c r="X23" s="1809"/>
      <c r="Y23" s="3236"/>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34"/>
      <c r="Q24" s="1806"/>
      <c r="R24" s="773"/>
      <c r="S24" s="774"/>
      <c r="T24" s="773"/>
      <c r="U24" s="774"/>
      <c r="V24" s="773"/>
      <c r="W24" s="774"/>
      <c r="X24" s="1809"/>
      <c r="Y24" s="3236"/>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34"/>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36"/>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34"/>
      <c r="Q26" s="1806" t="str">
        <f t="shared" si="11"/>
        <v>朝向</v>
      </c>
      <c r="R26" s="773" t="s">
        <v>21</v>
      </c>
      <c r="S26" s="774">
        <f t="shared" si="12"/>
        <v>100</v>
      </c>
      <c r="T26" s="773" t="s">
        <v>21</v>
      </c>
      <c r="U26" s="774">
        <f t="shared" si="13"/>
        <v>100</v>
      </c>
      <c r="V26" s="773" t="s">
        <v>21</v>
      </c>
      <c r="W26" s="774">
        <f t="shared" si="14"/>
        <v>100</v>
      </c>
      <c r="X26" s="1809"/>
      <c r="Y26" s="3236"/>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34"/>
      <c r="Q27" s="1791">
        <f t="shared" si="11"/>
        <v>111</v>
      </c>
      <c r="R27" s="769" t="s">
        <v>21</v>
      </c>
      <c r="S27" s="770">
        <f t="shared" si="12"/>
        <v>100</v>
      </c>
      <c r="T27" s="769" t="s">
        <v>21</v>
      </c>
      <c r="U27" s="770">
        <f t="shared" si="13"/>
        <v>100</v>
      </c>
      <c r="V27" s="769" t="s">
        <v>21</v>
      </c>
      <c r="W27" s="770">
        <f t="shared" si="14"/>
        <v>100</v>
      </c>
      <c r="X27" s="771"/>
      <c r="Y27" s="3236"/>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34"/>
      <c r="Q28" s="1806">
        <f t="shared" si="11"/>
        <v>111</v>
      </c>
      <c r="R28" s="773" t="s">
        <v>21</v>
      </c>
      <c r="S28" s="774">
        <f t="shared" si="12"/>
        <v>100</v>
      </c>
      <c r="T28" s="773" t="s">
        <v>21</v>
      </c>
      <c r="U28" s="774">
        <f t="shared" si="13"/>
        <v>100</v>
      </c>
      <c r="V28" s="773" t="s">
        <v>21</v>
      </c>
      <c r="W28" s="774">
        <f t="shared" si="14"/>
        <v>100</v>
      </c>
      <c r="X28" s="1809"/>
      <c r="Y28" s="3236"/>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34"/>
      <c r="Q29" s="1806">
        <f t="shared" si="11"/>
        <v>111</v>
      </c>
      <c r="R29" s="773" t="s">
        <v>21</v>
      </c>
      <c r="S29" s="774">
        <f t="shared" si="12"/>
        <v>100</v>
      </c>
      <c r="T29" s="773" t="s">
        <v>21</v>
      </c>
      <c r="U29" s="774">
        <f t="shared" si="13"/>
        <v>100</v>
      </c>
      <c r="V29" s="773" t="s">
        <v>21</v>
      </c>
      <c r="W29" s="774">
        <f t="shared" si="14"/>
        <v>100</v>
      </c>
      <c r="X29" s="1809"/>
      <c r="Y29" s="3236"/>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34"/>
      <c r="Q30" s="1806">
        <f t="shared" si="11"/>
        <v>111</v>
      </c>
      <c r="R30" s="773" t="s">
        <v>21</v>
      </c>
      <c r="S30" s="774">
        <f t="shared" si="12"/>
        <v>100</v>
      </c>
      <c r="T30" s="773" t="s">
        <v>21</v>
      </c>
      <c r="U30" s="774">
        <f t="shared" si="13"/>
        <v>100</v>
      </c>
      <c r="V30" s="773" t="s">
        <v>21</v>
      </c>
      <c r="W30" s="774">
        <f t="shared" si="14"/>
        <v>100</v>
      </c>
      <c r="X30" s="1809"/>
      <c r="Y30" s="3236"/>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34"/>
      <c r="Q31" s="1806">
        <f t="shared" si="11"/>
        <v>111</v>
      </c>
      <c r="R31" s="773" t="s">
        <v>21</v>
      </c>
      <c r="S31" s="774">
        <f t="shared" si="12"/>
        <v>100</v>
      </c>
      <c r="T31" s="773" t="s">
        <v>21</v>
      </c>
      <c r="U31" s="774">
        <f t="shared" si="13"/>
        <v>100</v>
      </c>
      <c r="V31" s="773" t="s">
        <v>21</v>
      </c>
      <c r="W31" s="774">
        <f t="shared" si="14"/>
        <v>100</v>
      </c>
      <c r="X31" s="1809"/>
      <c r="Y31" s="3236"/>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37" t="s">
        <v>2564</v>
      </c>
      <c r="Q32" s="1806" t="str">
        <f t="shared" si="11"/>
        <v>建筑类型</v>
      </c>
      <c r="R32" s="773" t="s">
        <v>21</v>
      </c>
      <c r="S32" s="774">
        <f t="shared" si="12"/>
        <v>100</v>
      </c>
      <c r="T32" s="773" t="s">
        <v>21</v>
      </c>
      <c r="U32" s="774">
        <f t="shared" si="13"/>
        <v>100</v>
      </c>
      <c r="V32" s="773" t="s">
        <v>21</v>
      </c>
      <c r="W32" s="774">
        <f t="shared" si="14"/>
        <v>100</v>
      </c>
      <c r="X32" s="1809"/>
      <c r="Y32" s="3240"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38"/>
      <c r="Q33" s="775" t="str">
        <f t="shared" si="11"/>
        <v>项目建筑规模</v>
      </c>
      <c r="R33" s="776" t="s">
        <v>21</v>
      </c>
      <c r="S33" s="777" t="e">
        <f t="shared" si="12"/>
        <v>#N/A</v>
      </c>
      <c r="T33" s="776" t="s">
        <v>21</v>
      </c>
      <c r="U33" s="777" t="e">
        <f t="shared" si="13"/>
        <v>#N/A</v>
      </c>
      <c r="V33" s="776" t="s">
        <v>21</v>
      </c>
      <c r="W33" s="777" t="e">
        <f t="shared" si="14"/>
        <v>#N/A</v>
      </c>
      <c r="X33" s="778"/>
      <c r="Y33" s="3240"/>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38"/>
      <c r="Q34" s="1806" t="str">
        <f t="shared" si="11"/>
        <v>建筑结构</v>
      </c>
      <c r="R34" s="773" t="s">
        <v>21</v>
      </c>
      <c r="S34" s="774">
        <f t="shared" si="12"/>
        <v>100</v>
      </c>
      <c r="T34" s="773" t="s">
        <v>21</v>
      </c>
      <c r="U34" s="774">
        <f t="shared" si="13"/>
        <v>100</v>
      </c>
      <c r="V34" s="773" t="s">
        <v>21</v>
      </c>
      <c r="W34" s="774">
        <f t="shared" si="14"/>
        <v>100</v>
      </c>
      <c r="X34" s="1809"/>
      <c r="Y34" s="3240"/>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38"/>
      <c r="Q35" s="1806" t="str">
        <f t="shared" si="11"/>
        <v>建筑品质</v>
      </c>
      <c r="R35" s="773" t="s">
        <v>21</v>
      </c>
      <c r="S35" s="774">
        <f t="shared" si="12"/>
        <v>100</v>
      </c>
      <c r="T35" s="773" t="s">
        <v>21</v>
      </c>
      <c r="U35" s="774">
        <f t="shared" si="13"/>
        <v>100</v>
      </c>
      <c r="V35" s="773" t="s">
        <v>21</v>
      </c>
      <c r="W35" s="774">
        <f t="shared" si="14"/>
        <v>100</v>
      </c>
      <c r="X35" s="1809"/>
      <c r="Y35" s="3240"/>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38"/>
      <c r="Q36" s="1806" t="str">
        <f t="shared" si="11"/>
        <v>公共部分装修</v>
      </c>
      <c r="R36" s="773" t="s">
        <v>21</v>
      </c>
      <c r="S36" s="774">
        <f t="shared" si="12"/>
        <v>100</v>
      </c>
      <c r="T36" s="773" t="s">
        <v>21</v>
      </c>
      <c r="U36" s="774">
        <f t="shared" si="13"/>
        <v>100</v>
      </c>
      <c r="V36" s="773" t="s">
        <v>21</v>
      </c>
      <c r="W36" s="774">
        <f t="shared" si="14"/>
        <v>100</v>
      </c>
      <c r="X36" s="1809"/>
      <c r="Y36" s="3240"/>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38"/>
      <c r="Q37" s="1791" t="str">
        <f t="shared" si="11"/>
        <v>成新度</v>
      </c>
      <c r="R37" s="769" t="s">
        <v>21</v>
      </c>
      <c r="S37" s="770" t="e">
        <f t="shared" si="12"/>
        <v>#N/A</v>
      </c>
      <c r="T37" s="769" t="s">
        <v>21</v>
      </c>
      <c r="U37" s="770" t="e">
        <f t="shared" si="13"/>
        <v>#N/A</v>
      </c>
      <c r="V37" s="769" t="s">
        <v>21</v>
      </c>
      <c r="W37" s="770" t="e">
        <f t="shared" si="14"/>
        <v>#N/A</v>
      </c>
      <c r="X37" s="771"/>
      <c r="Y37" s="3240"/>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38" t="s">
        <v>2564</v>
      </c>
      <c r="Q38" s="1806" t="str">
        <f t="shared" si="11"/>
        <v>物业管理</v>
      </c>
      <c r="R38" s="773" t="s">
        <v>21</v>
      </c>
      <c r="S38" s="774">
        <f t="shared" si="12"/>
        <v>100</v>
      </c>
      <c r="T38" s="773" t="s">
        <v>21</v>
      </c>
      <c r="U38" s="774">
        <f t="shared" si="13"/>
        <v>100</v>
      </c>
      <c r="V38" s="773" t="s">
        <v>21</v>
      </c>
      <c r="W38" s="774">
        <f t="shared" si="14"/>
        <v>100</v>
      </c>
      <c r="X38" s="1809"/>
      <c r="Y38" s="3240"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38"/>
      <c r="Q39" s="1806" t="str">
        <f t="shared" si="11"/>
        <v>市政基础设施</v>
      </c>
      <c r="R39" s="773" t="s">
        <v>21</v>
      </c>
      <c r="S39" s="774">
        <f t="shared" si="12"/>
        <v>100</v>
      </c>
      <c r="T39" s="773" t="s">
        <v>21</v>
      </c>
      <c r="U39" s="774">
        <f t="shared" si="13"/>
        <v>100</v>
      </c>
      <c r="V39" s="773" t="s">
        <v>21</v>
      </c>
      <c r="W39" s="774">
        <f t="shared" si="14"/>
        <v>100</v>
      </c>
      <c r="X39" s="1809"/>
      <c r="Y39" s="3240"/>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38"/>
      <c r="Q40" s="1806" t="str">
        <f t="shared" si="11"/>
        <v>房型</v>
      </c>
      <c r="R40" s="773" t="s">
        <v>21</v>
      </c>
      <c r="S40" s="774">
        <f t="shared" si="12"/>
        <v>100</v>
      </c>
      <c r="T40" s="773" t="s">
        <v>21</v>
      </c>
      <c r="U40" s="774">
        <f t="shared" si="13"/>
        <v>100</v>
      </c>
      <c r="V40" s="773" t="s">
        <v>21</v>
      </c>
      <c r="W40" s="774">
        <f t="shared" si="14"/>
        <v>100</v>
      </c>
      <c r="X40" s="1809"/>
      <c r="Y40" s="3240"/>
      <c r="Z40" s="1810" t="str">
        <f t="shared" si="18"/>
        <v>房型</v>
      </c>
      <c r="AA40" s="1807">
        <f t="shared" si="15"/>
        <v>1</v>
      </c>
      <c r="AB40" s="1807">
        <f t="shared" si="16"/>
        <v>1</v>
      </c>
      <c r="AC40" s="1807">
        <f t="shared" si="17"/>
        <v>1</v>
      </c>
    </row>
    <row r="41" spans="1:29" s="470" customFormat="1" ht="28.8">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38"/>
      <c r="Q41" s="775" t="str">
        <f t="shared" si="11"/>
        <v>单套/主力户型建筑面积</v>
      </c>
      <c r="R41" s="776" t="s">
        <v>21</v>
      </c>
      <c r="S41" s="777">
        <f t="shared" si="12"/>
        <v>100</v>
      </c>
      <c r="T41" s="776" t="s">
        <v>21</v>
      </c>
      <c r="U41" s="777">
        <f t="shared" si="13"/>
        <v>100</v>
      </c>
      <c r="V41" s="776" t="s">
        <v>21</v>
      </c>
      <c r="W41" s="777">
        <f t="shared" si="14"/>
        <v>100</v>
      </c>
      <c r="X41" s="778"/>
      <c r="Y41" s="3240"/>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38"/>
      <c r="Q42" s="1806" t="str">
        <f t="shared" si="11"/>
        <v>内部装修</v>
      </c>
      <c r="R42" s="773" t="s">
        <v>21</v>
      </c>
      <c r="S42" s="774">
        <f t="shared" si="12"/>
        <v>100</v>
      </c>
      <c r="T42" s="773" t="s">
        <v>21</v>
      </c>
      <c r="U42" s="774">
        <f t="shared" si="13"/>
        <v>100</v>
      </c>
      <c r="V42" s="773" t="s">
        <v>21</v>
      </c>
      <c r="W42" s="774">
        <f t="shared" si="14"/>
        <v>100</v>
      </c>
      <c r="X42" s="1809"/>
      <c r="Y42" s="3240"/>
      <c r="Z42" s="1810" t="str">
        <f t="shared" si="18"/>
        <v>内部装修</v>
      </c>
      <c r="AA42" s="1807">
        <f t="shared" si="15"/>
        <v>1</v>
      </c>
      <c r="AB42" s="1807">
        <f t="shared" si="16"/>
        <v>1</v>
      </c>
      <c r="AC42" s="1807">
        <f t="shared" si="17"/>
        <v>1</v>
      </c>
    </row>
    <row r="43" spans="1:29" ht="28.8">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38"/>
      <c r="Q43" s="1806" t="str">
        <f t="shared" si="11"/>
        <v>内部装修维护情况</v>
      </c>
      <c r="R43" s="773" t="s">
        <v>21</v>
      </c>
      <c r="S43" s="774">
        <f t="shared" si="12"/>
        <v>100</v>
      </c>
      <c r="T43" s="773" t="s">
        <v>21</v>
      </c>
      <c r="U43" s="774">
        <f t="shared" si="13"/>
        <v>100</v>
      </c>
      <c r="V43" s="773" t="s">
        <v>21</v>
      </c>
      <c r="W43" s="774">
        <f t="shared" si="14"/>
        <v>100</v>
      </c>
      <c r="X43" s="1809"/>
      <c r="Y43" s="3240"/>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38"/>
      <c r="Q44" s="1791">
        <f t="shared" si="11"/>
        <v>111</v>
      </c>
      <c r="R44" s="769" t="s">
        <v>21</v>
      </c>
      <c r="S44" s="770">
        <f t="shared" si="12"/>
        <v>100</v>
      </c>
      <c r="T44" s="769" t="s">
        <v>21</v>
      </c>
      <c r="U44" s="770">
        <f t="shared" si="13"/>
        <v>100</v>
      </c>
      <c r="V44" s="769" t="s">
        <v>21</v>
      </c>
      <c r="W44" s="770">
        <f t="shared" si="14"/>
        <v>100</v>
      </c>
      <c r="X44" s="771"/>
      <c r="Y44" s="3240"/>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38"/>
      <c r="Q45" s="1806">
        <f t="shared" si="11"/>
        <v>111</v>
      </c>
      <c r="R45" s="773" t="s">
        <v>21</v>
      </c>
      <c r="S45" s="774">
        <f t="shared" si="12"/>
        <v>100</v>
      </c>
      <c r="T45" s="773" t="s">
        <v>21</v>
      </c>
      <c r="U45" s="774">
        <f t="shared" si="13"/>
        <v>100</v>
      </c>
      <c r="V45" s="773" t="s">
        <v>21</v>
      </c>
      <c r="W45" s="774">
        <f t="shared" si="14"/>
        <v>100</v>
      </c>
      <c r="X45" s="1809"/>
      <c r="Y45" s="3240"/>
      <c r="Z45" s="1810">
        <f t="shared" si="18"/>
        <v>111</v>
      </c>
      <c r="AA45" s="1807">
        <f t="shared" si="15"/>
        <v>1</v>
      </c>
      <c r="AB45" s="1807">
        <f t="shared" si="16"/>
        <v>1</v>
      </c>
      <c r="AC45" s="1807">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39"/>
      <c r="Q46" s="1806">
        <f t="shared" si="11"/>
        <v>111</v>
      </c>
      <c r="R46" s="773" t="s">
        <v>20</v>
      </c>
      <c r="S46" s="774">
        <f t="shared" si="12"/>
        <v>100</v>
      </c>
      <c r="T46" s="773" t="s">
        <v>20</v>
      </c>
      <c r="U46" s="774">
        <f t="shared" si="13"/>
        <v>100</v>
      </c>
      <c r="V46" s="773" t="s">
        <v>20</v>
      </c>
      <c r="W46" s="774">
        <f t="shared" si="14"/>
        <v>100</v>
      </c>
      <c r="X46" s="1809"/>
      <c r="Y46" s="3241"/>
      <c r="Z46" s="1810">
        <f t="shared" si="18"/>
        <v>111</v>
      </c>
      <c r="AA46" s="1807">
        <f t="shared" si="15"/>
        <v>1</v>
      </c>
      <c r="AB46" s="1807">
        <f t="shared" si="16"/>
        <v>1</v>
      </c>
      <c r="AC46" s="1807">
        <f t="shared" si="17"/>
        <v>1</v>
      </c>
    </row>
    <row r="47" spans="1:29" ht="14.4">
      <c r="A47" s="478" t="s">
        <v>2576</v>
      </c>
      <c r="B47" s="479"/>
      <c r="C47" s="1403" t="s">
        <v>19</v>
      </c>
      <c r="D47" s="1404"/>
      <c r="E47" s="1405"/>
      <c r="F47" s="1406"/>
      <c r="G47" s="1407"/>
      <c r="H47" s="1408"/>
      <c r="I47" s="1405"/>
      <c r="J47" s="1408"/>
      <c r="K47" s="2614"/>
      <c r="L47" s="1139"/>
      <c r="M47" s="1140"/>
      <c r="N47" s="1127"/>
      <c r="O47" s="1140"/>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 thickBot="1">
      <c r="A49" s="491" t="s">
        <v>2578</v>
      </c>
      <c r="B49" s="492"/>
      <c r="C49" s="1412" t="e">
        <f>R49</f>
        <v>#DIV/0!</v>
      </c>
      <c r="D49" s="1413"/>
      <c r="E49" s="1413"/>
      <c r="F49" s="1413"/>
      <c r="G49" s="1413"/>
      <c r="H49" s="1413"/>
      <c r="I49" s="1413"/>
      <c r="J49" s="1413"/>
      <c r="K49" s="2616"/>
      <c r="L49" s="1139"/>
      <c r="M49" s="1140"/>
      <c r="N49" s="1140"/>
      <c r="O49" s="1140"/>
      <c r="P49" s="3279" t="str">
        <f>A49</f>
        <v>估价对象XX用房的比较价值（楼面单价，元/平方米）</v>
      </c>
      <c r="Q49" s="3280"/>
      <c r="R49" s="3281" t="e">
        <f>IF(F1="售价",ROUND(AVERAGE(R48:V48),0),ROUND(AVERAGE(R48:V48),1))</f>
        <v>#DIV/0!</v>
      </c>
      <c r="S49" s="3281"/>
      <c r="T49" s="3281"/>
      <c r="U49" s="3281"/>
      <c r="V49" s="3281"/>
      <c r="W49" s="328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2.2" thickBot="1">
      <c r="A57" s="762" t="s">
        <v>2582</v>
      </c>
      <c r="B57" s="758"/>
      <c r="C57" s="763"/>
      <c r="D57" s="763"/>
      <c r="E57" s="763"/>
      <c r="F57" s="764"/>
      <c r="G57" s="764"/>
      <c r="H57" s="763"/>
      <c r="I57" s="763"/>
      <c r="J57" s="763"/>
      <c r="K57" s="1156"/>
      <c r="L57" s="1157"/>
      <c r="M57" s="1155"/>
      <c r="N57" s="1155"/>
      <c r="O57" s="1155"/>
      <c r="P57" s="2619"/>
      <c r="Q57" s="503"/>
    </row>
    <row r="58" spans="1:29" s="507" customFormat="1" ht="14.4">
      <c r="A58" s="504" t="s">
        <v>2583</v>
      </c>
      <c r="B58" s="505"/>
      <c r="C58" s="1572" t="str">
        <f>YEAR(C7)&amp;"-"&amp;MONTH(C7)</f>
        <v>2018-5</v>
      </c>
      <c r="D58" s="1571">
        <f>EDATE(C58,-1)</f>
        <v>43191</v>
      </c>
      <c r="E58" s="1571">
        <f>EDATE(D58,-1)</f>
        <v>43160</v>
      </c>
      <c r="F58" s="1571">
        <f t="shared" ref="F58:O58" si="19">EDATE(E58,-1)</f>
        <v>43132</v>
      </c>
      <c r="G58" s="1571">
        <f t="shared" si="19"/>
        <v>43101</v>
      </c>
      <c r="H58" s="1571">
        <f t="shared" si="19"/>
        <v>43070</v>
      </c>
      <c r="I58" s="1571">
        <f t="shared" si="19"/>
        <v>43040</v>
      </c>
      <c r="J58" s="1571">
        <f t="shared" si="19"/>
        <v>43009</v>
      </c>
      <c r="K58" s="1571">
        <f t="shared" si="19"/>
        <v>42979</v>
      </c>
      <c r="L58" s="1571">
        <f t="shared" si="19"/>
        <v>42948</v>
      </c>
      <c r="M58" s="1571">
        <f t="shared" si="19"/>
        <v>42917</v>
      </c>
      <c r="N58" s="1571">
        <f t="shared" si="19"/>
        <v>42887</v>
      </c>
      <c r="O58" s="1571">
        <f t="shared" si="19"/>
        <v>42856</v>
      </c>
      <c r="P58" s="1566"/>
    </row>
    <row r="59" spans="1:29" s="116" customFormat="1">
      <c r="A59" s="508"/>
      <c r="B59" s="2620"/>
      <c r="C59" s="1569">
        <v>100</v>
      </c>
      <c r="D59" s="510"/>
      <c r="E59" s="511"/>
      <c r="F59" s="511"/>
      <c r="G59" s="511"/>
      <c r="H59" s="511"/>
      <c r="I59" s="511"/>
      <c r="J59" s="511"/>
      <c r="K59" s="511"/>
      <c r="L59" s="511"/>
      <c r="M59" s="512"/>
      <c r="N59" s="511"/>
      <c r="O59" s="512"/>
      <c r="P59" s="2621"/>
    </row>
    <row r="60" spans="1:29" s="116" customFormat="1" ht="15" thickBot="1">
      <c r="A60" s="514" t="s">
        <v>2584</v>
      </c>
      <c r="B60" s="515"/>
      <c r="C60" s="516"/>
      <c r="D60" s="517"/>
      <c r="E60" s="517"/>
      <c r="F60" s="517"/>
      <c r="G60" s="517"/>
      <c r="H60" s="517"/>
      <c r="I60" s="517"/>
      <c r="J60" s="517"/>
      <c r="K60" s="517"/>
      <c r="L60" s="517"/>
      <c r="M60" s="518"/>
      <c r="N60" s="517"/>
      <c r="O60" s="518"/>
      <c r="P60" s="2621"/>
      <c r="Q60" s="503"/>
    </row>
    <row r="61" spans="1:29" s="116" customFormat="1" ht="14.4">
      <c r="A61" s="520" t="s">
        <v>2585</v>
      </c>
      <c r="B61" s="509"/>
      <c r="C61" s="521" t="s">
        <v>2586</v>
      </c>
      <c r="D61" s="522"/>
      <c r="E61" s="522"/>
      <c r="F61" s="522"/>
      <c r="G61" s="522"/>
      <c r="H61" s="522"/>
      <c r="I61" s="522"/>
      <c r="J61" s="522"/>
      <c r="K61" s="522"/>
      <c r="L61" s="523"/>
      <c r="M61" s="524"/>
      <c r="N61" s="1147"/>
      <c r="O61" s="1147"/>
      <c r="P61" s="2622"/>
      <c r="Q61" s="503"/>
    </row>
    <row r="62" spans="1:29" s="116" customFormat="1" ht="14.4" thickBot="1">
      <c r="A62" s="520"/>
      <c r="B62" s="509"/>
      <c r="C62" s="510">
        <v>100</v>
      </c>
      <c r="D62" s="511"/>
      <c r="E62" s="511"/>
      <c r="F62" s="511"/>
      <c r="G62" s="511"/>
      <c r="H62" s="511"/>
      <c r="I62" s="511"/>
      <c r="J62" s="511"/>
      <c r="K62" s="511"/>
      <c r="L62" s="511"/>
      <c r="M62" s="513"/>
      <c r="N62" s="1147"/>
      <c r="O62" s="1147"/>
      <c r="P62" s="2621"/>
      <c r="Q62" s="503"/>
    </row>
    <row r="63" spans="1:29" ht="14.4">
      <c r="A63" s="526" t="s">
        <v>2587</v>
      </c>
      <c r="B63" s="527" t="s">
        <v>2553</v>
      </c>
      <c r="C63" s="528">
        <f>C9</f>
        <v>0</v>
      </c>
      <c r="D63" s="529"/>
      <c r="E63" s="529"/>
      <c r="F63" s="529"/>
      <c r="G63" s="529"/>
      <c r="H63" s="529"/>
      <c r="I63" s="529"/>
      <c r="J63" s="529"/>
      <c r="K63" s="530"/>
      <c r="L63" s="531"/>
      <c r="M63" s="532"/>
      <c r="N63" s="1148"/>
      <c r="O63" s="1148"/>
      <c r="P63" s="2623"/>
      <c r="Q63" s="503"/>
    </row>
    <row r="64" spans="1:29" ht="14.4" thickBot="1">
      <c r="A64" s="533"/>
      <c r="B64" s="534"/>
      <c r="C64" s="535">
        <v>100</v>
      </c>
      <c r="D64" s="535"/>
      <c r="E64" s="535"/>
      <c r="F64" s="535"/>
      <c r="G64" s="535"/>
      <c r="H64" s="535"/>
      <c r="I64" s="535"/>
      <c r="J64" s="535"/>
      <c r="K64" s="535"/>
      <c r="L64" s="535"/>
      <c r="M64" s="536"/>
      <c r="N64" s="1149"/>
      <c r="O64" s="1149"/>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4.4" thickTop="1">
      <c r="A70" s="552"/>
      <c r="B70" s="537">
        <f>B12</f>
        <v>111</v>
      </c>
      <c r="C70" s="553"/>
      <c r="D70" s="553"/>
      <c r="E70" s="553"/>
      <c r="F70" s="553"/>
      <c r="G70" s="553"/>
      <c r="H70" s="554"/>
      <c r="I70" s="554"/>
      <c r="J70" s="554"/>
      <c r="K70" s="554"/>
      <c r="L70" s="555"/>
      <c r="M70" s="556"/>
      <c r="N70" s="1150"/>
      <c r="O70" s="1150"/>
      <c r="P70" s="2624"/>
      <c r="Q70" s="558"/>
    </row>
    <row r="71" spans="1:17" s="470" customFormat="1" ht="14.4" thickBot="1">
      <c r="A71" s="552"/>
      <c r="B71" s="542"/>
      <c r="C71" s="559"/>
      <c r="D71" s="535"/>
      <c r="E71" s="535"/>
      <c r="F71" s="535"/>
      <c r="G71" s="535"/>
      <c r="H71" s="535"/>
      <c r="I71" s="535"/>
      <c r="J71" s="535"/>
      <c r="K71" s="535"/>
      <c r="L71" s="535"/>
      <c r="M71" s="536"/>
      <c r="N71" s="1149"/>
      <c r="O71" s="1149"/>
      <c r="P71" s="2624"/>
      <c r="Q71" s="558"/>
    </row>
    <row r="72" spans="1:17" s="470" customFormat="1" ht="14.4" thickTop="1">
      <c r="A72" s="552"/>
      <c r="B72" s="537">
        <f>B13</f>
        <v>111</v>
      </c>
      <c r="C72" s="553"/>
      <c r="D72" s="553"/>
      <c r="E72" s="553"/>
      <c r="F72" s="553"/>
      <c r="G72" s="553"/>
      <c r="H72" s="554"/>
      <c r="I72" s="554"/>
      <c r="J72" s="554"/>
      <c r="K72" s="554"/>
      <c r="L72" s="555"/>
      <c r="M72" s="556"/>
      <c r="N72" s="1150"/>
      <c r="O72" s="1150"/>
      <c r="P72" s="2625"/>
      <c r="Q72" s="560"/>
    </row>
    <row r="73" spans="1:17" s="470" customFormat="1" ht="14.4" thickBot="1">
      <c r="A73" s="552"/>
      <c r="B73" s="542"/>
      <c r="C73" s="559"/>
      <c r="D73" s="559"/>
      <c r="E73" s="559"/>
      <c r="F73" s="559"/>
      <c r="G73" s="559"/>
      <c r="H73" s="561"/>
      <c r="I73" s="561"/>
      <c r="J73" s="561"/>
      <c r="K73" s="561"/>
      <c r="L73" s="561"/>
      <c r="M73" s="562"/>
      <c r="N73" s="1150"/>
      <c r="O73" s="1150"/>
      <c r="P73" s="2624"/>
      <c r="Q73" s="558"/>
    </row>
    <row r="74" spans="1:17" s="470" customFormat="1" ht="14.4" thickTop="1">
      <c r="A74" s="552"/>
      <c r="B74" s="545">
        <f>B14</f>
        <v>111</v>
      </c>
      <c r="C74" s="553"/>
      <c r="D74" s="553"/>
      <c r="E74" s="553"/>
      <c r="F74" s="553"/>
      <c r="G74" s="522"/>
      <c r="H74" s="563"/>
      <c r="I74" s="563"/>
      <c r="J74" s="563"/>
      <c r="K74" s="563"/>
      <c r="L74" s="564"/>
      <c r="M74" s="565"/>
      <c r="N74" s="1150"/>
      <c r="O74" s="1150"/>
      <c r="P74" s="2626"/>
      <c r="Q74" s="558"/>
    </row>
    <row r="75" spans="1:17" s="470" customFormat="1" ht="14.4" thickBot="1">
      <c r="A75" s="567"/>
      <c r="B75" s="568"/>
      <c r="C75" s="569"/>
      <c r="D75" s="569"/>
      <c r="E75" s="569"/>
      <c r="F75" s="569"/>
      <c r="G75" s="569"/>
      <c r="H75" s="570"/>
      <c r="I75" s="570"/>
      <c r="J75" s="570"/>
      <c r="K75" s="570"/>
      <c r="L75" s="570"/>
      <c r="M75" s="571"/>
      <c r="N75" s="1150"/>
      <c r="O75" s="1150"/>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 thickTop="1">
      <c r="A86" s="578"/>
      <c r="B86" s="537" t="s">
        <v>2609</v>
      </c>
      <c r="C86" s="553"/>
      <c r="D86" s="553"/>
      <c r="E86" s="553"/>
      <c r="F86" s="553"/>
      <c r="G86" s="553"/>
      <c r="H86" s="553"/>
      <c r="I86" s="553"/>
      <c r="J86" s="553"/>
      <c r="K86" s="553"/>
      <c r="L86" s="579"/>
      <c r="M86" s="580"/>
      <c r="N86" s="1147"/>
      <c r="O86" s="1147"/>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 thickTop="1">
      <c r="A88" s="578"/>
      <c r="B88" s="537" t="s">
        <v>2610</v>
      </c>
      <c r="C88" s="553"/>
      <c r="D88" s="553"/>
      <c r="E88" s="553"/>
      <c r="F88" s="2628"/>
      <c r="G88" s="553"/>
      <c r="H88" s="553"/>
      <c r="I88" s="553"/>
      <c r="J88" s="553"/>
      <c r="K88" s="553"/>
      <c r="L88" s="553"/>
      <c r="M88" s="580"/>
      <c r="N88" s="1147"/>
      <c r="O88" s="1147"/>
      <c r="P88" s="2623"/>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4.4" thickTop="1">
      <c r="A90" s="552"/>
      <c r="B90" s="537">
        <f>B27</f>
        <v>111</v>
      </c>
      <c r="C90" s="553"/>
      <c r="D90" s="553"/>
      <c r="E90" s="553"/>
      <c r="F90" s="553"/>
      <c r="G90" s="553"/>
      <c r="H90" s="554"/>
      <c r="I90" s="554"/>
      <c r="J90" s="554"/>
      <c r="K90" s="554"/>
      <c r="L90" s="555"/>
      <c r="M90" s="556"/>
      <c r="N90" s="1150"/>
      <c r="O90" s="1150"/>
      <c r="P90" s="2624"/>
      <c r="Q90" s="558"/>
    </row>
    <row r="91" spans="1:17" s="470" customFormat="1" ht="14.4" thickBot="1">
      <c r="A91" s="552"/>
      <c r="B91" s="542"/>
      <c r="C91" s="559"/>
      <c r="D91" s="559"/>
      <c r="E91" s="559"/>
      <c r="F91" s="559"/>
      <c r="G91" s="559"/>
      <c r="H91" s="561"/>
      <c r="I91" s="561"/>
      <c r="J91" s="561"/>
      <c r="K91" s="561"/>
      <c r="L91" s="561"/>
      <c r="M91" s="562"/>
      <c r="N91" s="1150"/>
      <c r="O91" s="1150"/>
      <c r="P91" s="2624"/>
      <c r="Q91" s="558"/>
    </row>
    <row r="92" spans="1:17" ht="14.4" thickTop="1">
      <c r="A92" s="533"/>
      <c r="B92" s="537">
        <f>B28</f>
        <v>111</v>
      </c>
      <c r="C92" s="553"/>
      <c r="D92" s="553"/>
      <c r="E92" s="553"/>
      <c r="F92" s="553"/>
      <c r="G92" s="582"/>
      <c r="H92" s="582"/>
      <c r="I92" s="582"/>
      <c r="J92" s="582"/>
      <c r="K92" s="583"/>
      <c r="L92" s="584"/>
      <c r="M92" s="585"/>
      <c r="N92" s="1148"/>
      <c r="O92" s="1148"/>
      <c r="P92" s="2623"/>
      <c r="Q92" s="503"/>
    </row>
    <row r="93" spans="1:17" ht="14.4" thickBot="1">
      <c r="A93" s="533"/>
      <c r="B93" s="542"/>
      <c r="C93" s="559"/>
      <c r="D93" s="535"/>
      <c r="E93" s="535"/>
      <c r="F93" s="535"/>
      <c r="G93" s="535"/>
      <c r="H93" s="535"/>
      <c r="I93" s="535"/>
      <c r="J93" s="535"/>
      <c r="K93" s="535"/>
      <c r="L93" s="535"/>
      <c r="M93" s="536"/>
      <c r="N93" s="1149"/>
      <c r="O93" s="1149"/>
      <c r="P93" s="2623"/>
      <c r="Q93" s="503"/>
    </row>
    <row r="94" spans="1:17" ht="14.4" thickTop="1">
      <c r="A94" s="533"/>
      <c r="B94" s="537">
        <f>B29</f>
        <v>111</v>
      </c>
      <c r="C94" s="553"/>
      <c r="D94" s="553"/>
      <c r="E94" s="553"/>
      <c r="F94" s="553"/>
      <c r="G94" s="582"/>
      <c r="H94" s="582"/>
      <c r="I94" s="582"/>
      <c r="J94" s="582"/>
      <c r="K94" s="583"/>
      <c r="L94" s="584"/>
      <c r="M94" s="585"/>
      <c r="N94" s="1148"/>
      <c r="O94" s="1148"/>
      <c r="P94" s="2623"/>
      <c r="Q94" s="503"/>
    </row>
    <row r="95" spans="1:17" ht="14.4" thickBot="1">
      <c r="A95" s="533"/>
      <c r="B95" s="542"/>
      <c r="C95" s="559"/>
      <c r="D95" s="559"/>
      <c r="E95" s="559"/>
      <c r="F95" s="559"/>
      <c r="G95" s="535"/>
      <c r="H95" s="535"/>
      <c r="I95" s="535"/>
      <c r="J95" s="535"/>
      <c r="K95" s="535"/>
      <c r="L95" s="535"/>
      <c r="M95" s="536"/>
      <c r="N95" s="1149"/>
      <c r="O95" s="1149"/>
      <c r="P95" s="2623"/>
      <c r="Q95" s="503"/>
    </row>
    <row r="96" spans="1:17" ht="14.4" thickTop="1">
      <c r="A96" s="533"/>
      <c r="B96" s="537">
        <f>B30</f>
        <v>111</v>
      </c>
      <c r="C96" s="553"/>
      <c r="D96" s="553"/>
      <c r="E96" s="553"/>
      <c r="F96" s="553"/>
      <c r="G96" s="582"/>
      <c r="H96" s="582"/>
      <c r="I96" s="582"/>
      <c r="J96" s="582"/>
      <c r="K96" s="583"/>
      <c r="L96" s="584"/>
      <c r="M96" s="585"/>
      <c r="N96" s="1148"/>
      <c r="O96" s="1148"/>
      <c r="P96" s="2623"/>
      <c r="Q96" s="503"/>
    </row>
    <row r="97" spans="1:17" ht="14.4" thickBot="1">
      <c r="A97" s="533"/>
      <c r="B97" s="542"/>
      <c r="C97" s="569"/>
      <c r="D97" s="569"/>
      <c r="E97" s="569"/>
      <c r="F97" s="569"/>
      <c r="G97" s="535"/>
      <c r="H97" s="535"/>
      <c r="I97" s="535"/>
      <c r="J97" s="535"/>
      <c r="K97" s="535"/>
      <c r="L97" s="535"/>
      <c r="M97" s="536"/>
      <c r="N97" s="1149"/>
      <c r="O97" s="1149"/>
      <c r="P97" s="2623"/>
      <c r="Q97" s="503"/>
    </row>
    <row r="98" spans="1:17" ht="14.4" thickTop="1">
      <c r="A98" s="533"/>
      <c r="B98" s="545">
        <f>B31</f>
        <v>111</v>
      </c>
      <c r="C98" s="586"/>
      <c r="D98" s="586"/>
      <c r="E98" s="586"/>
      <c r="F98" s="586"/>
      <c r="G98" s="586"/>
      <c r="H98" s="586"/>
      <c r="I98" s="586"/>
      <c r="J98" s="586"/>
      <c r="K98" s="587"/>
      <c r="L98" s="588"/>
      <c r="M98" s="589"/>
      <c r="N98" s="1148"/>
      <c r="O98" s="1148"/>
      <c r="P98" s="2623"/>
      <c r="Q98" s="503"/>
    </row>
    <row r="99" spans="1:17" ht="14.4" thickBot="1">
      <c r="A99" s="2629"/>
      <c r="B99" s="568"/>
      <c r="C99" s="590"/>
      <c r="D99" s="590"/>
      <c r="E99" s="590"/>
      <c r="F99" s="590"/>
      <c r="G99" s="590"/>
      <c r="H99" s="590"/>
      <c r="I99" s="590"/>
      <c r="J99" s="590"/>
      <c r="K99" s="590"/>
      <c r="L99" s="590"/>
      <c r="M99" s="591"/>
      <c r="N99" s="1149"/>
      <c r="O99" s="1149"/>
      <c r="P99" s="2623"/>
      <c r="Q99" s="503"/>
    </row>
    <row r="100" spans="1:17" ht="14.4">
      <c r="A100" s="526" t="s">
        <v>2562</v>
      </c>
      <c r="B100" s="527" t="s">
        <v>2611</v>
      </c>
      <c r="C100" s="529"/>
      <c r="D100" s="529"/>
      <c r="E100" s="529"/>
      <c r="F100" s="529"/>
      <c r="G100" s="529"/>
      <c r="H100" s="529"/>
      <c r="I100" s="529"/>
      <c r="J100" s="529"/>
      <c r="K100" s="530"/>
      <c r="L100" s="531"/>
      <c r="M100" s="532"/>
      <c r="N100" s="1148"/>
      <c r="O100" s="1148"/>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4"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9.4"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4"/>
      <c r="Q127" s="558"/>
    </row>
    <row r="128" spans="1:17" ht="14.4" thickTop="1">
      <c r="A128" s="598"/>
      <c r="B128" s="537">
        <f>B45</f>
        <v>111</v>
      </c>
      <c r="C128" s="553"/>
      <c r="D128" s="553"/>
      <c r="E128" s="553"/>
      <c r="F128" s="553"/>
      <c r="G128" s="582"/>
      <c r="H128" s="582"/>
      <c r="I128" s="582"/>
      <c r="J128" s="582"/>
      <c r="K128" s="583"/>
      <c r="L128" s="584"/>
      <c r="M128" s="585"/>
      <c r="N128" s="1148"/>
      <c r="O128" s="1148"/>
      <c r="P128" s="2623"/>
      <c r="Q128" s="503"/>
    </row>
    <row r="129" spans="1:17" ht="14.4" thickBot="1">
      <c r="A129" s="533"/>
      <c r="B129" s="542"/>
      <c r="C129" s="559"/>
      <c r="D129" s="559"/>
      <c r="E129" s="559"/>
      <c r="F129" s="559"/>
      <c r="G129" s="535"/>
      <c r="H129" s="535"/>
      <c r="I129" s="535"/>
      <c r="J129" s="535"/>
      <c r="K129" s="535"/>
      <c r="L129" s="535"/>
      <c r="M129" s="536"/>
      <c r="N129" s="1149"/>
      <c r="O129" s="1149"/>
      <c r="P129" s="2623"/>
      <c r="Q129" s="503"/>
    </row>
    <row r="130" spans="1:17" ht="14.4" thickTop="1">
      <c r="A130" s="598"/>
      <c r="B130" s="545">
        <f>B46</f>
        <v>111</v>
      </c>
      <c r="C130" s="553"/>
      <c r="D130" s="553"/>
      <c r="E130" s="553"/>
      <c r="F130" s="553"/>
      <c r="G130" s="586"/>
      <c r="H130" s="586"/>
      <c r="I130" s="586"/>
      <c r="J130" s="586"/>
      <c r="K130" s="522"/>
      <c r="L130" s="523"/>
      <c r="M130" s="589"/>
      <c r="N130" s="1148"/>
      <c r="O130" s="1148"/>
      <c r="P130" s="2623"/>
      <c r="Q130" s="503"/>
    </row>
    <row r="131" spans="1:17" ht="14.4"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6.2"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ht="14.4">
      <c r="B147" s="2630" t="s">
        <v>2639</v>
      </c>
    </row>
    <row r="148" spans="2:11" ht="14.4">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27944.309999999998</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75" t="s">
        <v>2647</v>
      </c>
      <c r="AC4" s="3282" t="s">
        <v>2648</v>
      </c>
    </row>
    <row r="5" spans="1:29">
      <c r="A5" s="403"/>
      <c r="B5" s="404"/>
      <c r="C5" s="3271" t="s">
        <v>2541</v>
      </c>
      <c r="D5" s="3266"/>
      <c r="E5" s="3289" t="s">
        <v>2542</v>
      </c>
      <c r="F5" s="3278"/>
      <c r="G5" s="3271" t="s">
        <v>2543</v>
      </c>
      <c r="H5" s="3266"/>
      <c r="I5" s="3271" t="s">
        <v>2544</v>
      </c>
      <c r="J5" s="3266"/>
      <c r="K5" s="609"/>
      <c r="L5" s="1126"/>
      <c r="M5" s="1127"/>
      <c r="N5" s="1127"/>
      <c r="O5" s="1127"/>
      <c r="P5" s="3285"/>
      <c r="Q5" s="3252"/>
      <c r="R5" s="3257"/>
      <c r="S5" s="3258"/>
      <c r="T5" s="3257"/>
      <c r="U5" s="3258"/>
      <c r="V5" s="3262"/>
      <c r="W5" s="3262"/>
      <c r="X5" s="1809"/>
      <c r="Y5" s="3257"/>
      <c r="Z5" s="3258"/>
      <c r="AA5" s="3275"/>
      <c r="AB5" s="3275"/>
      <c r="AC5" s="3275"/>
    </row>
    <row r="6" spans="1:29" ht="15" thickBot="1">
      <c r="A6" s="405"/>
      <c r="B6" s="406"/>
      <c r="C6" s="3263" t="s">
        <v>2545</v>
      </c>
      <c r="D6" s="3264"/>
      <c r="E6" s="3272" t="s">
        <v>2545</v>
      </c>
      <c r="F6" s="3273"/>
      <c r="G6" s="3263" t="s">
        <v>2545</v>
      </c>
      <c r="H6" s="3264"/>
      <c r="I6" s="3263" t="s">
        <v>2545</v>
      </c>
      <c r="J6" s="3264"/>
      <c r="K6" s="609" t="s">
        <v>2546</v>
      </c>
      <c r="L6" s="1126"/>
      <c r="M6" s="1127"/>
      <c r="N6" s="1127"/>
      <c r="O6" s="1127"/>
      <c r="P6" s="3286"/>
      <c r="Q6" s="3254"/>
      <c r="R6" s="3257"/>
      <c r="S6" s="3258"/>
      <c r="T6" s="3259"/>
      <c r="U6" s="3260"/>
      <c r="V6" s="3262"/>
      <c r="W6" s="3262"/>
      <c r="X6" s="1809"/>
      <c r="Y6" s="3259"/>
      <c r="Z6" s="3260"/>
      <c r="AA6" s="3276"/>
      <c r="AB6" s="3276"/>
      <c r="AC6" s="3276"/>
    </row>
    <row r="7" spans="1:29" s="116" customFormat="1" ht="15" thickBot="1">
      <c r="A7" s="407" t="s">
        <v>2547</v>
      </c>
      <c r="B7" s="408"/>
      <c r="C7" s="409">
        <f>'数据-取费表'!B2</f>
        <v>43227</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69" t="s">
        <v>2548</v>
      </c>
      <c r="Q7" s="3270"/>
      <c r="R7" s="769" t="s">
        <v>17</v>
      </c>
      <c r="S7" s="770">
        <f t="shared" ref="S7:S15" si="0">F7</f>
        <v>0</v>
      </c>
      <c r="T7" s="769" t="s">
        <v>17</v>
      </c>
      <c r="U7" s="770">
        <f t="shared" ref="U7:U15" si="1">H7</f>
        <v>0</v>
      </c>
      <c r="V7" s="769" t="s">
        <v>17</v>
      </c>
      <c r="W7" s="770">
        <f t="shared" ref="W7:W15" si="2">J7</f>
        <v>0</v>
      </c>
      <c r="X7" s="771"/>
      <c r="Y7" s="3269" t="s">
        <v>2548</v>
      </c>
      <c r="Z7" s="3268"/>
      <c r="AA7" s="772" t="e">
        <f>D7/F7</f>
        <v>#DIV/0!</v>
      </c>
      <c r="AB7" s="772" t="e">
        <f>D7/H7</f>
        <v>#DIV/0!</v>
      </c>
      <c r="AC7" s="772" t="e">
        <f>D7/J7</f>
        <v>#DIV/0!</v>
      </c>
    </row>
    <row r="8" spans="1:29" s="116"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69" t="s">
        <v>2551</v>
      </c>
      <c r="Q8" s="3268"/>
      <c r="R8" s="769" t="s">
        <v>17</v>
      </c>
      <c r="S8" s="770">
        <f t="shared" si="0"/>
        <v>0</v>
      </c>
      <c r="T8" s="769" t="s">
        <v>17</v>
      </c>
      <c r="U8" s="770">
        <f t="shared" si="1"/>
        <v>0</v>
      </c>
      <c r="V8" s="769" t="s">
        <v>17</v>
      </c>
      <c r="W8" s="770">
        <f t="shared" si="2"/>
        <v>0</v>
      </c>
      <c r="X8" s="771"/>
      <c r="Y8" s="3269" t="s">
        <v>2551</v>
      </c>
      <c r="Z8" s="3268"/>
      <c r="AA8" s="772" t="e">
        <f t="shared" ref="AA8:AA40" si="3">D8/F8</f>
        <v>#DIV/0!</v>
      </c>
      <c r="AB8" s="772" t="e">
        <f t="shared" ref="AB8:AB40" si="4">D8/H8</f>
        <v>#DIV/0!</v>
      </c>
      <c r="AC8" s="772" t="e">
        <f t="shared" ref="AC8:AC40" si="5">D8/J8</f>
        <v>#DIV/0!</v>
      </c>
    </row>
    <row r="9" spans="1:29" s="116" customFormat="1" ht="14.4">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28"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28"/>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28"/>
      <c r="Q11" s="1791" t="str">
        <f t="shared" si="6"/>
        <v>容积率</v>
      </c>
      <c r="R11" s="769" t="s">
        <v>17</v>
      </c>
      <c r="S11" s="770" t="e">
        <f t="shared" si="0"/>
        <v>#N/A</v>
      </c>
      <c r="T11" s="769" t="s">
        <v>17</v>
      </c>
      <c r="U11" s="770" t="e">
        <f t="shared" si="1"/>
        <v>#N/A</v>
      </c>
      <c r="V11" s="769" t="s">
        <v>17</v>
      </c>
      <c r="W11" s="770" t="e">
        <f t="shared" si="2"/>
        <v>#N/A</v>
      </c>
      <c r="X11" s="771"/>
      <c r="Y11" s="3077"/>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28"/>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28"/>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28"/>
      <c r="Q14" s="1791">
        <f t="shared" si="6"/>
        <v>111</v>
      </c>
      <c r="R14" s="769" t="s">
        <v>17</v>
      </c>
      <c r="S14" s="770">
        <f t="shared" si="0"/>
        <v>100</v>
      </c>
      <c r="T14" s="769" t="s">
        <v>17</v>
      </c>
      <c r="U14" s="770">
        <f t="shared" si="1"/>
        <v>100</v>
      </c>
      <c r="V14" s="769" t="s">
        <v>17</v>
      </c>
      <c r="W14" s="770">
        <f t="shared" si="2"/>
        <v>100</v>
      </c>
      <c r="X14" s="771"/>
      <c r="Y14" s="3077"/>
      <c r="Z14" s="54">
        <f t="shared" si="7"/>
        <v>111</v>
      </c>
      <c r="AA14" s="772">
        <f t="shared" si="3"/>
        <v>1</v>
      </c>
      <c r="AB14" s="772">
        <f t="shared" si="4"/>
        <v>1</v>
      </c>
      <c r="AC14" s="772">
        <f t="shared" si="5"/>
        <v>1</v>
      </c>
    </row>
    <row r="15" spans="1:29" ht="69">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35" t="s">
        <v>2559</v>
      </c>
      <c r="Q15" s="1806" t="str">
        <f t="shared" si="6"/>
        <v>产业集聚程度</v>
      </c>
      <c r="R15" s="773" t="s">
        <v>17</v>
      </c>
      <c r="S15" s="774">
        <f t="shared" si="0"/>
        <v>100</v>
      </c>
      <c r="T15" s="773" t="s">
        <v>17</v>
      </c>
      <c r="U15" s="774">
        <f t="shared" si="1"/>
        <v>100</v>
      </c>
      <c r="V15" s="773" t="s">
        <v>17</v>
      </c>
      <c r="W15" s="774">
        <f t="shared" si="2"/>
        <v>100</v>
      </c>
      <c r="X15" s="1809"/>
      <c r="Y15" s="3235"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36"/>
      <c r="Q16" s="1806"/>
      <c r="R16" s="773"/>
      <c r="S16" s="774"/>
      <c r="T16" s="773"/>
      <c r="U16" s="774"/>
      <c r="V16" s="773"/>
      <c r="W16" s="774"/>
      <c r="X16" s="1809"/>
      <c r="Y16" s="3236"/>
      <c r="Z16" s="1810"/>
      <c r="AA16" s="1807">
        <v>1</v>
      </c>
      <c r="AB16" s="1807">
        <v>1</v>
      </c>
      <c r="AC16" s="1807">
        <v>1</v>
      </c>
    </row>
    <row r="17" spans="1:29" ht="96.6">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36"/>
      <c r="Q17" s="1806" t="str">
        <f>B17</f>
        <v>交通便捷度</v>
      </c>
      <c r="R17" s="773" t="s">
        <v>17</v>
      </c>
      <c r="S17" s="774">
        <f>F17</f>
        <v>100</v>
      </c>
      <c r="T17" s="773" t="s">
        <v>17</v>
      </c>
      <c r="U17" s="774">
        <f>H17</f>
        <v>100</v>
      </c>
      <c r="V17" s="773" t="s">
        <v>17</v>
      </c>
      <c r="W17" s="774">
        <f>J17</f>
        <v>100</v>
      </c>
      <c r="X17" s="1809"/>
      <c r="Y17" s="3236"/>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36"/>
      <c r="Q18" s="1806"/>
      <c r="R18" s="773"/>
      <c r="S18" s="774"/>
      <c r="T18" s="773"/>
      <c r="U18" s="774"/>
      <c r="V18" s="773"/>
      <c r="W18" s="774"/>
      <c r="X18" s="1809"/>
      <c r="Y18" s="3236"/>
      <c r="Z18" s="1810"/>
      <c r="AA18" s="1807">
        <v>1</v>
      </c>
      <c r="AB18" s="1807">
        <v>1</v>
      </c>
      <c r="AC18" s="1807">
        <v>1</v>
      </c>
    </row>
    <row r="19" spans="1:29" ht="41.4">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36"/>
      <c r="Q19" s="1806" t="str">
        <f>B19</f>
        <v>公共配套设施</v>
      </c>
      <c r="R19" s="773" t="s">
        <v>17</v>
      </c>
      <c r="S19" s="774">
        <f>F19</f>
        <v>100</v>
      </c>
      <c r="T19" s="773" t="s">
        <v>17</v>
      </c>
      <c r="U19" s="774">
        <f>H19</f>
        <v>100</v>
      </c>
      <c r="V19" s="773" t="s">
        <v>17</v>
      </c>
      <c r="W19" s="774">
        <f>J19</f>
        <v>100</v>
      </c>
      <c r="X19" s="1809"/>
      <c r="Y19" s="3236"/>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36"/>
      <c r="Q20" s="1806"/>
      <c r="R20" s="773"/>
      <c r="S20" s="774"/>
      <c r="T20" s="773"/>
      <c r="U20" s="774"/>
      <c r="V20" s="773"/>
      <c r="W20" s="774"/>
      <c r="X20" s="1809"/>
      <c r="Y20" s="3236"/>
      <c r="Z20" s="1810"/>
      <c r="AA20" s="1807">
        <v>1</v>
      </c>
      <c r="AB20" s="1807">
        <v>1</v>
      </c>
      <c r="AC20" s="1807">
        <v>1</v>
      </c>
    </row>
    <row r="21" spans="1:29" ht="41.4">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36"/>
      <c r="Q21" s="1806" t="str">
        <f>B21</f>
        <v>基础设施水平</v>
      </c>
      <c r="R21" s="773" t="s">
        <v>17</v>
      </c>
      <c r="S21" s="774">
        <f>F21</f>
        <v>100</v>
      </c>
      <c r="T21" s="773" t="s">
        <v>17</v>
      </c>
      <c r="U21" s="774">
        <f>H21</f>
        <v>100</v>
      </c>
      <c r="V21" s="773" t="s">
        <v>17</v>
      </c>
      <c r="W21" s="774">
        <f>J21</f>
        <v>100</v>
      </c>
      <c r="X21" s="1809"/>
      <c r="Y21" s="3236"/>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36"/>
      <c r="Q22" s="1806"/>
      <c r="R22" s="773"/>
      <c r="S22" s="774"/>
      <c r="T22" s="773"/>
      <c r="U22" s="774"/>
      <c r="V22" s="773"/>
      <c r="W22" s="774"/>
      <c r="X22" s="1809"/>
      <c r="Y22" s="3236"/>
      <c r="Z22" s="1810"/>
      <c r="AA22" s="1807">
        <v>1</v>
      </c>
      <c r="AB22" s="1807">
        <v>1</v>
      </c>
      <c r="AC22" s="1807">
        <v>1</v>
      </c>
    </row>
    <row r="23" spans="1:29" ht="82.8">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36"/>
      <c r="Q23" s="1806" t="str">
        <f>B23</f>
        <v>环境质量</v>
      </c>
      <c r="R23" s="773" t="s">
        <v>17</v>
      </c>
      <c r="S23" s="774">
        <f>F23</f>
        <v>100</v>
      </c>
      <c r="T23" s="773" t="s">
        <v>17</v>
      </c>
      <c r="U23" s="774">
        <f>H23</f>
        <v>100</v>
      </c>
      <c r="V23" s="773" t="s">
        <v>17</v>
      </c>
      <c r="W23" s="774">
        <f>J23</f>
        <v>100</v>
      </c>
      <c r="X23" s="1809"/>
      <c r="Y23" s="3236"/>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36"/>
      <c r="Q24" s="1806"/>
      <c r="R24" s="773"/>
      <c r="S24" s="774"/>
      <c r="T24" s="773"/>
      <c r="U24" s="774"/>
      <c r="V24" s="773"/>
      <c r="W24" s="774"/>
      <c r="X24" s="1809"/>
      <c r="Y24" s="3236"/>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36"/>
      <c r="Q25" s="1806">
        <f>B25</f>
        <v>111</v>
      </c>
      <c r="R25" s="773" t="s">
        <v>17</v>
      </c>
      <c r="S25" s="774">
        <f>F25</f>
        <v>100</v>
      </c>
      <c r="T25" s="773" t="s">
        <v>17</v>
      </c>
      <c r="U25" s="774">
        <f>H25</f>
        <v>100</v>
      </c>
      <c r="V25" s="773" t="s">
        <v>17</v>
      </c>
      <c r="W25" s="774">
        <f>J25</f>
        <v>100</v>
      </c>
      <c r="X25" s="1809"/>
      <c r="Y25" s="3236"/>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36"/>
      <c r="Q26" s="1806">
        <f t="shared" ref="Q26:Q40" si="11">B26</f>
        <v>111</v>
      </c>
      <c r="R26" s="773" t="s">
        <v>17</v>
      </c>
      <c r="S26" s="774">
        <f>F26</f>
        <v>100</v>
      </c>
      <c r="T26" s="773" t="s">
        <v>17</v>
      </c>
      <c r="U26" s="774">
        <f>H26</f>
        <v>100</v>
      </c>
      <c r="V26" s="773" t="s">
        <v>17</v>
      </c>
      <c r="W26" s="774">
        <f>J26</f>
        <v>100</v>
      </c>
      <c r="X26" s="1809"/>
      <c r="Y26" s="3236"/>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36"/>
      <c r="Q27" s="1791">
        <f t="shared" si="11"/>
        <v>111</v>
      </c>
      <c r="R27" s="769" t="s">
        <v>17</v>
      </c>
      <c r="S27" s="770">
        <f>F27</f>
        <v>100</v>
      </c>
      <c r="T27" s="769" t="s">
        <v>17</v>
      </c>
      <c r="U27" s="770">
        <f>H27</f>
        <v>100</v>
      </c>
      <c r="V27" s="769" t="s">
        <v>17</v>
      </c>
      <c r="W27" s="770">
        <f>J27</f>
        <v>100</v>
      </c>
      <c r="X27" s="771"/>
      <c r="Y27" s="3236"/>
      <c r="Z27" s="54">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36"/>
      <c r="Q28" s="1806">
        <f t="shared" si="11"/>
        <v>111</v>
      </c>
      <c r="R28" s="773" t="s">
        <v>17</v>
      </c>
      <c r="S28" s="774">
        <f t="shared" ref="S28:S40" si="12">F28</f>
        <v>100</v>
      </c>
      <c r="T28" s="773" t="s">
        <v>17</v>
      </c>
      <c r="U28" s="774">
        <f t="shared" ref="U28:U40" si="13">H28</f>
        <v>100</v>
      </c>
      <c r="V28" s="773" t="s">
        <v>17</v>
      </c>
      <c r="W28" s="774">
        <f t="shared" ref="W28:W40" si="14">J28</f>
        <v>100</v>
      </c>
      <c r="X28" s="1809"/>
      <c r="Y28" s="3236"/>
      <c r="Z28" s="1810">
        <f t="shared" ref="Z28:Z40" si="15">Q28</f>
        <v>111</v>
      </c>
      <c r="AA28" s="1807">
        <f t="shared" si="3"/>
        <v>1</v>
      </c>
      <c r="AB28" s="1807">
        <f t="shared" si="4"/>
        <v>1</v>
      </c>
      <c r="AC28" s="1807">
        <f t="shared" si="5"/>
        <v>1</v>
      </c>
    </row>
    <row r="29" spans="1:29" ht="30">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12" t="s">
        <v>2564</v>
      </c>
      <c r="Q29" s="1806" t="str">
        <f t="shared" si="11"/>
        <v>建筑类型</v>
      </c>
      <c r="R29" s="773" t="s">
        <v>17</v>
      </c>
      <c r="S29" s="774">
        <f t="shared" si="12"/>
        <v>100</v>
      </c>
      <c r="T29" s="773" t="s">
        <v>17</v>
      </c>
      <c r="U29" s="774">
        <f t="shared" si="13"/>
        <v>100</v>
      </c>
      <c r="V29" s="773" t="s">
        <v>17</v>
      </c>
      <c r="W29" s="774">
        <f t="shared" si="14"/>
        <v>100</v>
      </c>
      <c r="X29" s="1809"/>
      <c r="Y29" s="3240"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40"/>
      <c r="Q30" s="775" t="str">
        <f t="shared" si="11"/>
        <v>项目建筑规模</v>
      </c>
      <c r="R30" s="776" t="s">
        <v>17</v>
      </c>
      <c r="S30" s="777" t="e">
        <f t="shared" si="12"/>
        <v>#N/A</v>
      </c>
      <c r="T30" s="776" t="s">
        <v>17</v>
      </c>
      <c r="U30" s="777" t="e">
        <f t="shared" si="13"/>
        <v>#N/A</v>
      </c>
      <c r="V30" s="776" t="s">
        <v>17</v>
      </c>
      <c r="W30" s="777" t="e">
        <f t="shared" si="14"/>
        <v>#N/A</v>
      </c>
      <c r="X30" s="778"/>
      <c r="Y30" s="3240"/>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40"/>
      <c r="Q31" s="1806" t="str">
        <f t="shared" si="11"/>
        <v>建筑结构</v>
      </c>
      <c r="R31" s="773" t="s">
        <v>17</v>
      </c>
      <c r="S31" s="774">
        <f t="shared" si="12"/>
        <v>100</v>
      </c>
      <c r="T31" s="773" t="s">
        <v>17</v>
      </c>
      <c r="U31" s="774">
        <f t="shared" si="13"/>
        <v>100</v>
      </c>
      <c r="V31" s="773" t="s">
        <v>17</v>
      </c>
      <c r="W31" s="774">
        <f t="shared" si="14"/>
        <v>100</v>
      </c>
      <c r="X31" s="1809"/>
      <c r="Y31" s="3240"/>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40"/>
      <c r="Q32" s="1806" t="str">
        <f t="shared" si="11"/>
        <v>公共部分装修</v>
      </c>
      <c r="R32" s="773" t="s">
        <v>17</v>
      </c>
      <c r="S32" s="774">
        <f t="shared" si="12"/>
        <v>100</v>
      </c>
      <c r="T32" s="773" t="s">
        <v>17</v>
      </c>
      <c r="U32" s="774">
        <f t="shared" si="13"/>
        <v>100</v>
      </c>
      <c r="V32" s="773" t="s">
        <v>17</v>
      </c>
      <c r="W32" s="774">
        <f t="shared" si="14"/>
        <v>100</v>
      </c>
      <c r="X32" s="1809"/>
      <c r="Y32" s="3240"/>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40"/>
      <c r="Q33" s="1806" t="str">
        <f t="shared" si="11"/>
        <v>成新度</v>
      </c>
      <c r="R33" s="773" t="s">
        <v>17</v>
      </c>
      <c r="S33" s="774" t="e">
        <f t="shared" si="12"/>
        <v>#N/A</v>
      </c>
      <c r="T33" s="773" t="s">
        <v>17</v>
      </c>
      <c r="U33" s="774" t="e">
        <f t="shared" si="13"/>
        <v>#N/A</v>
      </c>
      <c r="V33" s="773" t="s">
        <v>17</v>
      </c>
      <c r="W33" s="774" t="e">
        <f t="shared" si="14"/>
        <v>#N/A</v>
      </c>
      <c r="X33" s="1809"/>
      <c r="Y33" s="3240"/>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40"/>
      <c r="Q34" s="1791" t="str">
        <f t="shared" si="11"/>
        <v>物业管理</v>
      </c>
      <c r="R34" s="769" t="s">
        <v>17</v>
      </c>
      <c r="S34" s="770">
        <f t="shared" si="12"/>
        <v>100</v>
      </c>
      <c r="T34" s="769" t="s">
        <v>17</v>
      </c>
      <c r="U34" s="770">
        <f t="shared" si="13"/>
        <v>100</v>
      </c>
      <c r="V34" s="769" t="s">
        <v>17</v>
      </c>
      <c r="W34" s="770">
        <f t="shared" si="14"/>
        <v>100</v>
      </c>
      <c r="X34" s="771"/>
      <c r="Y34" s="3240"/>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40" t="s">
        <v>2564</v>
      </c>
      <c r="Q35" s="1806" t="str">
        <f t="shared" si="11"/>
        <v>市政基础设施</v>
      </c>
      <c r="R35" s="773" t="s">
        <v>17</v>
      </c>
      <c r="S35" s="774">
        <f t="shared" si="12"/>
        <v>100</v>
      </c>
      <c r="T35" s="773" t="s">
        <v>17</v>
      </c>
      <c r="U35" s="774">
        <f t="shared" si="13"/>
        <v>100</v>
      </c>
      <c r="V35" s="773" t="s">
        <v>17</v>
      </c>
      <c r="W35" s="774">
        <f t="shared" si="14"/>
        <v>100</v>
      </c>
      <c r="X35" s="1809"/>
      <c r="Y35" s="3240"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40"/>
      <c r="Q36" s="1806" t="str">
        <f t="shared" si="11"/>
        <v>内部装修</v>
      </c>
      <c r="R36" s="773" t="s">
        <v>17</v>
      </c>
      <c r="S36" s="774">
        <f t="shared" si="12"/>
        <v>100</v>
      </c>
      <c r="T36" s="773" t="s">
        <v>17</v>
      </c>
      <c r="U36" s="774">
        <f t="shared" si="13"/>
        <v>100</v>
      </c>
      <c r="V36" s="773" t="s">
        <v>17</v>
      </c>
      <c r="W36" s="774">
        <f t="shared" si="14"/>
        <v>100</v>
      </c>
      <c r="X36" s="1809"/>
      <c r="Y36" s="3240"/>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40"/>
      <c r="Q37" s="1806" t="str">
        <f t="shared" si="11"/>
        <v>内部装修状况</v>
      </c>
      <c r="R37" s="773" t="s">
        <v>17</v>
      </c>
      <c r="S37" s="774">
        <f t="shared" si="12"/>
        <v>100</v>
      </c>
      <c r="T37" s="773" t="s">
        <v>17</v>
      </c>
      <c r="U37" s="774">
        <f t="shared" si="13"/>
        <v>100</v>
      </c>
      <c r="V37" s="773" t="s">
        <v>17</v>
      </c>
      <c r="W37" s="774">
        <f t="shared" si="14"/>
        <v>100</v>
      </c>
      <c r="X37" s="1809"/>
      <c r="Y37" s="3240"/>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40"/>
      <c r="Q38" s="775">
        <f t="shared" si="11"/>
        <v>111</v>
      </c>
      <c r="R38" s="776" t="s">
        <v>17</v>
      </c>
      <c r="S38" s="777">
        <f t="shared" si="12"/>
        <v>100</v>
      </c>
      <c r="T38" s="776" t="s">
        <v>17</v>
      </c>
      <c r="U38" s="777">
        <f t="shared" si="13"/>
        <v>100</v>
      </c>
      <c r="V38" s="776" t="s">
        <v>17</v>
      </c>
      <c r="W38" s="777">
        <f t="shared" si="14"/>
        <v>100</v>
      </c>
      <c r="X38" s="778"/>
      <c r="Y38" s="3240"/>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40"/>
      <c r="Q39" s="1806">
        <f t="shared" si="11"/>
        <v>111</v>
      </c>
      <c r="R39" s="773" t="s">
        <v>17</v>
      </c>
      <c r="S39" s="774">
        <f t="shared" si="12"/>
        <v>100</v>
      </c>
      <c r="T39" s="773" t="s">
        <v>17</v>
      </c>
      <c r="U39" s="774">
        <f t="shared" si="13"/>
        <v>100</v>
      </c>
      <c r="V39" s="773" t="s">
        <v>17</v>
      </c>
      <c r="W39" s="774">
        <f t="shared" si="14"/>
        <v>100</v>
      </c>
      <c r="X39" s="1809"/>
      <c r="Y39" s="3240"/>
      <c r="Z39" s="1810">
        <f t="shared" si="15"/>
        <v>111</v>
      </c>
      <c r="AA39" s="1807">
        <f t="shared" si="3"/>
        <v>1</v>
      </c>
      <c r="AB39" s="1807">
        <f t="shared" si="4"/>
        <v>1</v>
      </c>
      <c r="AC39" s="1807">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41"/>
      <c r="Q40" s="1806">
        <f t="shared" si="11"/>
        <v>111</v>
      </c>
      <c r="R40" s="773" t="s">
        <v>17</v>
      </c>
      <c r="S40" s="774">
        <f t="shared" si="12"/>
        <v>100</v>
      </c>
      <c r="T40" s="773" t="s">
        <v>17</v>
      </c>
      <c r="U40" s="774">
        <f t="shared" si="13"/>
        <v>100</v>
      </c>
      <c r="V40" s="773" t="s">
        <v>17</v>
      </c>
      <c r="W40" s="774">
        <f t="shared" si="14"/>
        <v>100</v>
      </c>
      <c r="X40" s="1809"/>
      <c r="Y40" s="3241"/>
      <c r="Z40" s="1810">
        <f t="shared" si="15"/>
        <v>111</v>
      </c>
      <c r="AA40" s="1807">
        <f t="shared" si="3"/>
        <v>1</v>
      </c>
      <c r="AB40" s="1807">
        <f t="shared" si="4"/>
        <v>1</v>
      </c>
      <c r="AC40" s="1807">
        <f t="shared" si="5"/>
        <v>1</v>
      </c>
    </row>
    <row r="41" spans="1:29" ht="14.4">
      <c r="A41" s="478" t="s">
        <v>2576</v>
      </c>
      <c r="B41" s="479"/>
      <c r="C41" s="1403" t="s">
        <v>1</v>
      </c>
      <c r="D41" s="1404"/>
      <c r="E41" s="1405"/>
      <c r="F41" s="1406"/>
      <c r="G41" s="1407"/>
      <c r="H41" s="1408"/>
      <c r="I41" s="1405"/>
      <c r="J41" s="1408"/>
      <c r="K41" s="782"/>
      <c r="L41" s="1139"/>
      <c r="M41" s="1140"/>
      <c r="N41" s="1127"/>
      <c r="O41" s="1140"/>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 thickBot="1">
      <c r="A43" s="491" t="s">
        <v>2669</v>
      </c>
      <c r="B43" s="492"/>
      <c r="C43" s="1413" t="e">
        <f>R43</f>
        <v>#DIV/0!</v>
      </c>
      <c r="D43" s="1413"/>
      <c r="E43" s="1413"/>
      <c r="F43" s="1413"/>
      <c r="G43" s="1413"/>
      <c r="H43" s="1413"/>
      <c r="I43" s="1413"/>
      <c r="J43" s="1413"/>
      <c r="K43" s="784"/>
      <c r="L43" s="1139"/>
      <c r="M43" s="1140"/>
      <c r="N43" s="1140"/>
      <c r="O43" s="1140"/>
      <c r="P43" s="3279" t="str">
        <f>A43</f>
        <v>估价对象XX用房的比较价值（楼面单价，元/平方米）</v>
      </c>
      <c r="Q43" s="3280"/>
      <c r="R43" s="3281" t="e">
        <f>IF(F1="售价",ROUND(AVERAGE(R42:V42),0),ROUND(AVERAGE(R42:V42),1))</f>
        <v>#DIV/0!</v>
      </c>
      <c r="S43" s="3281"/>
      <c r="T43" s="3281"/>
      <c r="U43" s="3281"/>
      <c r="V43" s="3281"/>
      <c r="W43" s="3281"/>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2" t="s">
        <v>2673</v>
      </c>
      <c r="B51" s="758"/>
      <c r="C51" s="763"/>
      <c r="D51" s="763"/>
      <c r="E51" s="763"/>
      <c r="F51" s="764"/>
      <c r="G51" s="764"/>
      <c r="H51" s="763"/>
      <c r="I51" s="763"/>
      <c r="J51" s="763"/>
      <c r="K51" s="1156"/>
      <c r="L51" s="1157"/>
      <c r="M51" s="1155"/>
      <c r="N51" s="1155"/>
      <c r="O51" s="1155"/>
      <c r="P51" s="502"/>
      <c r="Q51" s="503"/>
    </row>
    <row r="52" spans="1:17" s="507" customFormat="1" ht="14.4">
      <c r="A52" s="504" t="s">
        <v>2547</v>
      </c>
      <c r="B52" s="505"/>
      <c r="C52" s="1570" t="str">
        <f>YEAR(C7)&amp;"-"&amp;MONTH(C7)</f>
        <v>2018-5</v>
      </c>
      <c r="D52" s="1571">
        <f>EDATE(C52,-1)</f>
        <v>43191</v>
      </c>
      <c r="E52" s="1571">
        <f t="shared" ref="E52:O52" si="16">EDATE(D52,-1)</f>
        <v>43160</v>
      </c>
      <c r="F52" s="1571">
        <f t="shared" si="16"/>
        <v>43132</v>
      </c>
      <c r="G52" s="1571">
        <f t="shared" si="16"/>
        <v>43101</v>
      </c>
      <c r="H52" s="1571">
        <f t="shared" si="16"/>
        <v>43070</v>
      </c>
      <c r="I52" s="1571">
        <f t="shared" si="16"/>
        <v>43040</v>
      </c>
      <c r="J52" s="1571">
        <f t="shared" si="16"/>
        <v>43009</v>
      </c>
      <c r="K52" s="1571">
        <f t="shared" si="16"/>
        <v>42979</v>
      </c>
      <c r="L52" s="1571">
        <f t="shared" si="16"/>
        <v>42948</v>
      </c>
      <c r="M52" s="1571">
        <f t="shared" si="16"/>
        <v>42917</v>
      </c>
      <c r="N52" s="1571">
        <f t="shared" si="16"/>
        <v>42887</v>
      </c>
      <c r="O52" s="1571">
        <f t="shared" si="16"/>
        <v>42856</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2584</v>
      </c>
      <c r="B54" s="515"/>
      <c r="C54" s="516"/>
      <c r="D54" s="517"/>
      <c r="E54" s="517"/>
      <c r="F54" s="517"/>
      <c r="G54" s="517"/>
      <c r="H54" s="517"/>
      <c r="I54" s="517"/>
      <c r="J54" s="517"/>
      <c r="K54" s="517"/>
      <c r="L54" s="517"/>
      <c r="M54" s="518"/>
      <c r="N54" s="517"/>
      <c r="O54" s="519"/>
      <c r="P54" s="503"/>
      <c r="Q54" s="503"/>
    </row>
    <row r="55" spans="1:17" s="116" customFormat="1" ht="14.4">
      <c r="A55" s="520" t="s">
        <v>2549</v>
      </c>
      <c r="B55" s="509"/>
      <c r="C55" s="521" t="s">
        <v>2651</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2587</v>
      </c>
      <c r="B57" s="527" t="s">
        <v>2553</v>
      </c>
      <c r="C57" s="528">
        <f>C9</f>
        <v>0</v>
      </c>
      <c r="D57" s="529"/>
      <c r="E57" s="529"/>
      <c r="F57" s="529"/>
      <c r="G57" s="529"/>
      <c r="H57" s="529"/>
      <c r="I57" s="529"/>
      <c r="J57" s="529"/>
      <c r="K57" s="530"/>
      <c r="L57" s="531"/>
      <c r="M57" s="532"/>
      <c r="N57" s="1148"/>
      <c r="O57" s="1148"/>
      <c r="P57" s="44"/>
      <c r="Q57" s="503"/>
    </row>
    <row r="58" spans="1:17" ht="14.4" thickBot="1">
      <c r="A58" s="533"/>
      <c r="B58" s="534"/>
      <c r="C58" s="535">
        <v>100</v>
      </c>
      <c r="D58" s="535"/>
      <c r="E58" s="535"/>
      <c r="F58" s="535"/>
      <c r="G58" s="535"/>
      <c r="H58" s="535"/>
      <c r="I58" s="535"/>
      <c r="J58" s="535"/>
      <c r="K58" s="535"/>
      <c r="L58" s="535"/>
      <c r="M58" s="536"/>
      <c r="N58" s="1149"/>
      <c r="O58" s="1149"/>
      <c r="P58" s="44"/>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c r="A62" s="533"/>
      <c r="B62" s="547"/>
      <c r="C62" s="548"/>
      <c r="D62" s="548"/>
      <c r="E62" s="548"/>
      <c r="F62" s="548"/>
      <c r="G62" s="548"/>
      <c r="H62" s="548"/>
      <c r="I62" s="548"/>
      <c r="J62" s="548"/>
      <c r="K62" s="549"/>
      <c r="L62" s="550"/>
      <c r="M62" s="551"/>
      <c r="N62" s="1148"/>
      <c r="O62" s="1148"/>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4.4" thickTop="1">
      <c r="A80" s="578"/>
      <c r="B80" s="537">
        <f>B25</f>
        <v>111</v>
      </c>
      <c r="C80" s="553"/>
      <c r="D80" s="553"/>
      <c r="E80" s="553"/>
      <c r="F80" s="553"/>
      <c r="G80" s="553"/>
      <c r="H80" s="553"/>
      <c r="I80" s="553"/>
      <c r="J80" s="553"/>
      <c r="K80" s="553"/>
      <c r="L80" s="579"/>
      <c r="M80" s="580"/>
      <c r="N80" s="1147"/>
      <c r="O80" s="1147"/>
      <c r="P80" s="44"/>
      <c r="Q80" s="503"/>
    </row>
    <row r="81" spans="1:17" s="116" customFormat="1" ht="14.4" thickBot="1">
      <c r="A81" s="578"/>
      <c r="B81" s="542"/>
      <c r="C81" s="559"/>
      <c r="D81" s="535"/>
      <c r="E81" s="535"/>
      <c r="F81" s="535"/>
      <c r="G81" s="535"/>
      <c r="H81" s="535"/>
      <c r="I81" s="535"/>
      <c r="J81" s="535"/>
      <c r="K81" s="535"/>
      <c r="L81" s="535"/>
      <c r="M81" s="536"/>
      <c r="N81" s="1149"/>
      <c r="O81" s="1149"/>
      <c r="P81" s="44"/>
      <c r="Q81" s="503"/>
    </row>
    <row r="82" spans="1:17" s="116" customFormat="1" ht="14.4" thickTop="1">
      <c r="A82" s="578"/>
      <c r="B82" s="537">
        <f>B26</f>
        <v>111</v>
      </c>
      <c r="C82" s="553"/>
      <c r="D82" s="553"/>
      <c r="E82" s="553"/>
      <c r="F82" s="553"/>
      <c r="G82" s="553"/>
      <c r="H82" s="553"/>
      <c r="I82" s="553"/>
      <c r="J82" s="553"/>
      <c r="K82" s="553"/>
      <c r="L82" s="579"/>
      <c r="M82" s="580"/>
      <c r="N82" s="1147"/>
      <c r="O82" s="1147"/>
      <c r="P82" s="44"/>
      <c r="Q82" s="503"/>
    </row>
    <row r="83" spans="1:17" s="116" customFormat="1" ht="14.4" thickBot="1">
      <c r="A83" s="578"/>
      <c r="B83" s="542"/>
      <c r="C83" s="559"/>
      <c r="D83" s="535"/>
      <c r="E83" s="535"/>
      <c r="F83" s="535"/>
      <c r="G83" s="535"/>
      <c r="H83" s="535"/>
      <c r="I83" s="535"/>
      <c r="J83" s="535"/>
      <c r="K83" s="535"/>
      <c r="L83" s="535"/>
      <c r="M83" s="536"/>
      <c r="N83" s="1149"/>
      <c r="O83" s="1149"/>
      <c r="P83" s="44"/>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4"/>
      <c r="Q86" s="503"/>
    </row>
    <row r="87" spans="1:17" ht="14.4" thickBot="1">
      <c r="A87" s="2629"/>
      <c r="B87" s="568"/>
      <c r="C87" s="569"/>
      <c r="D87" s="569"/>
      <c r="E87" s="569"/>
      <c r="F87" s="569"/>
      <c r="G87" s="590"/>
      <c r="H87" s="590"/>
      <c r="I87" s="590"/>
      <c r="J87" s="590"/>
      <c r="K87" s="590"/>
      <c r="L87" s="590"/>
      <c r="M87" s="591"/>
      <c r="N87" s="1149"/>
      <c r="O87" s="1149"/>
      <c r="P87" s="44"/>
      <c r="Q87" s="503"/>
    </row>
    <row r="88" spans="1:17" ht="14.4">
      <c r="A88" s="526" t="s">
        <v>2562</v>
      </c>
      <c r="B88" s="527" t="s">
        <v>2611</v>
      </c>
      <c r="C88" s="529"/>
      <c r="D88" s="529"/>
      <c r="E88" s="529"/>
      <c r="F88" s="529"/>
      <c r="G88" s="529"/>
      <c r="H88" s="529"/>
      <c r="I88" s="529"/>
      <c r="J88" s="529"/>
      <c r="K88" s="530"/>
      <c r="L88" s="531"/>
      <c r="M88" s="532"/>
      <c r="N88" s="1148"/>
      <c r="O88" s="1148"/>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29.4"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4"/>
      <c r="Q110" s="503"/>
    </row>
    <row r="111" spans="1:17" ht="14.4" thickBot="1">
      <c r="A111" s="533"/>
      <c r="B111" s="542"/>
      <c r="C111" s="559"/>
      <c r="D111" s="535"/>
      <c r="E111" s="535"/>
      <c r="F111" s="535"/>
      <c r="G111" s="559"/>
      <c r="H111" s="561"/>
      <c r="I111" s="561"/>
      <c r="J111" s="561"/>
      <c r="K111" s="561"/>
      <c r="L111" s="561"/>
      <c r="M111" s="562"/>
      <c r="N111" s="1149"/>
      <c r="O111" s="1149"/>
      <c r="P111" s="44"/>
      <c r="Q111" s="503"/>
    </row>
    <row r="112" spans="1:17" ht="14.4" thickTop="1">
      <c r="A112" s="598"/>
      <c r="B112" s="545">
        <f>B40</f>
        <v>111</v>
      </c>
      <c r="C112" s="522"/>
      <c r="D112" s="522"/>
      <c r="E112" s="522"/>
      <c r="F112" s="522"/>
      <c r="G112" s="586"/>
      <c r="H112" s="586"/>
      <c r="I112" s="586"/>
      <c r="J112" s="586"/>
      <c r="K112" s="522"/>
      <c r="L112" s="523"/>
      <c r="M112" s="589"/>
      <c r="N112" s="1148"/>
      <c r="O112" s="1148"/>
      <c r="P112" s="44"/>
      <c r="Q112" s="503"/>
    </row>
    <row r="113" spans="1:17" ht="14.4"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75" t="s">
        <v>2647</v>
      </c>
      <c r="AC4" s="3282" t="s">
        <v>2648</v>
      </c>
    </row>
    <row r="5" spans="1:29">
      <c r="A5" s="403"/>
      <c r="B5" s="404"/>
      <c r="C5" s="3271" t="s">
        <v>2541</v>
      </c>
      <c r="D5" s="3266"/>
      <c r="E5" s="3289" t="s">
        <v>2542</v>
      </c>
      <c r="F5" s="3278"/>
      <c r="G5" s="3271" t="s">
        <v>2543</v>
      </c>
      <c r="H5" s="3266"/>
      <c r="I5" s="3271" t="s">
        <v>2544</v>
      </c>
      <c r="J5" s="3266"/>
      <c r="K5" s="609"/>
      <c r="L5" s="1126"/>
      <c r="M5" s="1127"/>
      <c r="N5" s="1127"/>
      <c r="O5" s="1127"/>
      <c r="P5" s="3285"/>
      <c r="Q5" s="3252"/>
      <c r="R5" s="3257"/>
      <c r="S5" s="3258"/>
      <c r="T5" s="3257"/>
      <c r="U5" s="3258"/>
      <c r="V5" s="3262"/>
      <c r="W5" s="3262"/>
      <c r="X5" s="1809"/>
      <c r="Y5" s="3257"/>
      <c r="Z5" s="3258"/>
      <c r="AA5" s="3275"/>
      <c r="AB5" s="3275"/>
      <c r="AC5" s="3275"/>
    </row>
    <row r="6" spans="1:29" ht="15" thickBot="1">
      <c r="A6" s="405"/>
      <c r="B6" s="406"/>
      <c r="C6" s="3263" t="s">
        <v>2545</v>
      </c>
      <c r="D6" s="3264"/>
      <c r="E6" s="3272" t="s">
        <v>2545</v>
      </c>
      <c r="F6" s="3273"/>
      <c r="G6" s="3263" t="s">
        <v>2545</v>
      </c>
      <c r="H6" s="3264"/>
      <c r="I6" s="3263" t="s">
        <v>2545</v>
      </c>
      <c r="J6" s="3264"/>
      <c r="K6" s="609" t="s">
        <v>2546</v>
      </c>
      <c r="L6" s="1126"/>
      <c r="M6" s="1127"/>
      <c r="N6" s="1127"/>
      <c r="O6" s="1127"/>
      <c r="P6" s="3286"/>
      <c r="Q6" s="3254"/>
      <c r="R6" s="3257"/>
      <c r="S6" s="3258"/>
      <c r="T6" s="3259"/>
      <c r="U6" s="3260"/>
      <c r="V6" s="3262"/>
      <c r="W6" s="3262"/>
      <c r="X6" s="1809"/>
      <c r="Y6" s="3259"/>
      <c r="Z6" s="3260"/>
      <c r="AA6" s="3276"/>
      <c r="AB6" s="3276"/>
      <c r="AC6" s="3276"/>
    </row>
    <row r="7" spans="1:29" s="116" customFormat="1" ht="15" thickBot="1">
      <c r="A7" s="407" t="s">
        <v>2547</v>
      </c>
      <c r="B7" s="408"/>
      <c r="C7" s="409">
        <f>'数据-取费表'!B2</f>
        <v>43227</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69" t="s">
        <v>2548</v>
      </c>
      <c r="Q7" s="3270"/>
      <c r="R7" s="769" t="s">
        <v>17</v>
      </c>
      <c r="S7" s="770">
        <f t="shared" ref="S7:S14" si="0">F7</f>
        <v>0</v>
      </c>
      <c r="T7" s="769" t="s">
        <v>17</v>
      </c>
      <c r="U7" s="770">
        <f t="shared" ref="U7:U14" si="1">H7</f>
        <v>0</v>
      </c>
      <c r="V7" s="769" t="s">
        <v>17</v>
      </c>
      <c r="W7" s="770">
        <f t="shared" ref="W7:W14" si="2">J7</f>
        <v>0</v>
      </c>
      <c r="X7" s="771"/>
      <c r="Y7" s="3269" t="s">
        <v>2548</v>
      </c>
      <c r="Z7" s="3268"/>
      <c r="AA7" s="772" t="e">
        <f>D7/F7</f>
        <v>#DIV/0!</v>
      </c>
      <c r="AB7" s="772" t="e">
        <f>D7/H7</f>
        <v>#DIV/0!</v>
      </c>
      <c r="AC7" s="772" t="e">
        <f>D7/J7</f>
        <v>#DIV/0!</v>
      </c>
    </row>
    <row r="8" spans="1:29" s="116"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69" t="s">
        <v>2551</v>
      </c>
      <c r="Q8" s="3268"/>
      <c r="R8" s="769" t="s">
        <v>17</v>
      </c>
      <c r="S8" s="770">
        <f t="shared" si="0"/>
        <v>0</v>
      </c>
      <c r="T8" s="769" t="s">
        <v>17</v>
      </c>
      <c r="U8" s="770">
        <f t="shared" si="1"/>
        <v>0</v>
      </c>
      <c r="V8" s="769" t="s">
        <v>17</v>
      </c>
      <c r="W8" s="770">
        <f t="shared" si="2"/>
        <v>0</v>
      </c>
      <c r="X8" s="771"/>
      <c r="Y8" s="3269" t="s">
        <v>2551</v>
      </c>
      <c r="Z8" s="3268"/>
      <c r="AA8" s="772" t="e">
        <f t="shared" ref="AA8:AA36" si="3">D8/F8</f>
        <v>#DIV/0!</v>
      </c>
      <c r="AB8" s="772" t="e">
        <f t="shared" ref="AB8:AB36" si="4">D8/H8</f>
        <v>#DIV/0!</v>
      </c>
      <c r="AC8" s="772" t="e">
        <f t="shared" ref="AC8:AC36" si="5">D8/J8</f>
        <v>#DIV/0!</v>
      </c>
    </row>
    <row r="9" spans="1:29" s="116" customFormat="1" ht="14.4">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28" t="s">
        <v>2554</v>
      </c>
      <c r="Q9" s="1791" t="str">
        <f t="shared" ref="Q9:Q14" si="6">B9</f>
        <v>用途</v>
      </c>
      <c r="R9" s="769" t="s">
        <v>17</v>
      </c>
      <c r="S9" s="770">
        <f t="shared" si="0"/>
        <v>100</v>
      </c>
      <c r="T9" s="769" t="s">
        <v>17</v>
      </c>
      <c r="U9" s="770">
        <f t="shared" si="1"/>
        <v>100</v>
      </c>
      <c r="V9" s="769" t="s">
        <v>17</v>
      </c>
      <c r="W9" s="770">
        <f t="shared" si="2"/>
        <v>100</v>
      </c>
      <c r="X9" s="771"/>
      <c r="Y9" s="3077" t="s">
        <v>2555</v>
      </c>
      <c r="Z9" s="54" t="str">
        <f t="shared" ref="Z9:Z14" si="7">Q9</f>
        <v>用途</v>
      </c>
      <c r="AA9" s="772">
        <f t="shared" si="3"/>
        <v>1</v>
      </c>
      <c r="AB9" s="772">
        <f t="shared" si="4"/>
        <v>1</v>
      </c>
      <c r="AC9" s="772">
        <f t="shared" si="5"/>
        <v>1</v>
      </c>
    </row>
    <row r="10" spans="1:29" s="426" customFormat="1" ht="28.8">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28"/>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28"/>
      <c r="Q11" s="1791">
        <f t="shared" si="6"/>
        <v>111</v>
      </c>
      <c r="R11" s="769" t="s">
        <v>17</v>
      </c>
      <c r="S11" s="770">
        <f t="shared" si="0"/>
        <v>100</v>
      </c>
      <c r="T11" s="769" t="s">
        <v>17</v>
      </c>
      <c r="U11" s="770">
        <f t="shared" si="1"/>
        <v>100</v>
      </c>
      <c r="V11" s="769" t="s">
        <v>17</v>
      </c>
      <c r="W11" s="770">
        <f t="shared" si="2"/>
        <v>100</v>
      </c>
      <c r="X11" s="771"/>
      <c r="Y11" s="3077"/>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28"/>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28"/>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772">
        <f t="shared" si="5"/>
        <v>1</v>
      </c>
    </row>
    <row r="14" spans="1:29" ht="262.2">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35" t="s">
        <v>2559</v>
      </c>
      <c r="Q14" s="1806" t="str">
        <f t="shared" si="6"/>
        <v>交通便捷度</v>
      </c>
      <c r="R14" s="773" t="s">
        <v>17</v>
      </c>
      <c r="S14" s="774">
        <f t="shared" si="0"/>
        <v>100</v>
      </c>
      <c r="T14" s="773" t="s">
        <v>17</v>
      </c>
      <c r="U14" s="774">
        <f t="shared" si="1"/>
        <v>100</v>
      </c>
      <c r="V14" s="773" t="s">
        <v>17</v>
      </c>
      <c r="W14" s="774">
        <f t="shared" si="2"/>
        <v>100</v>
      </c>
      <c r="X14" s="1809"/>
      <c r="Y14" s="3235"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36"/>
      <c r="Q15" s="1806"/>
      <c r="R15" s="773"/>
      <c r="S15" s="774"/>
      <c r="T15" s="773"/>
      <c r="U15" s="774"/>
      <c r="V15" s="773"/>
      <c r="W15" s="774"/>
      <c r="X15" s="1809"/>
      <c r="Y15" s="3236"/>
      <c r="Z15" s="1810"/>
      <c r="AA15" s="1807">
        <v>1</v>
      </c>
      <c r="AB15" s="1807">
        <v>1</v>
      </c>
      <c r="AC15" s="1807">
        <v>1</v>
      </c>
    </row>
    <row r="16" spans="1:29" ht="55.2">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36"/>
      <c r="Q16" s="1806" t="str">
        <f>B16</f>
        <v>公共配套设施</v>
      </c>
      <c r="R16" s="773" t="s">
        <v>17</v>
      </c>
      <c r="S16" s="774">
        <f>F16</f>
        <v>100</v>
      </c>
      <c r="T16" s="773" t="s">
        <v>17</v>
      </c>
      <c r="U16" s="774">
        <f>H16</f>
        <v>100</v>
      </c>
      <c r="V16" s="773" t="s">
        <v>17</v>
      </c>
      <c r="W16" s="774">
        <f>J16</f>
        <v>100</v>
      </c>
      <c r="X16" s="1809"/>
      <c r="Y16" s="3236"/>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36"/>
      <c r="Q17" s="1806"/>
      <c r="R17" s="773"/>
      <c r="S17" s="774"/>
      <c r="T17" s="773"/>
      <c r="U17" s="774"/>
      <c r="V17" s="773"/>
      <c r="W17" s="774"/>
      <c r="X17" s="1809"/>
      <c r="Y17" s="3236"/>
      <c r="Z17" s="1810"/>
      <c r="AA17" s="1807">
        <v>1</v>
      </c>
      <c r="AB17" s="1807">
        <v>1</v>
      </c>
      <c r="AC17" s="1807">
        <v>1</v>
      </c>
    </row>
    <row r="18" spans="1:29" ht="41.4">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36"/>
      <c r="Q18" s="1806" t="str">
        <f>B18</f>
        <v>基础设施水平</v>
      </c>
      <c r="R18" s="773" t="s">
        <v>17</v>
      </c>
      <c r="S18" s="774">
        <f>F18</f>
        <v>100</v>
      </c>
      <c r="T18" s="773" t="s">
        <v>17</v>
      </c>
      <c r="U18" s="774">
        <f>H18</f>
        <v>100</v>
      </c>
      <c r="V18" s="773" t="s">
        <v>17</v>
      </c>
      <c r="W18" s="774">
        <f>J18</f>
        <v>100</v>
      </c>
      <c r="X18" s="1809"/>
      <c r="Y18" s="3236"/>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36"/>
      <c r="Q19" s="1806"/>
      <c r="R19" s="773"/>
      <c r="S19" s="774"/>
      <c r="T19" s="773"/>
      <c r="U19" s="774"/>
      <c r="V19" s="773"/>
      <c r="W19" s="774"/>
      <c r="X19" s="1809"/>
      <c r="Y19" s="3236"/>
      <c r="Z19" s="1810"/>
      <c r="AA19" s="1807">
        <v>1</v>
      </c>
      <c r="AB19" s="1807">
        <v>1</v>
      </c>
      <c r="AC19" s="1807">
        <v>1</v>
      </c>
    </row>
    <row r="20" spans="1:29" ht="165.6">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36"/>
      <c r="Q20" s="1806" t="str">
        <f>B20</f>
        <v>自然及人文环境</v>
      </c>
      <c r="R20" s="773" t="s">
        <v>17</v>
      </c>
      <c r="S20" s="774">
        <f>F20</f>
        <v>100</v>
      </c>
      <c r="T20" s="773" t="s">
        <v>17</v>
      </c>
      <c r="U20" s="774">
        <f>H20</f>
        <v>100</v>
      </c>
      <c r="V20" s="773" t="s">
        <v>17</v>
      </c>
      <c r="W20" s="774">
        <f>J20</f>
        <v>100</v>
      </c>
      <c r="X20" s="1809"/>
      <c r="Y20" s="323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36"/>
      <c r="Q21" s="1806"/>
      <c r="R21" s="773"/>
      <c r="S21" s="774"/>
      <c r="T21" s="773"/>
      <c r="U21" s="774"/>
      <c r="V21" s="773"/>
      <c r="W21" s="774"/>
      <c r="X21" s="1809"/>
      <c r="Y21" s="3236"/>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36"/>
      <c r="Q22" s="1806" t="str">
        <f>B22</f>
        <v>楼层</v>
      </c>
      <c r="R22" s="773" t="s">
        <v>17</v>
      </c>
      <c r="S22" s="774">
        <f>F22</f>
        <v>100</v>
      </c>
      <c r="T22" s="773" t="s">
        <v>17</v>
      </c>
      <c r="U22" s="774">
        <f>H22</f>
        <v>100</v>
      </c>
      <c r="V22" s="773" t="s">
        <v>17</v>
      </c>
      <c r="W22" s="774">
        <f>J22</f>
        <v>100</v>
      </c>
      <c r="X22" s="1809"/>
      <c r="Y22" s="323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36"/>
      <c r="Q23" s="1806">
        <f>B23</f>
        <v>111</v>
      </c>
      <c r="R23" s="773" t="s">
        <v>17</v>
      </c>
      <c r="S23" s="774">
        <f>F23</f>
        <v>100</v>
      </c>
      <c r="T23" s="773" t="s">
        <v>17</v>
      </c>
      <c r="U23" s="774">
        <f>H23</f>
        <v>100</v>
      </c>
      <c r="V23" s="773" t="s">
        <v>17</v>
      </c>
      <c r="W23" s="774">
        <f>J23</f>
        <v>100</v>
      </c>
      <c r="X23" s="1809"/>
      <c r="Y23" s="323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36"/>
      <c r="Q24" s="1806">
        <f t="shared" ref="Q24:Q36" si="11">B24</f>
        <v>111</v>
      </c>
      <c r="R24" s="773" t="s">
        <v>17</v>
      </c>
      <c r="S24" s="774">
        <f>F24</f>
        <v>100</v>
      </c>
      <c r="T24" s="773" t="s">
        <v>17</v>
      </c>
      <c r="U24" s="774">
        <f>H24</f>
        <v>100</v>
      </c>
      <c r="V24" s="773" t="s">
        <v>17</v>
      </c>
      <c r="W24" s="774">
        <f>J24</f>
        <v>100</v>
      </c>
      <c r="X24" s="1809"/>
      <c r="Y24" s="3236"/>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36"/>
      <c r="Q25" s="1791">
        <f t="shared" si="11"/>
        <v>111</v>
      </c>
      <c r="R25" s="769" t="s">
        <v>17</v>
      </c>
      <c r="S25" s="770">
        <f>F25</f>
        <v>100</v>
      </c>
      <c r="T25" s="769" t="s">
        <v>17</v>
      </c>
      <c r="U25" s="770">
        <f>H25</f>
        <v>100</v>
      </c>
      <c r="V25" s="769" t="s">
        <v>17</v>
      </c>
      <c r="W25" s="770">
        <f>J25</f>
        <v>100</v>
      </c>
      <c r="X25" s="771"/>
      <c r="Y25" s="3236"/>
      <c r="Z25" s="54">
        <f>Q25</f>
        <v>111</v>
      </c>
      <c r="AA25" s="1807">
        <f>D25/F25</f>
        <v>1</v>
      </c>
      <c r="AB25" s="1807">
        <f>D25/H25</f>
        <v>1</v>
      </c>
      <c r="AC25" s="1807">
        <f>D25/J25</f>
        <v>1</v>
      </c>
    </row>
    <row r="26" spans="1:29" ht="30">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12"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40"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40"/>
      <c r="Q27" s="775" t="str">
        <f t="shared" si="11"/>
        <v>项目停车位配比</v>
      </c>
      <c r="R27" s="776" t="s">
        <v>17</v>
      </c>
      <c r="S27" s="777">
        <f t="shared" si="12"/>
        <v>100</v>
      </c>
      <c r="T27" s="776" t="s">
        <v>17</v>
      </c>
      <c r="U27" s="777">
        <f t="shared" si="13"/>
        <v>100</v>
      </c>
      <c r="V27" s="776" t="s">
        <v>17</v>
      </c>
      <c r="W27" s="777">
        <f t="shared" si="14"/>
        <v>100</v>
      </c>
      <c r="X27" s="778"/>
      <c r="Y27" s="3240"/>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40"/>
      <c r="Q28" s="1806" t="str">
        <f t="shared" si="11"/>
        <v>公共部分装修</v>
      </c>
      <c r="R28" s="773" t="s">
        <v>17</v>
      </c>
      <c r="S28" s="774">
        <f t="shared" si="12"/>
        <v>100</v>
      </c>
      <c r="T28" s="773" t="s">
        <v>17</v>
      </c>
      <c r="U28" s="774">
        <f t="shared" si="13"/>
        <v>100</v>
      </c>
      <c r="V28" s="773" t="s">
        <v>17</v>
      </c>
      <c r="W28" s="774">
        <f t="shared" si="14"/>
        <v>100</v>
      </c>
      <c r="X28" s="1809"/>
      <c r="Y28" s="3240"/>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40"/>
      <c r="Q29" s="1806" t="str">
        <f t="shared" si="11"/>
        <v>成新率</v>
      </c>
      <c r="R29" s="773" t="s">
        <v>17</v>
      </c>
      <c r="S29" s="774" t="e">
        <f t="shared" si="12"/>
        <v>#N/A</v>
      </c>
      <c r="T29" s="773" t="s">
        <v>17</v>
      </c>
      <c r="U29" s="774" t="e">
        <f t="shared" si="13"/>
        <v>#N/A</v>
      </c>
      <c r="V29" s="773" t="s">
        <v>17</v>
      </c>
      <c r="W29" s="774" t="e">
        <f t="shared" si="14"/>
        <v>#N/A</v>
      </c>
      <c r="X29" s="1809"/>
      <c r="Y29" s="3240"/>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40"/>
      <c r="Q30" s="1806" t="str">
        <f t="shared" si="11"/>
        <v>物业等级</v>
      </c>
      <c r="R30" s="773" t="s">
        <v>17</v>
      </c>
      <c r="S30" s="774">
        <f t="shared" si="12"/>
        <v>100</v>
      </c>
      <c r="T30" s="773" t="s">
        <v>17</v>
      </c>
      <c r="U30" s="774">
        <f t="shared" si="13"/>
        <v>100</v>
      </c>
      <c r="V30" s="773" t="s">
        <v>17</v>
      </c>
      <c r="W30" s="774">
        <f t="shared" si="14"/>
        <v>100</v>
      </c>
      <c r="X30" s="1809"/>
      <c r="Y30" s="3240"/>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40"/>
      <c r="Q31" s="1791" t="str">
        <f t="shared" si="11"/>
        <v>停车位面积</v>
      </c>
      <c r="R31" s="769" t="s">
        <v>17</v>
      </c>
      <c r="S31" s="770" t="e">
        <f t="shared" si="12"/>
        <v>#N/A</v>
      </c>
      <c r="T31" s="769" t="s">
        <v>17</v>
      </c>
      <c r="U31" s="770" t="e">
        <f t="shared" si="13"/>
        <v>#N/A</v>
      </c>
      <c r="V31" s="769" t="s">
        <v>17</v>
      </c>
      <c r="W31" s="770" t="e">
        <f t="shared" si="14"/>
        <v>#N/A</v>
      </c>
      <c r="X31" s="771"/>
      <c r="Y31" s="3240"/>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40" t="s">
        <v>2564</v>
      </c>
      <c r="Q32" s="1806" t="str">
        <f t="shared" si="11"/>
        <v>车位类型</v>
      </c>
      <c r="R32" s="773" t="s">
        <v>17</v>
      </c>
      <c r="S32" s="774">
        <f t="shared" si="12"/>
        <v>100</v>
      </c>
      <c r="T32" s="773" t="s">
        <v>17</v>
      </c>
      <c r="U32" s="774">
        <f t="shared" si="13"/>
        <v>100</v>
      </c>
      <c r="V32" s="773" t="s">
        <v>17</v>
      </c>
      <c r="W32" s="774">
        <f t="shared" si="14"/>
        <v>100</v>
      </c>
      <c r="X32" s="1809"/>
      <c r="Y32" s="3240"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40"/>
      <c r="Q33" s="1806" t="str">
        <f t="shared" si="11"/>
        <v>是否直接入户</v>
      </c>
      <c r="R33" s="773" t="s">
        <v>17</v>
      </c>
      <c r="S33" s="774">
        <f t="shared" si="12"/>
        <v>100</v>
      </c>
      <c r="T33" s="773" t="s">
        <v>17</v>
      </c>
      <c r="U33" s="774">
        <f t="shared" si="13"/>
        <v>100</v>
      </c>
      <c r="V33" s="773" t="s">
        <v>17</v>
      </c>
      <c r="W33" s="774">
        <f t="shared" si="14"/>
        <v>100</v>
      </c>
      <c r="X33" s="1809"/>
      <c r="Y33" s="3240"/>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40"/>
      <c r="Q34" s="1806">
        <f t="shared" si="11"/>
        <v>111</v>
      </c>
      <c r="R34" s="773" t="s">
        <v>17</v>
      </c>
      <c r="S34" s="774">
        <f t="shared" si="12"/>
        <v>100</v>
      </c>
      <c r="T34" s="773" t="s">
        <v>17</v>
      </c>
      <c r="U34" s="774">
        <f t="shared" si="13"/>
        <v>100</v>
      </c>
      <c r="V34" s="773" t="s">
        <v>17</v>
      </c>
      <c r="W34" s="774">
        <f t="shared" si="14"/>
        <v>100</v>
      </c>
      <c r="X34" s="1809"/>
      <c r="Y34" s="3240"/>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40"/>
      <c r="Q35" s="775">
        <f t="shared" si="11"/>
        <v>111</v>
      </c>
      <c r="R35" s="776" t="s">
        <v>17</v>
      </c>
      <c r="S35" s="777">
        <f t="shared" si="12"/>
        <v>100</v>
      </c>
      <c r="T35" s="776" t="s">
        <v>17</v>
      </c>
      <c r="U35" s="777">
        <f t="shared" si="13"/>
        <v>100</v>
      </c>
      <c r="V35" s="776" t="s">
        <v>17</v>
      </c>
      <c r="W35" s="777">
        <f t="shared" si="14"/>
        <v>100</v>
      </c>
      <c r="X35" s="778"/>
      <c r="Y35" s="3240"/>
      <c r="Z35" s="779">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40"/>
      <c r="Q36" s="1806">
        <f t="shared" si="11"/>
        <v>111</v>
      </c>
      <c r="R36" s="773" t="s">
        <v>17</v>
      </c>
      <c r="S36" s="774">
        <f t="shared" si="12"/>
        <v>100</v>
      </c>
      <c r="T36" s="773" t="s">
        <v>17</v>
      </c>
      <c r="U36" s="774">
        <f t="shared" si="13"/>
        <v>100</v>
      </c>
      <c r="V36" s="773" t="s">
        <v>17</v>
      </c>
      <c r="W36" s="774">
        <f t="shared" si="14"/>
        <v>100</v>
      </c>
      <c r="X36" s="1809"/>
      <c r="Y36" s="3240"/>
      <c r="Z36" s="1810">
        <f t="shared" si="15"/>
        <v>111</v>
      </c>
      <c r="AA36" s="1807">
        <f t="shared" si="3"/>
        <v>1</v>
      </c>
      <c r="AB36" s="1807">
        <f t="shared" si="4"/>
        <v>1</v>
      </c>
      <c r="AC36" s="1807">
        <f t="shared" si="5"/>
        <v>1</v>
      </c>
    </row>
    <row r="37" spans="1:29" ht="14.4">
      <c r="A37" s="478" t="s">
        <v>2719</v>
      </c>
      <c r="B37" s="2688" t="s">
        <v>2720</v>
      </c>
      <c r="C37" s="1403" t="s">
        <v>1</v>
      </c>
      <c r="D37" s="1404"/>
      <c r="E37" s="1405"/>
      <c r="F37" s="1406"/>
      <c r="G37" s="1407"/>
      <c r="H37" s="1408"/>
      <c r="I37" s="1405"/>
      <c r="J37" s="1408"/>
      <c r="K37" s="618"/>
      <c r="L37" s="1139"/>
      <c r="M37" s="1140"/>
      <c r="N37" s="1127"/>
      <c r="O37" s="1140"/>
      <c r="P37" s="3228" t="str">
        <f>A37</f>
        <v>成交单价</v>
      </c>
      <c r="Q37" s="3228"/>
      <c r="R37" s="3229">
        <f>E37</f>
        <v>0</v>
      </c>
      <c r="S37" s="3229"/>
      <c r="T37" s="3229">
        <f>G37</f>
        <v>0</v>
      </c>
      <c r="U37" s="3229"/>
      <c r="V37" s="3229">
        <f>I37</f>
        <v>0</v>
      </c>
      <c r="W37" s="3229"/>
      <c r="X37" s="758"/>
      <c r="Y37" s="780"/>
      <c r="Z37" s="758"/>
      <c r="AA37" s="758"/>
      <c r="AB37" s="758"/>
      <c r="AC37" s="758"/>
    </row>
    <row r="38" spans="1:29" ht="1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 thickBot="1">
      <c r="A39" s="491" t="s">
        <v>2722</v>
      </c>
      <c r="B39" s="492"/>
      <c r="C39" s="1413" t="e">
        <f>R39</f>
        <v>#DIV/0!</v>
      </c>
      <c r="D39" s="1413"/>
      <c r="E39" s="1413"/>
      <c r="F39" s="1413"/>
      <c r="G39" s="1413"/>
      <c r="H39" s="1413"/>
      <c r="I39" s="1413"/>
      <c r="J39" s="1413"/>
      <c r="K39" s="620"/>
      <c r="L39" s="1139"/>
      <c r="M39" s="1140"/>
      <c r="N39" s="1140"/>
      <c r="O39" s="1140"/>
      <c r="P39" s="3279" t="str">
        <f>A39</f>
        <v>估价对象XX用房的比较价值（楼面单价，元/平方米）</v>
      </c>
      <c r="Q39" s="3280"/>
      <c r="R39" s="3281" t="e">
        <f>IF(F1="售价",ROUND(AVERAGE(R38:V38),0),ROUND(AVERAGE(R38:V38),1))</f>
        <v>#DIV/0!</v>
      </c>
      <c r="S39" s="3281"/>
      <c r="T39" s="3281"/>
      <c r="U39" s="3281"/>
      <c r="V39" s="3281"/>
      <c r="W39" s="3281"/>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4.4">
      <c r="A48" s="504" t="s">
        <v>2727</v>
      </c>
      <c r="B48" s="505"/>
      <c r="C48" s="1570" t="str">
        <f>YEAR(C7)&amp;"-"&amp;MONTH(C7)</f>
        <v>2018-5</v>
      </c>
      <c r="D48" s="1571">
        <f>EDATE(C48,-1)</f>
        <v>43191</v>
      </c>
      <c r="E48" s="1571">
        <f t="shared" ref="E48:O48" si="16">EDATE(D48,-1)</f>
        <v>43160</v>
      </c>
      <c r="F48" s="1571">
        <f t="shared" si="16"/>
        <v>43132</v>
      </c>
      <c r="G48" s="1571">
        <f t="shared" si="16"/>
        <v>43101</v>
      </c>
      <c r="H48" s="1571">
        <f t="shared" si="16"/>
        <v>43070</v>
      </c>
      <c r="I48" s="1571">
        <f t="shared" si="16"/>
        <v>43040</v>
      </c>
      <c r="J48" s="1571">
        <f t="shared" si="16"/>
        <v>43009</v>
      </c>
      <c r="K48" s="1571">
        <f t="shared" si="16"/>
        <v>42979</v>
      </c>
      <c r="L48" s="1571">
        <f t="shared" si="16"/>
        <v>42948</v>
      </c>
      <c r="M48" s="1571">
        <f t="shared" si="16"/>
        <v>42917</v>
      </c>
      <c r="N48" s="1571">
        <f t="shared" si="16"/>
        <v>42887</v>
      </c>
      <c r="O48" s="1571">
        <f t="shared" si="16"/>
        <v>42856</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ht="14.4">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9.4"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4.4"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4.4"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75" t="s">
        <v>2647</v>
      </c>
      <c r="AC4" s="3282" t="s">
        <v>2648</v>
      </c>
    </row>
    <row r="5" spans="1:29">
      <c r="A5" s="403"/>
      <c r="B5" s="404"/>
      <c r="C5" s="3271" t="s">
        <v>2541</v>
      </c>
      <c r="D5" s="3266"/>
      <c r="E5" s="3289" t="s">
        <v>2542</v>
      </c>
      <c r="F5" s="3278"/>
      <c r="G5" s="3271" t="s">
        <v>2543</v>
      </c>
      <c r="H5" s="3266"/>
      <c r="I5" s="3271" t="s">
        <v>2544</v>
      </c>
      <c r="J5" s="3266"/>
      <c r="K5" s="609"/>
      <c r="L5" s="1126"/>
      <c r="M5" s="1127"/>
      <c r="N5" s="1127"/>
      <c r="O5" s="1127"/>
      <c r="P5" s="3285"/>
      <c r="Q5" s="3252"/>
      <c r="R5" s="3257"/>
      <c r="S5" s="3258"/>
      <c r="T5" s="3257"/>
      <c r="U5" s="3258"/>
      <c r="V5" s="3262"/>
      <c r="W5" s="3262"/>
      <c r="X5" s="1809"/>
      <c r="Y5" s="3257"/>
      <c r="Z5" s="3258"/>
      <c r="AA5" s="3275"/>
      <c r="AB5" s="3275"/>
      <c r="AC5" s="3275"/>
    </row>
    <row r="6" spans="1:29" ht="15" thickBot="1">
      <c r="A6" s="405"/>
      <c r="B6" s="406"/>
      <c r="C6" s="3263" t="s">
        <v>2545</v>
      </c>
      <c r="D6" s="3264"/>
      <c r="E6" s="3272" t="s">
        <v>2545</v>
      </c>
      <c r="F6" s="3273"/>
      <c r="G6" s="3263" t="s">
        <v>2545</v>
      </c>
      <c r="H6" s="3264"/>
      <c r="I6" s="3263" t="s">
        <v>2545</v>
      </c>
      <c r="J6" s="3264"/>
      <c r="K6" s="609" t="s">
        <v>2546</v>
      </c>
      <c r="L6" s="1126"/>
      <c r="M6" s="1127"/>
      <c r="N6" s="1127"/>
      <c r="O6" s="1127"/>
      <c r="P6" s="3286"/>
      <c r="Q6" s="3254"/>
      <c r="R6" s="3257"/>
      <c r="S6" s="3258"/>
      <c r="T6" s="3259"/>
      <c r="U6" s="3260"/>
      <c r="V6" s="3262"/>
      <c r="W6" s="3262"/>
      <c r="X6" s="1809"/>
      <c r="Y6" s="3259"/>
      <c r="Z6" s="3260"/>
      <c r="AA6" s="3276"/>
      <c r="AB6" s="3276"/>
      <c r="AC6" s="3276"/>
    </row>
    <row r="7" spans="1:29" s="116" customFormat="1" ht="15" thickBot="1">
      <c r="A7" s="407" t="s">
        <v>2547</v>
      </c>
      <c r="B7" s="408"/>
      <c r="C7" s="409">
        <f>'数据-取费表'!B2</f>
        <v>43227</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69" t="s">
        <v>2548</v>
      </c>
      <c r="Q7" s="3270"/>
      <c r="R7" s="769" t="s">
        <v>17</v>
      </c>
      <c r="S7" s="770">
        <f t="shared" ref="S7:S14" si="0">F7</f>
        <v>0</v>
      </c>
      <c r="T7" s="769" t="s">
        <v>17</v>
      </c>
      <c r="U7" s="770">
        <f t="shared" ref="U7:U14" si="1">H7</f>
        <v>0</v>
      </c>
      <c r="V7" s="769" t="s">
        <v>17</v>
      </c>
      <c r="W7" s="770">
        <f t="shared" ref="W7:W14" si="2">J7</f>
        <v>0</v>
      </c>
      <c r="X7" s="771"/>
      <c r="Y7" s="3269" t="s">
        <v>2548</v>
      </c>
      <c r="Z7" s="3268"/>
      <c r="AA7" s="772" t="e">
        <f>D7/F7</f>
        <v>#DIV/0!</v>
      </c>
      <c r="AB7" s="772" t="e">
        <f>D7/H7</f>
        <v>#DIV/0!</v>
      </c>
      <c r="AC7" s="772" t="e">
        <f>D7/J7</f>
        <v>#DIV/0!</v>
      </c>
    </row>
    <row r="8" spans="1:29" s="116"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69" t="s">
        <v>2551</v>
      </c>
      <c r="Q8" s="3268"/>
      <c r="R8" s="769" t="s">
        <v>17</v>
      </c>
      <c r="S8" s="770">
        <f t="shared" si="0"/>
        <v>0</v>
      </c>
      <c r="T8" s="769" t="s">
        <v>17</v>
      </c>
      <c r="U8" s="770">
        <f t="shared" si="1"/>
        <v>0</v>
      </c>
      <c r="V8" s="769" t="s">
        <v>17</v>
      </c>
      <c r="W8" s="770">
        <f t="shared" si="2"/>
        <v>0</v>
      </c>
      <c r="X8" s="771"/>
      <c r="Y8" s="3269" t="s">
        <v>2551</v>
      </c>
      <c r="Z8" s="3268"/>
      <c r="AA8" s="772" t="e">
        <f t="shared" ref="AA8:AA34" si="3">D8/F8</f>
        <v>#DIV/0!</v>
      </c>
      <c r="AB8" s="772" t="e">
        <f t="shared" ref="AB8:AB34" si="4">D8/H8</f>
        <v>#DIV/0!</v>
      </c>
      <c r="AC8" s="772" t="e">
        <f t="shared" ref="AC8:AC34" si="5">D8/J8</f>
        <v>#DIV/0!</v>
      </c>
    </row>
    <row r="9" spans="1:29" s="116" customFormat="1" ht="14.4">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28" t="s">
        <v>2554</v>
      </c>
      <c r="Q9" s="1791" t="str">
        <f t="shared" ref="Q9:Q14" si="6">B9</f>
        <v>用途</v>
      </c>
      <c r="R9" s="769" t="s">
        <v>17</v>
      </c>
      <c r="S9" s="770">
        <f t="shared" si="0"/>
        <v>100</v>
      </c>
      <c r="T9" s="769" t="s">
        <v>17</v>
      </c>
      <c r="U9" s="770">
        <f t="shared" si="1"/>
        <v>100</v>
      </c>
      <c r="V9" s="769" t="s">
        <v>17</v>
      </c>
      <c r="W9" s="770">
        <f t="shared" si="2"/>
        <v>100</v>
      </c>
      <c r="X9" s="771"/>
      <c r="Y9" s="3077" t="s">
        <v>2555</v>
      </c>
      <c r="Z9" s="54" t="str">
        <f t="shared" ref="Z9:Z14" si="7">Q9</f>
        <v>用途</v>
      </c>
      <c r="AA9" s="772">
        <f t="shared" si="3"/>
        <v>1</v>
      </c>
      <c r="AB9" s="772">
        <f t="shared" si="4"/>
        <v>1</v>
      </c>
      <c r="AC9" s="772">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28"/>
      <c r="Q10" s="1791" t="str">
        <f t="shared" si="6"/>
        <v>土地使用年限（年）</v>
      </c>
      <c r="R10" s="769" t="s">
        <v>17</v>
      </c>
      <c r="S10" s="770">
        <f t="shared" si="0"/>
        <v>100</v>
      </c>
      <c r="T10" s="769" t="s">
        <v>17</v>
      </c>
      <c r="U10" s="770">
        <f t="shared" si="1"/>
        <v>100</v>
      </c>
      <c r="V10" s="769" t="s">
        <v>17</v>
      </c>
      <c r="W10" s="770">
        <f t="shared" si="2"/>
        <v>100</v>
      </c>
      <c r="X10" s="771"/>
      <c r="Y10" s="3077"/>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28"/>
      <c r="Q11" s="1791">
        <f t="shared" si="6"/>
        <v>111</v>
      </c>
      <c r="R11" s="769" t="s">
        <v>17</v>
      </c>
      <c r="S11" s="770">
        <f t="shared" si="0"/>
        <v>100</v>
      </c>
      <c r="T11" s="769" t="s">
        <v>17</v>
      </c>
      <c r="U11" s="770">
        <f t="shared" si="1"/>
        <v>100</v>
      </c>
      <c r="V11" s="769" t="s">
        <v>17</v>
      </c>
      <c r="W11" s="770">
        <f t="shared" si="2"/>
        <v>100</v>
      </c>
      <c r="X11" s="771"/>
      <c r="Y11" s="3077"/>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28"/>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28"/>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772">
        <f t="shared" si="5"/>
        <v>1</v>
      </c>
    </row>
    <row r="14" spans="1:29" ht="262.2">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35" t="s">
        <v>2559</v>
      </c>
      <c r="Q14" s="1806" t="str">
        <f t="shared" si="6"/>
        <v>交通便捷度</v>
      </c>
      <c r="R14" s="773" t="s">
        <v>17</v>
      </c>
      <c r="S14" s="774">
        <f t="shared" si="0"/>
        <v>100</v>
      </c>
      <c r="T14" s="773" t="s">
        <v>17</v>
      </c>
      <c r="U14" s="774">
        <f t="shared" si="1"/>
        <v>100</v>
      </c>
      <c r="V14" s="773" t="s">
        <v>17</v>
      </c>
      <c r="W14" s="774">
        <f t="shared" si="2"/>
        <v>100</v>
      </c>
      <c r="X14" s="1809"/>
      <c r="Y14" s="3235"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36"/>
      <c r="Q15" s="1806"/>
      <c r="R15" s="773"/>
      <c r="S15" s="774"/>
      <c r="T15" s="773"/>
      <c r="U15" s="774"/>
      <c r="V15" s="773"/>
      <c r="W15" s="774"/>
      <c r="X15" s="1809"/>
      <c r="Y15" s="3236"/>
      <c r="Z15" s="1810"/>
      <c r="AA15" s="1807">
        <v>1</v>
      </c>
      <c r="AB15" s="1807">
        <v>1</v>
      </c>
      <c r="AC15" s="1807">
        <v>1</v>
      </c>
    </row>
    <row r="16" spans="1:29" ht="55.2">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36"/>
      <c r="Q16" s="1806" t="str">
        <f>B16</f>
        <v>公共配套设施</v>
      </c>
      <c r="R16" s="773" t="s">
        <v>17</v>
      </c>
      <c r="S16" s="774">
        <f>F16</f>
        <v>100</v>
      </c>
      <c r="T16" s="773" t="s">
        <v>17</v>
      </c>
      <c r="U16" s="774">
        <f>H16</f>
        <v>100</v>
      </c>
      <c r="V16" s="773" t="s">
        <v>17</v>
      </c>
      <c r="W16" s="774">
        <f>J16</f>
        <v>100</v>
      </c>
      <c r="X16" s="1809"/>
      <c r="Y16" s="3236"/>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36"/>
      <c r="Q17" s="1806"/>
      <c r="R17" s="773"/>
      <c r="S17" s="774"/>
      <c r="T17" s="773"/>
      <c r="U17" s="774"/>
      <c r="V17" s="773"/>
      <c r="W17" s="774"/>
      <c r="X17" s="1809"/>
      <c r="Y17" s="3236"/>
      <c r="Z17" s="1810"/>
      <c r="AA17" s="1807">
        <v>1</v>
      </c>
      <c r="AB17" s="1807">
        <v>1</v>
      </c>
      <c r="AC17" s="1807">
        <v>1</v>
      </c>
    </row>
    <row r="18" spans="1:29" ht="41.4">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36"/>
      <c r="Q18" s="1806" t="str">
        <f>B18</f>
        <v>基础设施水平</v>
      </c>
      <c r="R18" s="773" t="s">
        <v>17</v>
      </c>
      <c r="S18" s="774">
        <f>F18</f>
        <v>100</v>
      </c>
      <c r="T18" s="773" t="s">
        <v>17</v>
      </c>
      <c r="U18" s="774">
        <f>H18</f>
        <v>100</v>
      </c>
      <c r="V18" s="773" t="s">
        <v>17</v>
      </c>
      <c r="W18" s="774">
        <f>J18</f>
        <v>100</v>
      </c>
      <c r="X18" s="1809"/>
      <c r="Y18" s="3236"/>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36"/>
      <c r="Q19" s="1806"/>
      <c r="R19" s="773"/>
      <c r="S19" s="774"/>
      <c r="T19" s="773"/>
      <c r="U19" s="774"/>
      <c r="V19" s="773"/>
      <c r="W19" s="774"/>
      <c r="X19" s="1809"/>
      <c r="Y19" s="3236"/>
      <c r="Z19" s="1810"/>
      <c r="AA19" s="1807">
        <v>1</v>
      </c>
      <c r="AB19" s="1807">
        <v>1</v>
      </c>
      <c r="AC19" s="1807">
        <v>1</v>
      </c>
    </row>
    <row r="20" spans="1:29" ht="165.6">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36"/>
      <c r="Q20" s="1806" t="str">
        <f>B20</f>
        <v>自然及人文环境</v>
      </c>
      <c r="R20" s="773" t="s">
        <v>17</v>
      </c>
      <c r="S20" s="774">
        <f>F20</f>
        <v>100</v>
      </c>
      <c r="T20" s="773" t="s">
        <v>17</v>
      </c>
      <c r="U20" s="774">
        <f>H20</f>
        <v>100</v>
      </c>
      <c r="V20" s="773" t="s">
        <v>17</v>
      </c>
      <c r="W20" s="774">
        <f>J20</f>
        <v>100</v>
      </c>
      <c r="X20" s="1809"/>
      <c r="Y20" s="323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36"/>
      <c r="Q21" s="1806"/>
      <c r="R21" s="773"/>
      <c r="S21" s="774"/>
      <c r="T21" s="773"/>
      <c r="U21" s="774"/>
      <c r="V21" s="773"/>
      <c r="W21" s="774"/>
      <c r="X21" s="1809"/>
      <c r="Y21" s="3236"/>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36"/>
      <c r="Q22" s="1806" t="str">
        <f>B22</f>
        <v>楼层</v>
      </c>
      <c r="R22" s="773" t="s">
        <v>17</v>
      </c>
      <c r="S22" s="774">
        <f>F22</f>
        <v>100</v>
      </c>
      <c r="T22" s="773" t="s">
        <v>17</v>
      </c>
      <c r="U22" s="774">
        <f>H22</f>
        <v>100</v>
      </c>
      <c r="V22" s="773" t="s">
        <v>17</v>
      </c>
      <c r="W22" s="774">
        <f>J22</f>
        <v>100</v>
      </c>
      <c r="X22" s="1809"/>
      <c r="Y22" s="3236"/>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36"/>
      <c r="Q23" s="1806">
        <f>B23</f>
        <v>111</v>
      </c>
      <c r="R23" s="773" t="s">
        <v>17</v>
      </c>
      <c r="S23" s="774">
        <f>F23</f>
        <v>100</v>
      </c>
      <c r="T23" s="773" t="s">
        <v>17</v>
      </c>
      <c r="U23" s="774">
        <f>H23</f>
        <v>100</v>
      </c>
      <c r="V23" s="773" t="s">
        <v>17</v>
      </c>
      <c r="W23" s="774">
        <f>J23</f>
        <v>100</v>
      </c>
      <c r="X23" s="1809"/>
      <c r="Y23" s="3236"/>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36"/>
      <c r="Q24" s="1806">
        <f t="shared" ref="Q24:Q34" si="11">B24</f>
        <v>111</v>
      </c>
      <c r="R24" s="773" t="s">
        <v>17</v>
      </c>
      <c r="S24" s="774">
        <f>F24</f>
        <v>100</v>
      </c>
      <c r="T24" s="773" t="s">
        <v>17</v>
      </c>
      <c r="U24" s="774">
        <f>H24</f>
        <v>100</v>
      </c>
      <c r="V24" s="773" t="s">
        <v>17</v>
      </c>
      <c r="W24" s="774">
        <f>J24</f>
        <v>100</v>
      </c>
      <c r="X24" s="1809"/>
      <c r="Y24" s="3236"/>
      <c r="Z24" s="1810">
        <f>Q24</f>
        <v>111</v>
      </c>
      <c r="AA24" s="1807">
        <f t="shared" si="3"/>
        <v>1</v>
      </c>
      <c r="AB24" s="1807">
        <f t="shared" si="4"/>
        <v>1</v>
      </c>
      <c r="AC24" s="1807">
        <f t="shared" si="5"/>
        <v>1</v>
      </c>
    </row>
    <row r="25" spans="1:29" s="116"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36"/>
      <c r="Q25" s="1791">
        <f t="shared" si="11"/>
        <v>111</v>
      </c>
      <c r="R25" s="769" t="s">
        <v>17</v>
      </c>
      <c r="S25" s="770">
        <f>F25</f>
        <v>100</v>
      </c>
      <c r="T25" s="769" t="s">
        <v>17</v>
      </c>
      <c r="U25" s="770">
        <f>H25</f>
        <v>100</v>
      </c>
      <c r="V25" s="769" t="s">
        <v>17</v>
      </c>
      <c r="W25" s="770">
        <f>J25</f>
        <v>100</v>
      </c>
      <c r="X25" s="771"/>
      <c r="Y25" s="3236"/>
      <c r="Z25" s="54">
        <f>Q25</f>
        <v>111</v>
      </c>
      <c r="AA25" s="1807">
        <f>D25/F25</f>
        <v>1</v>
      </c>
      <c r="AB25" s="1807">
        <f>D25/H25</f>
        <v>1</v>
      </c>
      <c r="AC25" s="1807">
        <f>D25/J25</f>
        <v>1</v>
      </c>
    </row>
    <row r="26" spans="1:29" ht="30">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12"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40"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40"/>
      <c r="Q27" s="775" t="str">
        <f t="shared" si="11"/>
        <v>成新率</v>
      </c>
      <c r="R27" s="776" t="s">
        <v>17</v>
      </c>
      <c r="S27" s="777" t="e">
        <f t="shared" si="12"/>
        <v>#N/A</v>
      </c>
      <c r="T27" s="776" t="s">
        <v>17</v>
      </c>
      <c r="U27" s="777" t="e">
        <f t="shared" si="13"/>
        <v>#N/A</v>
      </c>
      <c r="V27" s="776" t="s">
        <v>17</v>
      </c>
      <c r="W27" s="777" t="e">
        <f t="shared" si="14"/>
        <v>#N/A</v>
      </c>
      <c r="X27" s="778"/>
      <c r="Y27" s="3240"/>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40"/>
      <c r="Q28" s="1806" t="str">
        <f t="shared" si="11"/>
        <v>物业等级</v>
      </c>
      <c r="R28" s="773" t="s">
        <v>17</v>
      </c>
      <c r="S28" s="774">
        <f t="shared" si="12"/>
        <v>100</v>
      </c>
      <c r="T28" s="773" t="s">
        <v>17</v>
      </c>
      <c r="U28" s="774">
        <f t="shared" si="13"/>
        <v>100</v>
      </c>
      <c r="V28" s="773" t="s">
        <v>17</v>
      </c>
      <c r="W28" s="774">
        <f t="shared" si="14"/>
        <v>100</v>
      </c>
      <c r="X28" s="1809"/>
      <c r="Y28" s="3240"/>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40"/>
      <c r="Q29" s="1806" t="str">
        <f t="shared" si="11"/>
        <v>有无电梯</v>
      </c>
      <c r="R29" s="773" t="s">
        <v>17</v>
      </c>
      <c r="S29" s="774">
        <f t="shared" si="12"/>
        <v>100</v>
      </c>
      <c r="T29" s="773" t="s">
        <v>17</v>
      </c>
      <c r="U29" s="774">
        <f t="shared" si="13"/>
        <v>100</v>
      </c>
      <c r="V29" s="773" t="s">
        <v>17</v>
      </c>
      <c r="W29" s="774">
        <f t="shared" si="14"/>
        <v>100</v>
      </c>
      <c r="X29" s="1809"/>
      <c r="Y29" s="3240"/>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40"/>
      <c r="Q30" s="1806" t="str">
        <f t="shared" si="11"/>
        <v>建筑面积</v>
      </c>
      <c r="R30" s="773" t="s">
        <v>17</v>
      </c>
      <c r="S30" s="774" t="e">
        <f t="shared" si="12"/>
        <v>#N/A</v>
      </c>
      <c r="T30" s="773" t="s">
        <v>17</v>
      </c>
      <c r="U30" s="774" t="e">
        <f t="shared" si="13"/>
        <v>#N/A</v>
      </c>
      <c r="V30" s="773" t="s">
        <v>17</v>
      </c>
      <c r="W30" s="774" t="e">
        <f t="shared" si="14"/>
        <v>#N/A</v>
      </c>
      <c r="X30" s="1809"/>
      <c r="Y30" s="3240"/>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40"/>
      <c r="Q31" s="1791" t="str">
        <f t="shared" si="11"/>
        <v>是否封闭</v>
      </c>
      <c r="R31" s="769" t="s">
        <v>17</v>
      </c>
      <c r="S31" s="770">
        <f t="shared" si="12"/>
        <v>100</v>
      </c>
      <c r="T31" s="769" t="s">
        <v>17</v>
      </c>
      <c r="U31" s="770">
        <f t="shared" si="13"/>
        <v>100</v>
      </c>
      <c r="V31" s="769" t="s">
        <v>17</v>
      </c>
      <c r="W31" s="770">
        <f t="shared" si="14"/>
        <v>100</v>
      </c>
      <c r="X31" s="771"/>
      <c r="Y31" s="3240"/>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40" t="s">
        <v>2564</v>
      </c>
      <c r="Q32" s="1806">
        <f t="shared" si="11"/>
        <v>111</v>
      </c>
      <c r="R32" s="773" t="s">
        <v>17</v>
      </c>
      <c r="S32" s="774">
        <f t="shared" si="12"/>
        <v>100</v>
      </c>
      <c r="T32" s="773" t="s">
        <v>17</v>
      </c>
      <c r="U32" s="774">
        <f t="shared" si="13"/>
        <v>100</v>
      </c>
      <c r="V32" s="773" t="s">
        <v>17</v>
      </c>
      <c r="W32" s="774">
        <f t="shared" si="14"/>
        <v>100</v>
      </c>
      <c r="X32" s="1809"/>
      <c r="Y32" s="3240"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40"/>
      <c r="Q33" s="1806">
        <f t="shared" si="11"/>
        <v>111</v>
      </c>
      <c r="R33" s="773" t="s">
        <v>17</v>
      </c>
      <c r="S33" s="774">
        <f t="shared" si="12"/>
        <v>100</v>
      </c>
      <c r="T33" s="773" t="s">
        <v>17</v>
      </c>
      <c r="U33" s="774">
        <f t="shared" si="13"/>
        <v>100</v>
      </c>
      <c r="V33" s="773" t="s">
        <v>17</v>
      </c>
      <c r="W33" s="774">
        <f t="shared" si="14"/>
        <v>100</v>
      </c>
      <c r="X33" s="1809"/>
      <c r="Y33" s="3240"/>
      <c r="Z33" s="1810">
        <f t="shared" si="15"/>
        <v>111</v>
      </c>
      <c r="AA33" s="1807">
        <f t="shared" si="3"/>
        <v>1</v>
      </c>
      <c r="AB33" s="1807">
        <f t="shared" si="4"/>
        <v>1</v>
      </c>
      <c r="AC33" s="1807">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40"/>
      <c r="Q34" s="1806">
        <f t="shared" si="11"/>
        <v>111</v>
      </c>
      <c r="R34" s="773" t="s">
        <v>17</v>
      </c>
      <c r="S34" s="774">
        <f t="shared" si="12"/>
        <v>100</v>
      </c>
      <c r="T34" s="773" t="s">
        <v>17</v>
      </c>
      <c r="U34" s="774">
        <f t="shared" si="13"/>
        <v>100</v>
      </c>
      <c r="V34" s="773" t="s">
        <v>17</v>
      </c>
      <c r="W34" s="774">
        <f t="shared" si="14"/>
        <v>100</v>
      </c>
      <c r="X34" s="1809"/>
      <c r="Y34" s="3240"/>
      <c r="Z34" s="1810">
        <f t="shared" si="15"/>
        <v>111</v>
      </c>
      <c r="AA34" s="1807">
        <f t="shared" si="3"/>
        <v>1</v>
      </c>
      <c r="AB34" s="1807">
        <f t="shared" si="4"/>
        <v>1</v>
      </c>
      <c r="AC34" s="1807">
        <f t="shared" si="5"/>
        <v>1</v>
      </c>
    </row>
    <row r="35" spans="1:29" ht="14.4">
      <c r="A35" s="478" t="s">
        <v>2576</v>
      </c>
      <c r="B35" s="479"/>
      <c r="C35" s="1403" t="s">
        <v>1</v>
      </c>
      <c r="D35" s="1404"/>
      <c r="E35" s="1405"/>
      <c r="F35" s="1406"/>
      <c r="G35" s="1407"/>
      <c r="H35" s="1408"/>
      <c r="I35" s="1405"/>
      <c r="J35" s="1408"/>
      <c r="K35" s="782"/>
      <c r="L35" s="1139"/>
      <c r="M35" s="1140"/>
      <c r="N35" s="1127"/>
      <c r="O35" s="1140"/>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 thickBot="1">
      <c r="A37" s="491" t="s">
        <v>2669</v>
      </c>
      <c r="B37" s="492"/>
      <c r="C37" s="1413" t="e">
        <f>R37</f>
        <v>#DIV/0!</v>
      </c>
      <c r="D37" s="1413"/>
      <c r="E37" s="1413"/>
      <c r="F37" s="1413"/>
      <c r="G37" s="1413"/>
      <c r="H37" s="1413"/>
      <c r="I37" s="1413"/>
      <c r="J37" s="1413"/>
      <c r="K37" s="784"/>
      <c r="L37" s="1139"/>
      <c r="M37" s="1140"/>
      <c r="N37" s="1140"/>
      <c r="O37" s="1140"/>
      <c r="P37" s="3279" t="str">
        <f>A37</f>
        <v>估价对象XX用房的比较价值（楼面单价，元/平方米）</v>
      </c>
      <c r="Q37" s="3280"/>
      <c r="R37" s="3281" t="e">
        <f>IF(F1="售价",ROUND(AVERAGE(R36:V36),0),ROUND(AVERAGE(R36:V36),1))</f>
        <v>#DIV/0!</v>
      </c>
      <c r="S37" s="3281"/>
      <c r="T37" s="3281"/>
      <c r="U37" s="3281"/>
      <c r="V37" s="3281"/>
      <c r="W37" s="3281"/>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2" t="s">
        <v>2673</v>
      </c>
      <c r="B45" s="758"/>
      <c r="C45" s="763"/>
      <c r="D45" s="763"/>
      <c r="E45" s="763"/>
      <c r="F45" s="764"/>
      <c r="G45" s="764"/>
      <c r="H45" s="763"/>
      <c r="I45" s="763"/>
      <c r="J45" s="763"/>
      <c r="K45" s="765"/>
      <c r="L45" s="766"/>
      <c r="M45" s="763"/>
      <c r="N45" s="763"/>
      <c r="O45" s="763"/>
      <c r="P45" s="502"/>
      <c r="Q45" s="503"/>
    </row>
    <row r="46" spans="1:29" s="507" customFormat="1" ht="14.4">
      <c r="A46" s="504" t="s">
        <v>2547</v>
      </c>
      <c r="B46" s="505"/>
      <c r="C46" s="1570" t="str">
        <f>YEAR(C7)&amp;"-"&amp;MONTH(C7)</f>
        <v>2018-5</v>
      </c>
      <c r="D46" s="1571">
        <f>EDATE(C46,-1)</f>
        <v>43191</v>
      </c>
      <c r="E46" s="1571">
        <f t="shared" ref="E46:O46" si="16">EDATE(D46,-1)</f>
        <v>43160</v>
      </c>
      <c r="F46" s="1571">
        <f t="shared" si="16"/>
        <v>43132</v>
      </c>
      <c r="G46" s="1571">
        <f t="shared" si="16"/>
        <v>43101</v>
      </c>
      <c r="H46" s="1571">
        <f t="shared" si="16"/>
        <v>43070</v>
      </c>
      <c r="I46" s="1571">
        <f t="shared" si="16"/>
        <v>43040</v>
      </c>
      <c r="J46" s="1571">
        <f t="shared" si="16"/>
        <v>43009</v>
      </c>
      <c r="K46" s="1571">
        <f t="shared" si="16"/>
        <v>42979</v>
      </c>
      <c r="L46" s="1571">
        <f t="shared" si="16"/>
        <v>42948</v>
      </c>
      <c r="M46" s="1571">
        <f t="shared" si="16"/>
        <v>42917</v>
      </c>
      <c r="N46" s="1571">
        <f t="shared" si="16"/>
        <v>42887</v>
      </c>
      <c r="O46" s="1571">
        <f t="shared" si="16"/>
        <v>42856</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2584</v>
      </c>
      <c r="B48" s="515"/>
      <c r="C48" s="516"/>
      <c r="D48" s="517"/>
      <c r="E48" s="517"/>
      <c r="F48" s="517"/>
      <c r="G48" s="517"/>
      <c r="H48" s="517"/>
      <c r="I48" s="517"/>
      <c r="J48" s="517"/>
      <c r="K48" s="517"/>
      <c r="L48" s="517"/>
      <c r="M48" s="518"/>
      <c r="N48" s="517"/>
      <c r="O48" s="519"/>
      <c r="P48" s="503"/>
      <c r="Q48" s="503"/>
    </row>
    <row r="49" spans="1:17" s="116" customFormat="1" ht="14.4">
      <c r="A49" s="520" t="s">
        <v>2549</v>
      </c>
      <c r="B49" s="509"/>
      <c r="C49" s="521" t="s">
        <v>2651</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2587</v>
      </c>
      <c r="B51" s="527" t="s">
        <v>2553</v>
      </c>
      <c r="C51" s="528">
        <f>C9</f>
        <v>0</v>
      </c>
      <c r="D51" s="529"/>
      <c r="E51" s="529"/>
      <c r="F51" s="529"/>
      <c r="G51" s="529"/>
      <c r="H51" s="529"/>
      <c r="I51" s="529"/>
      <c r="J51" s="529"/>
      <c r="K51" s="530"/>
      <c r="L51" s="531"/>
      <c r="M51" s="532"/>
      <c r="N51" s="1148"/>
      <c r="O51" s="1148"/>
      <c r="P51" s="44"/>
      <c r="Q51" s="503"/>
    </row>
    <row r="52" spans="1:17" ht="14.4" thickBot="1">
      <c r="A52" s="533"/>
      <c r="B52" s="534"/>
      <c r="C52" s="535">
        <v>100</v>
      </c>
      <c r="D52" s="535"/>
      <c r="E52" s="535"/>
      <c r="F52" s="535"/>
      <c r="G52" s="535"/>
      <c r="H52" s="535"/>
      <c r="I52" s="535"/>
      <c r="J52" s="535"/>
      <c r="K52" s="535"/>
      <c r="L52" s="535"/>
      <c r="M52" s="536"/>
      <c r="N52" s="1149"/>
      <c r="O52" s="1149"/>
      <c r="P52" s="44"/>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4.4" thickTop="1">
      <c r="A55" s="533"/>
      <c r="B55" s="659">
        <f>B11</f>
        <v>111</v>
      </c>
      <c r="C55" s="548"/>
      <c r="D55" s="548"/>
      <c r="E55" s="548"/>
      <c r="F55" s="548"/>
      <c r="G55" s="548"/>
      <c r="H55" s="548"/>
      <c r="I55" s="548"/>
      <c r="J55" s="548"/>
      <c r="K55" s="549"/>
      <c r="L55" s="550"/>
      <c r="M55" s="551"/>
      <c r="N55" s="1148"/>
      <c r="O55" s="1148"/>
      <c r="P55" s="44"/>
      <c r="Q55" s="503"/>
    </row>
    <row r="56" spans="1:17" ht="14.4" thickBot="1">
      <c r="A56" s="533"/>
      <c r="B56" s="534"/>
      <c r="C56" s="559"/>
      <c r="D56" s="535"/>
      <c r="E56" s="535"/>
      <c r="F56" s="535"/>
      <c r="G56" s="535"/>
      <c r="H56" s="535"/>
      <c r="I56" s="535"/>
      <c r="J56" s="535"/>
      <c r="K56" s="535"/>
      <c r="L56" s="535"/>
      <c r="M56" s="536"/>
      <c r="N56" s="1149"/>
      <c r="O56" s="1149"/>
      <c r="P56" s="44"/>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 thickTop="1">
      <c r="A69" s="533"/>
      <c r="B69" s="537" t="s">
        <v>2728</v>
      </c>
      <c r="C69" s="553"/>
      <c r="D69" s="553"/>
      <c r="E69" s="553"/>
      <c r="F69" s="553"/>
      <c r="G69" s="553"/>
      <c r="H69" s="582"/>
      <c r="I69" s="582"/>
      <c r="J69" s="582"/>
      <c r="K69" s="583"/>
      <c r="L69" s="584"/>
      <c r="M69" s="585"/>
      <c r="N69" s="1148"/>
      <c r="O69" s="1148"/>
      <c r="P69" s="44"/>
      <c r="Q69" s="503"/>
    </row>
    <row r="70" spans="1:17" ht="14.4"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4.4" thickTop="1">
      <c r="A71" s="578"/>
      <c r="B71" s="537">
        <f>B23</f>
        <v>111</v>
      </c>
      <c r="C71" s="548"/>
      <c r="D71" s="548"/>
      <c r="E71" s="548"/>
      <c r="F71" s="548"/>
      <c r="G71" s="553"/>
      <c r="H71" s="553"/>
      <c r="I71" s="553"/>
      <c r="J71" s="553"/>
      <c r="K71" s="553"/>
      <c r="L71" s="579"/>
      <c r="M71" s="580"/>
      <c r="N71" s="1147"/>
      <c r="O71" s="1147"/>
      <c r="P71" s="44"/>
      <c r="Q71" s="503"/>
    </row>
    <row r="72" spans="1:17" s="116" customFormat="1" ht="14.4" thickBot="1">
      <c r="A72" s="578"/>
      <c r="B72" s="542"/>
      <c r="C72" s="559"/>
      <c r="D72" s="535"/>
      <c r="E72" s="535"/>
      <c r="F72" s="535"/>
      <c r="G72" s="535"/>
      <c r="H72" s="535"/>
      <c r="I72" s="535"/>
      <c r="J72" s="535"/>
      <c r="K72" s="535"/>
      <c r="L72" s="535"/>
      <c r="M72" s="536"/>
      <c r="N72" s="1149"/>
      <c r="O72" s="1149"/>
      <c r="P72" s="44"/>
      <c r="Q72" s="503"/>
    </row>
    <row r="73" spans="1:17" s="116" customFormat="1" ht="14.4" thickTop="1">
      <c r="A73" s="578"/>
      <c r="B73" s="537">
        <f>B24</f>
        <v>111</v>
      </c>
      <c r="C73" s="548"/>
      <c r="D73" s="548"/>
      <c r="E73" s="548"/>
      <c r="F73" s="548"/>
      <c r="G73" s="553"/>
      <c r="H73" s="553"/>
      <c r="I73" s="553"/>
      <c r="J73" s="553"/>
      <c r="K73" s="553"/>
      <c r="L73" s="553"/>
      <c r="M73" s="580"/>
      <c r="N73" s="1147"/>
      <c r="O73" s="1147"/>
      <c r="P73" s="44"/>
      <c r="Q73" s="503"/>
    </row>
    <row r="74" spans="1:17" s="116" customFormat="1" ht="14.4" thickBot="1">
      <c r="A74" s="578"/>
      <c r="B74" s="542"/>
      <c r="C74" s="559"/>
      <c r="D74" s="535"/>
      <c r="E74" s="535"/>
      <c r="F74" s="535"/>
      <c r="G74" s="535"/>
      <c r="H74" s="535"/>
      <c r="I74" s="535"/>
      <c r="J74" s="535"/>
      <c r="K74" s="535"/>
      <c r="L74" s="535"/>
      <c r="M74" s="536"/>
      <c r="N74" s="1149"/>
      <c r="O74" s="1149"/>
      <c r="P74" s="44"/>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4.4"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4"/>
      <c r="Q91" s="503"/>
    </row>
    <row r="92" spans="1:17" ht="14.4" thickBot="1">
      <c r="A92" s="533"/>
      <c r="B92" s="542"/>
      <c r="C92" s="559"/>
      <c r="D92" s="535"/>
      <c r="E92" s="535"/>
      <c r="F92" s="535"/>
      <c r="G92" s="559"/>
      <c r="H92" s="561"/>
      <c r="I92" s="561"/>
      <c r="J92" s="561"/>
      <c r="K92" s="561"/>
      <c r="L92" s="561"/>
      <c r="M92" s="562"/>
      <c r="N92" s="1149"/>
      <c r="O92" s="1149"/>
      <c r="P92" s="44"/>
      <c r="Q92" s="503"/>
    </row>
    <row r="93" spans="1:17" ht="14.4" thickTop="1">
      <c r="A93" s="598"/>
      <c r="B93" s="537">
        <f>B33</f>
        <v>111</v>
      </c>
      <c r="C93" s="548"/>
      <c r="D93" s="548"/>
      <c r="E93" s="548"/>
      <c r="F93" s="548"/>
      <c r="G93" s="553"/>
      <c r="H93" s="554"/>
      <c r="I93" s="554"/>
      <c r="J93" s="554"/>
      <c r="K93" s="554"/>
      <c r="L93" s="555"/>
      <c r="M93" s="556"/>
      <c r="N93" s="1148"/>
      <c r="O93" s="1148"/>
      <c r="P93" s="44"/>
      <c r="Q93" s="503"/>
    </row>
    <row r="94" spans="1:17" ht="14.4" thickBot="1">
      <c r="A94" s="533"/>
      <c r="B94" s="542"/>
      <c r="C94" s="559"/>
      <c r="D94" s="535"/>
      <c r="E94" s="535"/>
      <c r="F94" s="535"/>
      <c r="G94" s="559"/>
      <c r="H94" s="561"/>
      <c r="I94" s="561"/>
      <c r="J94" s="561"/>
      <c r="K94" s="561"/>
      <c r="L94" s="561"/>
      <c r="M94" s="562"/>
      <c r="N94" s="1149"/>
      <c r="O94" s="1149"/>
      <c r="P94" s="44"/>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4"/>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4" zoomScale="80" zoomScaleNormal="80" workbookViewId="0">
      <selection activeCell="H17" sqref="H17"/>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57705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20650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75" t="s">
        <v>2647</v>
      </c>
      <c r="AC4" s="3282" t="s">
        <v>2648</v>
      </c>
    </row>
    <row r="5" spans="1:30">
      <c r="A5" s="403"/>
      <c r="B5" s="404"/>
      <c r="C5" s="3271" t="s">
        <v>2541</v>
      </c>
      <c r="D5" s="3266"/>
      <c r="E5" s="3289" t="str">
        <f>案例!A2</f>
        <v>大兴开发区北区1号地DX00-0301-0145地块</v>
      </c>
      <c r="F5" s="3278"/>
      <c r="G5" s="3271" t="str">
        <f>案例!A5</f>
        <v>大兴区黄村镇兴华大街DX00-0202-0307地块</v>
      </c>
      <c r="H5" s="3266"/>
      <c r="I5" s="3271" t="str">
        <f>案例!A35</f>
        <v>房山区长阳镇FS00-LX10-0042等地块</v>
      </c>
      <c r="J5" s="3266"/>
      <c r="K5" s="609"/>
      <c r="L5" s="1126"/>
      <c r="M5" s="1127"/>
      <c r="N5" s="1127"/>
      <c r="O5" s="1127"/>
      <c r="P5" s="3285"/>
      <c r="Q5" s="3252"/>
      <c r="R5" s="3257"/>
      <c r="S5" s="3258"/>
      <c r="T5" s="3257"/>
      <c r="U5" s="3258"/>
      <c r="V5" s="3262"/>
      <c r="W5" s="3262"/>
      <c r="X5" s="1809"/>
      <c r="Y5" s="3257"/>
      <c r="Z5" s="3258"/>
      <c r="AA5" s="3275"/>
      <c r="AB5" s="3275"/>
      <c r="AC5" s="3275"/>
    </row>
    <row r="6" spans="1:30" ht="15" thickBot="1">
      <c r="A6" s="405"/>
      <c r="B6" s="406"/>
      <c r="C6" s="3263" t="s">
        <v>2545</v>
      </c>
      <c r="D6" s="3264"/>
      <c r="E6" s="3272" t="s">
        <v>2545</v>
      </c>
      <c r="F6" s="3273"/>
      <c r="G6" s="3263" t="s">
        <v>2545</v>
      </c>
      <c r="H6" s="3264"/>
      <c r="I6" s="3263" t="s">
        <v>2545</v>
      </c>
      <c r="J6" s="3264"/>
      <c r="K6" s="609" t="s">
        <v>2546</v>
      </c>
      <c r="L6" s="1126"/>
      <c r="M6" s="1127"/>
      <c r="N6" s="1127"/>
      <c r="O6" s="1127"/>
      <c r="P6" s="3286"/>
      <c r="Q6" s="3254"/>
      <c r="R6" s="3257"/>
      <c r="S6" s="3258"/>
      <c r="T6" s="3259"/>
      <c r="U6" s="3260"/>
      <c r="V6" s="3262"/>
      <c r="W6" s="3262"/>
      <c r="X6" s="1809"/>
      <c r="Y6" s="3259"/>
      <c r="Z6" s="3260"/>
      <c r="AA6" s="3276"/>
      <c r="AB6" s="3276"/>
      <c r="AC6" s="3276"/>
    </row>
    <row r="7" spans="1:30" s="116" customFormat="1" ht="15" thickBot="1">
      <c r="A7" s="407" t="s">
        <v>2547</v>
      </c>
      <c r="B7" s="408"/>
      <c r="C7" s="409">
        <f>'数据-取费表'!B2</f>
        <v>43227</v>
      </c>
      <c r="D7" s="410">
        <v>100</v>
      </c>
      <c r="E7" s="411" t="str">
        <f>案例!H2</f>
        <v>2017-04-06</v>
      </c>
      <c r="F7" s="412">
        <f>SUMIF(70:70,YEAR(E7)&amp;"-"&amp;INT((MONTH(E7)+2)/3),71:71)</f>
        <v>94</v>
      </c>
      <c r="G7" s="2689" t="str">
        <f>案例!H5</f>
        <v>2016-05-05</v>
      </c>
      <c r="H7" s="410">
        <f>SUMIF(70:70,YEAR(G7)&amp;"-"&amp;INT((MONTH(G7)+2)/3),71:71)</f>
        <v>88</v>
      </c>
      <c r="I7" s="2689" t="str">
        <f>案例!H35</f>
        <v>2016-11-28</v>
      </c>
      <c r="J7" s="410">
        <f>SUMIF(70:70,YEAR(I7)&amp;"-"&amp;INT((MONTH(I7)+2)/3),71:71)</f>
        <v>91</v>
      </c>
      <c r="K7" s="610"/>
      <c r="L7" s="1128"/>
      <c r="M7" s="1129"/>
      <c r="N7" s="1129"/>
      <c r="O7" s="1129"/>
      <c r="P7" s="3269" t="s">
        <v>2548</v>
      </c>
      <c r="Q7" s="3270"/>
      <c r="R7" s="769" t="s">
        <v>17</v>
      </c>
      <c r="S7" s="770">
        <f t="shared" ref="S7:S15" si="0">F7</f>
        <v>94</v>
      </c>
      <c r="T7" s="769" t="s">
        <v>17</v>
      </c>
      <c r="U7" s="770">
        <f t="shared" ref="U7:U15" si="1">H7</f>
        <v>88</v>
      </c>
      <c r="V7" s="769" t="s">
        <v>17</v>
      </c>
      <c r="W7" s="770">
        <f t="shared" ref="W7:W15" si="2">J7</f>
        <v>91</v>
      </c>
      <c r="X7" s="771"/>
      <c r="Y7" s="3269" t="s">
        <v>2548</v>
      </c>
      <c r="Z7" s="3268"/>
      <c r="AA7" s="772">
        <f>D7/F7</f>
        <v>1.0638297872340425</v>
      </c>
      <c r="AB7" s="772">
        <f>D7/H7</f>
        <v>1.1363636363636365</v>
      </c>
      <c r="AC7" s="772">
        <f>D7/J7</f>
        <v>1.098901098901099</v>
      </c>
    </row>
    <row r="8" spans="1:30" s="116" customFormat="1" ht="1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69" t="s">
        <v>2551</v>
      </c>
      <c r="Q8" s="3268"/>
      <c r="R8" s="769" t="s">
        <v>17</v>
      </c>
      <c r="S8" s="770">
        <f t="shared" si="0"/>
        <v>100</v>
      </c>
      <c r="T8" s="769" t="s">
        <v>17</v>
      </c>
      <c r="U8" s="770">
        <f t="shared" si="1"/>
        <v>100</v>
      </c>
      <c r="V8" s="769" t="s">
        <v>17</v>
      </c>
      <c r="W8" s="770">
        <f t="shared" si="2"/>
        <v>100</v>
      </c>
      <c r="X8" s="771"/>
      <c r="Y8" s="3269" t="s">
        <v>2551</v>
      </c>
      <c r="Z8" s="3268"/>
      <c r="AA8" s="772">
        <f t="shared" ref="AA8:AA45" si="3">D8/F8</f>
        <v>1</v>
      </c>
      <c r="AB8" s="772">
        <f t="shared" ref="AB8:AB45" si="4">D8/H8</f>
        <v>1</v>
      </c>
      <c r="AC8" s="772">
        <f t="shared" ref="AC8:AC45" si="5">D8/J8</f>
        <v>1</v>
      </c>
    </row>
    <row r="9" spans="1:30" s="116" customFormat="1" ht="14.4">
      <c r="A9" s="414" t="s">
        <v>2552</v>
      </c>
      <c r="B9" s="70" t="s">
        <v>2553</v>
      </c>
      <c r="C9" s="2692" t="s">
        <v>3282</v>
      </c>
      <c r="D9" s="134">
        <v>100</v>
      </c>
      <c r="E9" s="2692" t="s">
        <v>3282</v>
      </c>
      <c r="F9" s="134">
        <f>SUMIF(75:75,E9,76:76)-SUMIF(75:75,C9,76:76)+100</f>
        <v>100</v>
      </c>
      <c r="G9" s="2692" t="s">
        <v>3282</v>
      </c>
      <c r="H9" s="134">
        <f>SUMIF(75:75,G9,76:76)-SUMIF(75:75,C9,76:76)+100</f>
        <v>100</v>
      </c>
      <c r="I9" s="2692" t="s">
        <v>3282</v>
      </c>
      <c r="J9" s="134">
        <f>SUMIF(75:75,I9,76:76)-SUMIF(75:75,C9,76:76)+100</f>
        <v>100</v>
      </c>
      <c r="K9" s="610"/>
      <c r="L9" s="1128"/>
      <c r="M9" s="1129"/>
      <c r="N9" s="1129"/>
      <c r="O9" s="1130"/>
      <c r="P9" s="3228"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772">
        <f t="shared" si="5"/>
        <v>1</v>
      </c>
    </row>
    <row r="10" spans="1:30" s="426" customFormat="1" ht="28.8">
      <c r="A10" s="420"/>
      <c r="B10" s="421" t="s">
        <v>2556</v>
      </c>
      <c r="C10" s="431" t="s">
        <v>3284</v>
      </c>
      <c r="D10" s="135">
        <v>100</v>
      </c>
      <c r="E10" s="431" t="s">
        <v>3285</v>
      </c>
      <c r="F10" s="135">
        <f>ROUND(100/'数据-取费表'!G16,0)</f>
        <v>102</v>
      </c>
      <c r="G10" s="431" t="s">
        <v>3285</v>
      </c>
      <c r="H10" s="135">
        <f>ROUND(100/'数据-取费表'!G16,0)</f>
        <v>102</v>
      </c>
      <c r="I10" s="431" t="s">
        <v>3285</v>
      </c>
      <c r="J10" s="135">
        <f>ROUND(100/'数据-取费表'!G16,0)</f>
        <v>102</v>
      </c>
      <c r="K10" s="671"/>
      <c r="L10" s="1131"/>
      <c r="M10" s="1132"/>
      <c r="N10" s="1132"/>
      <c r="O10" s="1133"/>
      <c r="P10" s="3228"/>
      <c r="Q10" s="1791" t="str">
        <f t="shared" si="6"/>
        <v>土地使用年限（年）</v>
      </c>
      <c r="R10" s="769" t="s">
        <v>17</v>
      </c>
      <c r="S10" s="770">
        <f t="shared" si="0"/>
        <v>102</v>
      </c>
      <c r="T10" s="769" t="s">
        <v>17</v>
      </c>
      <c r="U10" s="770">
        <f t="shared" si="1"/>
        <v>102</v>
      </c>
      <c r="V10" s="769" t="s">
        <v>17</v>
      </c>
      <c r="W10" s="770">
        <f t="shared" si="2"/>
        <v>102</v>
      </c>
      <c r="X10" s="771"/>
      <c r="Y10" s="3077"/>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28"/>
      <c r="Q11" s="1791" t="str">
        <f t="shared" si="6"/>
        <v>容积率</v>
      </c>
      <c r="R11" s="769" t="s">
        <v>17</v>
      </c>
      <c r="S11" s="770">
        <f t="shared" si="0"/>
        <v>100</v>
      </c>
      <c r="T11" s="769" t="s">
        <v>17</v>
      </c>
      <c r="U11" s="770">
        <f t="shared" si="1"/>
        <v>99.7</v>
      </c>
      <c r="V11" s="769" t="s">
        <v>17</v>
      </c>
      <c r="W11" s="770">
        <f t="shared" si="2"/>
        <v>100.3</v>
      </c>
      <c r="X11" s="771"/>
      <c r="Y11" s="3077"/>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28"/>
      <c r="Q12" s="1791" t="str">
        <f t="shared" si="6"/>
        <v>配建</v>
      </c>
      <c r="R12" s="769" t="s">
        <v>17</v>
      </c>
      <c r="S12" s="770">
        <f t="shared" si="0"/>
        <v>100</v>
      </c>
      <c r="T12" s="769" t="s">
        <v>17</v>
      </c>
      <c r="U12" s="770">
        <f t="shared" si="1"/>
        <v>100</v>
      </c>
      <c r="V12" s="769" t="s">
        <v>17</v>
      </c>
      <c r="W12" s="770">
        <f t="shared" si="2"/>
        <v>100</v>
      </c>
      <c r="X12" s="771"/>
      <c r="Y12" s="3077"/>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28"/>
      <c r="Q13" s="1791">
        <f t="shared" si="6"/>
        <v>111</v>
      </c>
      <c r="R13" s="769" t="s">
        <v>17</v>
      </c>
      <c r="S13" s="770">
        <f t="shared" si="0"/>
        <v>100</v>
      </c>
      <c r="T13" s="769" t="s">
        <v>17</v>
      </c>
      <c r="U13" s="770">
        <f t="shared" si="1"/>
        <v>100</v>
      </c>
      <c r="V13" s="769" t="s">
        <v>17</v>
      </c>
      <c r="W13" s="770">
        <f t="shared" si="2"/>
        <v>100</v>
      </c>
      <c r="X13" s="771"/>
      <c r="Y13" s="3077"/>
      <c r="Z13" s="54">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28"/>
      <c r="Q14" s="1791">
        <f t="shared" si="6"/>
        <v>111</v>
      </c>
      <c r="R14" s="769" t="s">
        <v>17</v>
      </c>
      <c r="S14" s="770">
        <f t="shared" si="0"/>
        <v>100</v>
      </c>
      <c r="T14" s="769" t="s">
        <v>17</v>
      </c>
      <c r="U14" s="770">
        <f t="shared" si="1"/>
        <v>100</v>
      </c>
      <c r="V14" s="769" t="s">
        <v>17</v>
      </c>
      <c r="W14" s="770">
        <f t="shared" si="2"/>
        <v>100</v>
      </c>
      <c r="X14" s="771"/>
      <c r="Y14" s="3077"/>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35" t="s">
        <v>2559</v>
      </c>
      <c r="Q15" s="1806" t="str">
        <f t="shared" si="6"/>
        <v>居住社区成熟度</v>
      </c>
      <c r="R15" s="773" t="s">
        <v>17</v>
      </c>
      <c r="S15" s="774">
        <f t="shared" si="0"/>
        <v>100</v>
      </c>
      <c r="T15" s="773" t="s">
        <v>17</v>
      </c>
      <c r="U15" s="774">
        <f t="shared" si="1"/>
        <v>100</v>
      </c>
      <c r="V15" s="773" t="s">
        <v>17</v>
      </c>
      <c r="W15" s="774">
        <f t="shared" si="2"/>
        <v>100</v>
      </c>
      <c r="X15" s="1809"/>
      <c r="Y15" s="3235"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36"/>
      <c r="Q16" s="1806"/>
      <c r="R16" s="773"/>
      <c r="S16" s="774"/>
      <c r="T16" s="773"/>
      <c r="U16" s="774"/>
      <c r="V16" s="773"/>
      <c r="W16" s="774"/>
      <c r="X16" s="1809"/>
      <c r="Y16" s="3236"/>
      <c r="Z16" s="1810"/>
      <c r="AA16" s="1807">
        <v>1</v>
      </c>
      <c r="AB16" s="1807">
        <v>1</v>
      </c>
      <c r="AC16" s="1807">
        <v>1</v>
      </c>
    </row>
    <row r="17" spans="1:29" ht="124.2">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36"/>
      <c r="Q17" s="1806" t="str">
        <f>B17</f>
        <v>商业繁华度</v>
      </c>
      <c r="R17" s="773" t="s">
        <v>17</v>
      </c>
      <c r="S17" s="774">
        <f>F17</f>
        <v>100</v>
      </c>
      <c r="T17" s="773" t="s">
        <v>17</v>
      </c>
      <c r="U17" s="774">
        <f>H17</f>
        <v>100</v>
      </c>
      <c r="V17" s="773" t="s">
        <v>17</v>
      </c>
      <c r="W17" s="774">
        <f>J17</f>
        <v>100</v>
      </c>
      <c r="X17" s="1809"/>
      <c r="Y17" s="3236"/>
      <c r="Z17" s="1810" t="str">
        <f>Q17</f>
        <v>商业繁华度</v>
      </c>
      <c r="AA17" s="1807">
        <f t="shared" si="3"/>
        <v>1</v>
      </c>
      <c r="AB17" s="1807">
        <f t="shared" si="4"/>
        <v>1</v>
      </c>
      <c r="AC17" s="1807">
        <f t="shared" si="5"/>
        <v>1</v>
      </c>
    </row>
    <row r="18" spans="1:29" ht="15">
      <c r="A18" s="427"/>
      <c r="B18" s="455"/>
      <c r="C18" s="2601" t="s">
        <v>3286</v>
      </c>
      <c r="D18" s="449"/>
      <c r="E18" s="2601" t="s">
        <v>3286</v>
      </c>
      <c r="F18" s="449"/>
      <c r="G18" s="2601" t="s">
        <v>3286</v>
      </c>
      <c r="H18" s="447"/>
      <c r="I18" s="2601" t="s">
        <v>3286</v>
      </c>
      <c r="J18" s="447"/>
      <c r="K18" s="671"/>
      <c r="L18" s="1136"/>
      <c r="M18" s="1127"/>
      <c r="N18" s="1127"/>
      <c r="O18" s="1135"/>
      <c r="P18" s="3236"/>
      <c r="Q18" s="1806"/>
      <c r="R18" s="773"/>
      <c r="S18" s="774"/>
      <c r="T18" s="773"/>
      <c r="U18" s="774"/>
      <c r="V18" s="773"/>
      <c r="W18" s="774"/>
      <c r="X18" s="1809"/>
      <c r="Y18" s="3236"/>
      <c r="Z18" s="1810"/>
      <c r="AA18" s="1807">
        <v>1</v>
      </c>
      <c r="AB18" s="1807">
        <v>1</v>
      </c>
      <c r="AC18" s="1807">
        <v>1</v>
      </c>
    </row>
    <row r="19" spans="1:29" ht="96.6">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36"/>
      <c r="Q19" s="1806" t="str">
        <f>B19</f>
        <v>办公集聚程度</v>
      </c>
      <c r="R19" s="773" t="s">
        <v>17</v>
      </c>
      <c r="S19" s="774">
        <f>F19</f>
        <v>100</v>
      </c>
      <c r="T19" s="773" t="s">
        <v>17</v>
      </c>
      <c r="U19" s="774">
        <f>H19</f>
        <v>100</v>
      </c>
      <c r="V19" s="773" t="s">
        <v>17</v>
      </c>
      <c r="W19" s="774">
        <f>J19</f>
        <v>100</v>
      </c>
      <c r="X19" s="1809"/>
      <c r="Y19" s="3236"/>
      <c r="Z19" s="1810" t="str">
        <f>Q19</f>
        <v>办公集聚程度</v>
      </c>
      <c r="AA19" s="1807">
        <f t="shared" si="3"/>
        <v>1</v>
      </c>
      <c r="AB19" s="1807">
        <f t="shared" si="4"/>
        <v>1</v>
      </c>
      <c r="AC19" s="1807">
        <f t="shared" si="5"/>
        <v>1</v>
      </c>
    </row>
    <row r="20" spans="1:29" ht="15">
      <c r="A20" s="427"/>
      <c r="B20" s="455"/>
      <c r="C20" s="446" t="s">
        <v>3286</v>
      </c>
      <c r="D20" s="447"/>
      <c r="E20" s="2598" t="s">
        <v>3286</v>
      </c>
      <c r="F20" s="447"/>
      <c r="G20" s="2598" t="s">
        <v>3286</v>
      </c>
      <c r="H20" s="447"/>
      <c r="I20" s="2598" t="s">
        <v>3286</v>
      </c>
      <c r="J20" s="447"/>
      <c r="K20" s="671"/>
      <c r="L20" s="1136"/>
      <c r="M20" s="1127"/>
      <c r="N20" s="1127"/>
      <c r="O20" s="1135"/>
      <c r="P20" s="3236"/>
      <c r="Q20" s="1806"/>
      <c r="R20" s="773"/>
      <c r="S20" s="774"/>
      <c r="T20" s="773"/>
      <c r="U20" s="774"/>
      <c r="V20" s="773"/>
      <c r="W20" s="774"/>
      <c r="X20" s="1809"/>
      <c r="Y20" s="3236"/>
      <c r="Z20" s="1810"/>
      <c r="AA20" s="1807">
        <v>1</v>
      </c>
      <c r="AB20" s="1807">
        <v>1</v>
      </c>
      <c r="AC20" s="1807">
        <v>1</v>
      </c>
    </row>
    <row r="21" spans="1:29" ht="262.2">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36"/>
      <c r="Q21" s="1806" t="str">
        <f>B21</f>
        <v>交通便捷度</v>
      </c>
      <c r="R21" s="773" t="s">
        <v>17</v>
      </c>
      <c r="S21" s="774">
        <f>F21</f>
        <v>100</v>
      </c>
      <c r="T21" s="773" t="s">
        <v>17</v>
      </c>
      <c r="U21" s="774">
        <f>H21</f>
        <v>100</v>
      </c>
      <c r="V21" s="773" t="s">
        <v>17</v>
      </c>
      <c r="W21" s="774">
        <f>J21</f>
        <v>100</v>
      </c>
      <c r="X21" s="1809"/>
      <c r="Y21" s="3236"/>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36"/>
      <c r="Q22" s="1806"/>
      <c r="R22" s="773"/>
      <c r="S22" s="774"/>
      <c r="T22" s="773"/>
      <c r="U22" s="774"/>
      <c r="V22" s="773"/>
      <c r="W22" s="774"/>
      <c r="X22" s="1809"/>
      <c r="Y22" s="3236"/>
      <c r="Z22" s="1810"/>
      <c r="AA22" s="1807">
        <v>1</v>
      </c>
      <c r="AB22" s="1807">
        <v>1</v>
      </c>
      <c r="AC22" s="1807">
        <v>1</v>
      </c>
    </row>
    <row r="23" spans="1:29" ht="28.8">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36"/>
      <c r="Q23" s="1806" t="str">
        <f t="shared" ref="Q23:Q37" si="8">B23</f>
        <v>区域土地利用方向</v>
      </c>
      <c r="R23" s="773" t="s">
        <v>17</v>
      </c>
      <c r="S23" s="774">
        <f>F23</f>
        <v>100</v>
      </c>
      <c r="T23" s="773" t="s">
        <v>17</v>
      </c>
      <c r="U23" s="774">
        <f>H23</f>
        <v>100</v>
      </c>
      <c r="V23" s="773" t="s">
        <v>17</v>
      </c>
      <c r="W23" s="774">
        <f>J23</f>
        <v>100</v>
      </c>
      <c r="X23" s="1809"/>
      <c r="Y23" s="3236"/>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36"/>
      <c r="Q24" s="1806"/>
      <c r="R24" s="773"/>
      <c r="S24" s="774"/>
      <c r="T24" s="773"/>
      <c r="U24" s="774"/>
      <c r="V24" s="773"/>
      <c r="W24" s="774"/>
      <c r="X24" s="1809"/>
      <c r="Y24" s="3236"/>
      <c r="Z24" s="1810"/>
      <c r="AA24" s="1807"/>
      <c r="AB24" s="1807"/>
      <c r="AC24" s="1807"/>
    </row>
    <row r="25" spans="1:29" ht="165.6">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36"/>
      <c r="Q25" s="1806" t="str">
        <f t="shared" si="8"/>
        <v>自然及人文环境状况</v>
      </c>
      <c r="R25" s="773" t="s">
        <v>17</v>
      </c>
      <c r="S25" s="774">
        <f>F25</f>
        <v>100</v>
      </c>
      <c r="T25" s="773" t="s">
        <v>17</v>
      </c>
      <c r="U25" s="774">
        <f>H25</f>
        <v>102</v>
      </c>
      <c r="V25" s="773" t="s">
        <v>17</v>
      </c>
      <c r="W25" s="774">
        <f>J25</f>
        <v>102</v>
      </c>
      <c r="X25" s="1809"/>
      <c r="Y25" s="3236"/>
      <c r="Z25" s="1810" t="str">
        <f>Q25</f>
        <v>自然及人文环境状况</v>
      </c>
      <c r="AA25" s="1807">
        <f t="shared" si="3"/>
        <v>1</v>
      </c>
      <c r="AB25" s="1807">
        <f t="shared" si="4"/>
        <v>0.98039215686274506</v>
      </c>
      <c r="AC25" s="1807">
        <f t="shared" si="5"/>
        <v>0.98039215686274506</v>
      </c>
    </row>
    <row r="26" spans="1:29" ht="15">
      <c r="A26" s="403"/>
      <c r="B26" s="455"/>
      <c r="C26" s="446" t="s">
        <v>3286</v>
      </c>
      <c r="D26" s="447"/>
      <c r="E26" s="2604" t="s">
        <v>3286</v>
      </c>
      <c r="F26" s="447"/>
      <c r="G26" s="2604" t="s">
        <v>3052</v>
      </c>
      <c r="H26" s="447"/>
      <c r="I26" s="446" t="s">
        <v>3052</v>
      </c>
      <c r="J26" s="447"/>
      <c r="K26" s="671"/>
      <c r="L26" s="1136"/>
      <c r="M26" s="1127"/>
      <c r="N26" s="1127"/>
      <c r="O26" s="1135"/>
      <c r="P26" s="3236"/>
      <c r="Q26" s="1806"/>
      <c r="R26" s="773"/>
      <c r="S26" s="774"/>
      <c r="T26" s="773"/>
      <c r="U26" s="774"/>
      <c r="V26" s="773"/>
      <c r="W26" s="774"/>
      <c r="X26" s="1809"/>
      <c r="Y26" s="3236"/>
      <c r="Z26" s="1810"/>
      <c r="AA26" s="1807">
        <v>1</v>
      </c>
      <c r="AB26" s="1807">
        <v>1</v>
      </c>
      <c r="AC26" s="1807">
        <v>1</v>
      </c>
    </row>
    <row r="27" spans="1:29" s="116" customFormat="1" ht="55.2">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36"/>
      <c r="Q27" s="1791" t="str">
        <f t="shared" si="8"/>
        <v>公共配套设施</v>
      </c>
      <c r="R27" s="769" t="s">
        <v>17</v>
      </c>
      <c r="S27" s="770">
        <f>F27</f>
        <v>100</v>
      </c>
      <c r="T27" s="769" t="s">
        <v>17</v>
      </c>
      <c r="U27" s="770">
        <f>H27</f>
        <v>100</v>
      </c>
      <c r="V27" s="769" t="s">
        <v>17</v>
      </c>
      <c r="W27" s="770">
        <f>J27</f>
        <v>100</v>
      </c>
      <c r="X27" s="771"/>
      <c r="Y27" s="3236"/>
      <c r="Z27" s="54" t="str">
        <f>Q27</f>
        <v>公共配套设施</v>
      </c>
      <c r="AA27" s="1807">
        <f>D27/F27</f>
        <v>1</v>
      </c>
      <c r="AB27" s="1807">
        <f>D27/H27</f>
        <v>1</v>
      </c>
      <c r="AC27" s="1807">
        <f>D27/J27</f>
        <v>1</v>
      </c>
    </row>
    <row r="28" spans="1:29" s="116" customFormat="1" ht="15">
      <c r="A28" s="648"/>
      <c r="B28" s="455"/>
      <c r="C28" s="2693" t="s">
        <v>3286</v>
      </c>
      <c r="D28" s="447"/>
      <c r="E28" s="2693" t="s">
        <v>3286</v>
      </c>
      <c r="F28" s="447"/>
      <c r="G28" s="2693" t="s">
        <v>3286</v>
      </c>
      <c r="H28" s="447"/>
      <c r="I28" s="446" t="s">
        <v>3286</v>
      </c>
      <c r="J28" s="447"/>
      <c r="K28" s="671"/>
      <c r="L28" s="1128"/>
      <c r="M28" s="1129"/>
      <c r="N28" s="1129"/>
      <c r="O28" s="1130"/>
      <c r="P28" s="3236"/>
      <c r="Q28" s="1791"/>
      <c r="R28" s="769"/>
      <c r="S28" s="770"/>
      <c r="T28" s="769"/>
      <c r="U28" s="770"/>
      <c r="V28" s="769"/>
      <c r="W28" s="770"/>
      <c r="X28" s="771"/>
      <c r="Y28" s="3236"/>
      <c r="Z28" s="54"/>
      <c r="AA28" s="1807">
        <v>1</v>
      </c>
      <c r="AB28" s="1807">
        <v>1</v>
      </c>
      <c r="AC28" s="1807">
        <v>1</v>
      </c>
    </row>
    <row r="29" spans="1:29" s="116" customFormat="1" ht="41.4">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36"/>
      <c r="Q29" s="1791" t="str">
        <f t="shared" ref="Q29" si="9">B29</f>
        <v>基础设施水平</v>
      </c>
      <c r="R29" s="769" t="s">
        <v>17</v>
      </c>
      <c r="S29" s="770">
        <f>F29</f>
        <v>100</v>
      </c>
      <c r="T29" s="769" t="s">
        <v>17</v>
      </c>
      <c r="U29" s="770">
        <f>H29</f>
        <v>100</v>
      </c>
      <c r="V29" s="769" t="s">
        <v>17</v>
      </c>
      <c r="W29" s="770">
        <f>J29</f>
        <v>100</v>
      </c>
      <c r="X29" s="771"/>
      <c r="Y29" s="3236"/>
      <c r="Z29" s="54" t="str">
        <f>Q29</f>
        <v>基础设施水平</v>
      </c>
      <c r="AA29" s="1807">
        <f>D29/F29</f>
        <v>1</v>
      </c>
      <c r="AB29" s="1807">
        <f>D29/H29</f>
        <v>1</v>
      </c>
      <c r="AC29" s="1807">
        <f>D29/J29</f>
        <v>1</v>
      </c>
    </row>
    <row r="30" spans="1:29" s="116" customFormat="1" ht="15">
      <c r="A30" s="648"/>
      <c r="B30" s="455"/>
      <c r="C30" s="2693" t="s">
        <v>3287</v>
      </c>
      <c r="D30" s="447"/>
      <c r="E30" s="2693" t="s">
        <v>3287</v>
      </c>
      <c r="F30" s="447"/>
      <c r="G30" s="2693" t="s">
        <v>3287</v>
      </c>
      <c r="H30" s="447"/>
      <c r="I30" s="2693" t="s">
        <v>3287</v>
      </c>
      <c r="J30" s="447"/>
      <c r="K30" s="671"/>
      <c r="L30" s="1128"/>
      <c r="M30" s="1129"/>
      <c r="N30" s="1129"/>
      <c r="O30" s="1130"/>
      <c r="P30" s="3236"/>
      <c r="Q30" s="1791"/>
      <c r="R30" s="769"/>
      <c r="S30" s="770"/>
      <c r="T30" s="769"/>
      <c r="U30" s="770"/>
      <c r="V30" s="769"/>
      <c r="W30" s="770"/>
      <c r="X30" s="771"/>
      <c r="Y30" s="3236"/>
      <c r="Z30" s="54"/>
      <c r="AA30" s="1807">
        <v>1</v>
      </c>
      <c r="AB30" s="1807">
        <v>1</v>
      </c>
      <c r="AC30" s="1807">
        <v>1</v>
      </c>
    </row>
    <row r="31" spans="1:29" ht="15">
      <c r="A31" s="427"/>
      <c r="B31" s="455" t="s">
        <v>2655</v>
      </c>
      <c r="C31" s="2981" t="s">
        <v>3288</v>
      </c>
      <c r="D31" s="434">
        <v>100</v>
      </c>
      <c r="E31" s="2981" t="s">
        <v>3288</v>
      </c>
      <c r="F31" s="434">
        <f>SUMIF(104:104,E31,105:105)-SUMIF(104:104,C31,105:105)+100</f>
        <v>100</v>
      </c>
      <c r="G31" s="2981" t="s">
        <v>3288</v>
      </c>
      <c r="H31" s="434">
        <f>SUMIF(104:104,G31,105:105)-SUMIF(104:104,C31,105:105)+100</f>
        <v>100</v>
      </c>
      <c r="I31" s="2981" t="s">
        <v>3288</v>
      </c>
      <c r="J31" s="434">
        <f>SUMIF(104:104,I31,105:105)-SUMIF(104:104,C31,105:105)+100</f>
        <v>100</v>
      </c>
      <c r="K31" s="672">
        <v>1</v>
      </c>
      <c r="L31" s="1136"/>
      <c r="M31" s="1127"/>
      <c r="N31" s="1127"/>
      <c r="O31" s="1135"/>
      <c r="P31" s="3236"/>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36"/>
      <c r="Z31" s="1810" t="str">
        <f t="shared" ref="Z31:Z45" si="13">Q31</f>
        <v>临街状况</v>
      </c>
      <c r="AA31" s="1807">
        <f t="shared" si="3"/>
        <v>1</v>
      </c>
      <c r="AB31" s="1807">
        <f t="shared" si="4"/>
        <v>1</v>
      </c>
      <c r="AC31" s="1807">
        <f t="shared" si="5"/>
        <v>1</v>
      </c>
    </row>
    <row r="32" spans="1:29" ht="28.8">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36"/>
      <c r="Q32" s="1806" t="str">
        <f t="shared" si="8"/>
        <v>毗邻道路的类型与等级</v>
      </c>
      <c r="R32" s="773" t="s">
        <v>17</v>
      </c>
      <c r="S32" s="774">
        <f t="shared" si="10"/>
        <v>100</v>
      </c>
      <c r="T32" s="773" t="s">
        <v>17</v>
      </c>
      <c r="U32" s="774">
        <f t="shared" si="11"/>
        <v>100</v>
      </c>
      <c r="V32" s="773" t="s">
        <v>17</v>
      </c>
      <c r="W32" s="774">
        <f t="shared" si="12"/>
        <v>100</v>
      </c>
      <c r="X32" s="1809"/>
      <c r="Y32" s="3236"/>
      <c r="Z32" s="1810" t="str">
        <f t="shared" si="13"/>
        <v>毗邻道路的类型与等级</v>
      </c>
      <c r="AA32" s="1807">
        <f t="shared" si="3"/>
        <v>1</v>
      </c>
      <c r="AB32" s="1807">
        <f t="shared" si="4"/>
        <v>1</v>
      </c>
      <c r="AC32" s="1807">
        <f t="shared" si="5"/>
        <v>1</v>
      </c>
    </row>
    <row r="33" spans="1:29" ht="15">
      <c r="A33" s="427"/>
      <c r="B33" s="455"/>
      <c r="C33" s="2982" t="s">
        <v>3289</v>
      </c>
      <c r="D33" s="447"/>
      <c r="E33" s="2982" t="s">
        <v>3289</v>
      </c>
      <c r="F33" s="447"/>
      <c r="G33" s="2982" t="s">
        <v>3289</v>
      </c>
      <c r="H33" s="447"/>
      <c r="I33" s="2982" t="s">
        <v>3289</v>
      </c>
      <c r="J33" s="447"/>
      <c r="K33" s="612"/>
      <c r="L33" s="1136"/>
      <c r="M33" s="1127"/>
      <c r="N33" s="1127"/>
      <c r="O33" s="1135"/>
      <c r="P33" s="3236"/>
      <c r="Q33" s="1806"/>
      <c r="R33" s="773"/>
      <c r="S33" s="774"/>
      <c r="T33" s="773"/>
      <c r="U33" s="774"/>
      <c r="V33" s="773"/>
      <c r="W33" s="774"/>
      <c r="X33" s="1809"/>
      <c r="Y33" s="3236"/>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36"/>
      <c r="Q34" s="1806" t="str">
        <f t="shared" si="8"/>
        <v>土地级别</v>
      </c>
      <c r="R34" s="773" t="s">
        <v>17</v>
      </c>
      <c r="S34" s="774">
        <f t="shared" si="10"/>
        <v>100</v>
      </c>
      <c r="T34" s="773" t="s">
        <v>17</v>
      </c>
      <c r="U34" s="774">
        <f t="shared" si="11"/>
        <v>100</v>
      </c>
      <c r="V34" s="773" t="s">
        <v>17</v>
      </c>
      <c r="W34" s="774">
        <f t="shared" si="12"/>
        <v>100</v>
      </c>
      <c r="X34" s="1809"/>
      <c r="Y34" s="3236"/>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36"/>
      <c r="Q35" s="1806">
        <f t="shared" si="8"/>
        <v>111</v>
      </c>
      <c r="R35" s="773" t="s">
        <v>17</v>
      </c>
      <c r="S35" s="774">
        <f t="shared" si="10"/>
        <v>100</v>
      </c>
      <c r="T35" s="773" t="s">
        <v>17</v>
      </c>
      <c r="U35" s="774">
        <f t="shared" si="11"/>
        <v>100</v>
      </c>
      <c r="V35" s="773" t="s">
        <v>17</v>
      </c>
      <c r="W35" s="774">
        <f t="shared" si="12"/>
        <v>100</v>
      </c>
      <c r="X35" s="1809"/>
      <c r="Y35" s="3236"/>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12" t="s">
        <v>2564</v>
      </c>
      <c r="Q36" s="1806">
        <f t="shared" si="8"/>
        <v>111</v>
      </c>
      <c r="R36" s="773" t="s">
        <v>17</v>
      </c>
      <c r="S36" s="774">
        <f t="shared" si="10"/>
        <v>100</v>
      </c>
      <c r="T36" s="773" t="s">
        <v>17</v>
      </c>
      <c r="U36" s="774">
        <f t="shared" si="11"/>
        <v>100</v>
      </c>
      <c r="V36" s="773" t="s">
        <v>17</v>
      </c>
      <c r="W36" s="774">
        <f t="shared" si="12"/>
        <v>100</v>
      </c>
      <c r="X36" s="1809"/>
      <c r="Y36" s="3240" t="s">
        <v>2564</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40"/>
      <c r="Q37" s="1806">
        <f t="shared" si="8"/>
        <v>111</v>
      </c>
      <c r="R37" s="776" t="s">
        <v>17</v>
      </c>
      <c r="S37" s="777">
        <f t="shared" si="10"/>
        <v>100</v>
      </c>
      <c r="T37" s="776" t="s">
        <v>17</v>
      </c>
      <c r="U37" s="777">
        <f t="shared" si="11"/>
        <v>100</v>
      </c>
      <c r="V37" s="776" t="s">
        <v>17</v>
      </c>
      <c r="W37" s="777">
        <f t="shared" si="12"/>
        <v>100</v>
      </c>
      <c r="X37" s="778"/>
      <c r="Y37" s="3240"/>
      <c r="Z37" s="779">
        <f t="shared" si="13"/>
        <v>111</v>
      </c>
      <c r="AA37" s="1807">
        <f t="shared" si="3"/>
        <v>1</v>
      </c>
      <c r="AB37" s="1807">
        <f t="shared" si="4"/>
        <v>1</v>
      </c>
      <c r="AC37" s="1807">
        <f t="shared" si="5"/>
        <v>1</v>
      </c>
    </row>
    <row r="38" spans="1:29" s="3018" customFormat="1" ht="15.6">
      <c r="A38" s="3002" t="s">
        <v>2562</v>
      </c>
      <c r="B38" s="3003" t="s">
        <v>2750</v>
      </c>
      <c r="C38" s="3004">
        <v>46010.69</v>
      </c>
      <c r="D38" s="3005">
        <v>100</v>
      </c>
      <c r="E38" s="3006">
        <f>案例!D2</f>
        <v>18303.330000000002</v>
      </c>
      <c r="F38" s="3005">
        <f>LOOKUP(E38,117:117,118:118)-LOOKUP(C38,117:117,118:118)+100</f>
        <v>99</v>
      </c>
      <c r="G38" s="3006">
        <f>案例!D5</f>
        <v>33619.79</v>
      </c>
      <c r="H38" s="3005">
        <f>LOOKUP(G38,117:117,118:118)-LOOKUP(C38,117:117,118:118)+100</f>
        <v>100</v>
      </c>
      <c r="I38" s="3007">
        <f>案例!E35</f>
        <v>85709</v>
      </c>
      <c r="J38" s="3005">
        <f>LOOKUP(I38,117:117,118:118)-LOOKUP(C38,117:117,118:118)+100</f>
        <v>101</v>
      </c>
      <c r="K38" s="3008"/>
      <c r="L38" s="3009"/>
      <c r="M38" s="3010"/>
      <c r="N38" s="3010"/>
      <c r="O38" s="3011"/>
      <c r="P38" s="3240"/>
      <c r="Q38" s="3012" t="str">
        <f>B38</f>
        <v>宗地面积</v>
      </c>
      <c r="R38" s="3013" t="s">
        <v>17</v>
      </c>
      <c r="S38" s="3014">
        <f t="shared" si="10"/>
        <v>99</v>
      </c>
      <c r="T38" s="3013" t="s">
        <v>17</v>
      </c>
      <c r="U38" s="3014">
        <f t="shared" si="11"/>
        <v>100</v>
      </c>
      <c r="V38" s="3013" t="s">
        <v>17</v>
      </c>
      <c r="W38" s="3014">
        <f t="shared" si="12"/>
        <v>101</v>
      </c>
      <c r="X38" s="3015"/>
      <c r="Y38" s="3240"/>
      <c r="Z38" s="3016" t="str">
        <f t="shared" si="13"/>
        <v>宗地面积</v>
      </c>
      <c r="AA38" s="3017">
        <f t="shared" si="3"/>
        <v>1.0101010101010102</v>
      </c>
      <c r="AB38" s="3017">
        <f t="shared" si="4"/>
        <v>1</v>
      </c>
      <c r="AC38" s="3017">
        <f t="shared" si="5"/>
        <v>0.99009900990099009</v>
      </c>
    </row>
    <row r="39" spans="1:29" ht="15">
      <c r="A39" s="471"/>
      <c r="B39" s="421" t="s">
        <v>2751</v>
      </c>
      <c r="C39" s="2606" t="s">
        <v>3307</v>
      </c>
      <c r="D39" s="434">
        <v>100</v>
      </c>
      <c r="E39" s="2606" t="s">
        <v>3307</v>
      </c>
      <c r="F39" s="434">
        <f>SUMIF(119:119,E39,120:120)-SUMIF(119:119,C39,120:120)+100</f>
        <v>100</v>
      </c>
      <c r="G39" s="2606" t="s">
        <v>3307</v>
      </c>
      <c r="H39" s="434">
        <f>SUMIF(119:119,G39,120:120)-SUMIF(119:119,C39,120:120)+100</f>
        <v>100</v>
      </c>
      <c r="I39" s="2606" t="s">
        <v>3307</v>
      </c>
      <c r="J39" s="434">
        <f>SUMIF(119:119,I39,120:120)-SUMIF(119:119,C39,120:120)+100</f>
        <v>100</v>
      </c>
      <c r="K39" s="611">
        <v>1</v>
      </c>
      <c r="L39" s="1136"/>
      <c r="M39" s="1127"/>
      <c r="N39" s="1127"/>
      <c r="O39" s="1135"/>
      <c r="P39" s="3240"/>
      <c r="Q39" s="1806" t="str">
        <f t="shared" ref="Q39:Q45" si="14">B39</f>
        <v>宗地形状</v>
      </c>
      <c r="R39" s="773" t="s">
        <v>17</v>
      </c>
      <c r="S39" s="774">
        <f t="shared" si="10"/>
        <v>100</v>
      </c>
      <c r="T39" s="773" t="s">
        <v>17</v>
      </c>
      <c r="U39" s="774">
        <f t="shared" si="11"/>
        <v>100</v>
      </c>
      <c r="V39" s="773" t="s">
        <v>17</v>
      </c>
      <c r="W39" s="774">
        <f t="shared" si="12"/>
        <v>100</v>
      </c>
      <c r="X39" s="1809"/>
      <c r="Y39" s="3240"/>
      <c r="Z39" s="1810" t="str">
        <f t="shared" si="13"/>
        <v>宗地形状</v>
      </c>
      <c r="AA39" s="1807">
        <f t="shared" si="3"/>
        <v>1</v>
      </c>
      <c r="AB39" s="1807">
        <f t="shared" si="4"/>
        <v>1</v>
      </c>
      <c r="AC39" s="1807">
        <f t="shared" si="5"/>
        <v>1</v>
      </c>
    </row>
    <row r="40" spans="1:29" ht="15">
      <c r="A40" s="471"/>
      <c r="B40" s="421" t="s">
        <v>2752</v>
      </c>
      <c r="C40" s="2606" t="s">
        <v>3308</v>
      </c>
      <c r="D40" s="434">
        <v>100</v>
      </c>
      <c r="E40" s="2606" t="s">
        <v>3308</v>
      </c>
      <c r="F40" s="434">
        <f>SUMIF(121:121,E40,122:122)-SUMIF(121:121,C40,122:122)+100</f>
        <v>100</v>
      </c>
      <c r="G40" s="2606" t="s">
        <v>3308</v>
      </c>
      <c r="H40" s="434">
        <f>SUMIF(121:121,G40,122:122)-SUMIF(121:121,C40,122:122)+100</f>
        <v>100</v>
      </c>
      <c r="I40" s="2606" t="s">
        <v>3308</v>
      </c>
      <c r="J40" s="434">
        <f>SUMIF(121:121,I40,122:122)-SUMIF(121:121,C40,122:122)+100</f>
        <v>100</v>
      </c>
      <c r="K40" s="611">
        <v>2</v>
      </c>
      <c r="L40" s="1136"/>
      <c r="M40" s="1127"/>
      <c r="N40" s="1127"/>
      <c r="O40" s="1135"/>
      <c r="P40" s="3240"/>
      <c r="Q40" s="1806" t="str">
        <f t="shared" si="14"/>
        <v>临街宽度及深度</v>
      </c>
      <c r="R40" s="773" t="s">
        <v>17</v>
      </c>
      <c r="S40" s="774">
        <f t="shared" si="10"/>
        <v>100</v>
      </c>
      <c r="T40" s="773" t="s">
        <v>17</v>
      </c>
      <c r="U40" s="774">
        <f t="shared" si="11"/>
        <v>100</v>
      </c>
      <c r="V40" s="773" t="s">
        <v>17</v>
      </c>
      <c r="W40" s="774">
        <f t="shared" si="12"/>
        <v>100</v>
      </c>
      <c r="X40" s="1809"/>
      <c r="Y40" s="3240"/>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3309</v>
      </c>
      <c r="F41" s="434">
        <f>SUMIF(123:123,E41,124:124)-SUMIF(123:123,C41,124:124)+100</f>
        <v>97</v>
      </c>
      <c r="G41" s="2695" t="s">
        <v>3048</v>
      </c>
      <c r="H41" s="434">
        <f>SUMIF(123:123,G41,124:124)-SUMIF(123:123,C41,124:124)+100</f>
        <v>100</v>
      </c>
      <c r="I41" s="2695" t="s">
        <v>3309</v>
      </c>
      <c r="J41" s="434">
        <f>SUMIF(123:123,I41,124:124)-SUMIF(123:123,C41,124:124)+100</f>
        <v>97</v>
      </c>
      <c r="K41" s="611">
        <v>1</v>
      </c>
      <c r="L41" s="1128"/>
      <c r="M41" s="1129"/>
      <c r="N41" s="1129"/>
      <c r="O41" s="1130"/>
      <c r="P41" s="3240"/>
      <c r="Q41" s="1806" t="str">
        <f t="shared" si="14"/>
        <v>宗地开发程度</v>
      </c>
      <c r="R41" s="769" t="s">
        <v>17</v>
      </c>
      <c r="S41" s="770">
        <f t="shared" si="10"/>
        <v>97</v>
      </c>
      <c r="T41" s="769" t="s">
        <v>17</v>
      </c>
      <c r="U41" s="770">
        <f t="shared" si="11"/>
        <v>100</v>
      </c>
      <c r="V41" s="769" t="s">
        <v>17</v>
      </c>
      <c r="W41" s="770">
        <f t="shared" si="12"/>
        <v>97</v>
      </c>
      <c r="X41" s="771"/>
      <c r="Y41" s="3240"/>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40" t="s">
        <v>2564</v>
      </c>
      <c r="Q42" s="1806" t="str">
        <f t="shared" si="14"/>
        <v>工程地质条件</v>
      </c>
      <c r="R42" s="773" t="s">
        <v>17</v>
      </c>
      <c r="S42" s="774">
        <f t="shared" si="10"/>
        <v>100</v>
      </c>
      <c r="T42" s="773" t="s">
        <v>17</v>
      </c>
      <c r="U42" s="774">
        <f t="shared" si="11"/>
        <v>100</v>
      </c>
      <c r="V42" s="773" t="s">
        <v>17</v>
      </c>
      <c r="W42" s="774">
        <f t="shared" si="12"/>
        <v>100</v>
      </c>
      <c r="X42" s="1809"/>
      <c r="Y42" s="3240"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40"/>
      <c r="Q43" s="1806">
        <f t="shared" si="14"/>
        <v>111</v>
      </c>
      <c r="R43" s="773" t="s">
        <v>17</v>
      </c>
      <c r="S43" s="774">
        <f t="shared" si="10"/>
        <v>100</v>
      </c>
      <c r="T43" s="773" t="s">
        <v>17</v>
      </c>
      <c r="U43" s="774">
        <f t="shared" si="11"/>
        <v>100</v>
      </c>
      <c r="V43" s="773" t="s">
        <v>17</v>
      </c>
      <c r="W43" s="774">
        <f t="shared" si="12"/>
        <v>100</v>
      </c>
      <c r="X43" s="1809"/>
      <c r="Y43" s="3240"/>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40"/>
      <c r="Q44" s="1806">
        <f t="shared" si="14"/>
        <v>111</v>
      </c>
      <c r="R44" s="773" t="s">
        <v>17</v>
      </c>
      <c r="S44" s="774">
        <f t="shared" si="10"/>
        <v>100</v>
      </c>
      <c r="T44" s="773" t="s">
        <v>17</v>
      </c>
      <c r="U44" s="774">
        <f t="shared" si="11"/>
        <v>100</v>
      </c>
      <c r="V44" s="773" t="s">
        <v>17</v>
      </c>
      <c r="W44" s="774">
        <f t="shared" si="12"/>
        <v>100</v>
      </c>
      <c r="X44" s="1809"/>
      <c r="Y44" s="3240"/>
      <c r="Z44" s="1810">
        <f t="shared" si="13"/>
        <v>111</v>
      </c>
      <c r="AA44" s="1807">
        <f t="shared" si="3"/>
        <v>1</v>
      </c>
      <c r="AB44" s="1807">
        <f t="shared" si="4"/>
        <v>1</v>
      </c>
      <c r="AC44" s="1807">
        <f t="shared" si="5"/>
        <v>1</v>
      </c>
    </row>
    <row r="45" spans="1:29" s="470" customFormat="1" ht="15.6"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40"/>
      <c r="Q45" s="1806">
        <f t="shared" si="14"/>
        <v>111</v>
      </c>
      <c r="R45" s="776" t="s">
        <v>17</v>
      </c>
      <c r="S45" s="777">
        <f t="shared" si="10"/>
        <v>100</v>
      </c>
      <c r="T45" s="776" t="s">
        <v>17</v>
      </c>
      <c r="U45" s="777">
        <f t="shared" si="11"/>
        <v>100</v>
      </c>
      <c r="V45" s="776" t="s">
        <v>17</v>
      </c>
      <c r="W45" s="777">
        <f t="shared" si="12"/>
        <v>100</v>
      </c>
      <c r="X45" s="778"/>
      <c r="Y45" s="3240"/>
      <c r="Z45" s="779">
        <f t="shared" si="13"/>
        <v>111</v>
      </c>
      <c r="AA45" s="1807">
        <f t="shared" si="3"/>
        <v>1</v>
      </c>
      <c r="AB45" s="1807">
        <f t="shared" si="4"/>
        <v>1</v>
      </c>
      <c r="AC45" s="1807">
        <f t="shared" si="5"/>
        <v>1</v>
      </c>
    </row>
    <row r="46" spans="1:29" ht="14.4">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28" t="str">
        <f>A46</f>
        <v>成交单价</v>
      </c>
      <c r="Q46" s="3228"/>
      <c r="R46" s="3262">
        <f>E46</f>
        <v>22025</v>
      </c>
      <c r="S46" s="3262"/>
      <c r="T46" s="3262">
        <f>G46</f>
        <v>24837</v>
      </c>
      <c r="U46" s="3262"/>
      <c r="V46" s="3262">
        <f>I46</f>
        <v>21103</v>
      </c>
      <c r="W46" s="3262"/>
      <c r="X46" s="758"/>
      <c r="Y46" s="780"/>
      <c r="Z46" s="758"/>
      <c r="AA46" s="758"/>
      <c r="AB46" s="758"/>
      <c r="AC46" s="758"/>
    </row>
    <row r="47" spans="1:29" ht="15" thickBot="1">
      <c r="A47" s="485" t="s">
        <v>2668</v>
      </c>
      <c r="B47" s="682"/>
      <c r="C47" s="489">
        <f>R48</f>
        <v>24605</v>
      </c>
      <c r="D47" s="488"/>
      <c r="E47" s="489">
        <f>R47</f>
        <v>23921</v>
      </c>
      <c r="F47" s="490"/>
      <c r="G47" s="487">
        <f>T47</f>
        <v>27210</v>
      </c>
      <c r="H47" s="488"/>
      <c r="I47" s="489">
        <f>V47</f>
        <v>22683</v>
      </c>
      <c r="J47" s="488"/>
      <c r="K47" s="783"/>
      <c r="L47" s="1139"/>
      <c r="M47" s="1140"/>
      <c r="N47" s="1140"/>
      <c r="O47" s="1140"/>
      <c r="P47" s="3228" t="str">
        <f>A47</f>
        <v>比较价值（元/平方米）</v>
      </c>
      <c r="Q47" s="3228"/>
      <c r="R47" s="3313">
        <f>ROUND(PRODUCT(R46,AA7:AA45),0)</f>
        <v>23921</v>
      </c>
      <c r="S47" s="3313"/>
      <c r="T47" s="3313">
        <f>ROUND(PRODUCT(T46,AB7:AB45),0)</f>
        <v>27210</v>
      </c>
      <c r="U47" s="3313"/>
      <c r="V47" s="3313">
        <f>ROUND(PRODUCT(V46,AC7:AC45),0)</f>
        <v>22683</v>
      </c>
      <c r="W47" s="3313"/>
      <c r="X47" s="758"/>
      <c r="Y47" s="758"/>
      <c r="Z47" s="758"/>
      <c r="AA47" s="758"/>
      <c r="AB47" s="758"/>
      <c r="AC47" s="758"/>
    </row>
    <row r="48" spans="1:29" ht="15" thickBot="1">
      <c r="A48" s="491" t="s">
        <v>2756</v>
      </c>
      <c r="B48" s="492"/>
      <c r="C48" s="493">
        <f>R48</f>
        <v>24605</v>
      </c>
      <c r="D48" s="493"/>
      <c r="E48" s="493"/>
      <c r="F48" s="493"/>
      <c r="G48" s="493"/>
      <c r="H48" s="493"/>
      <c r="I48" s="493"/>
      <c r="J48" s="493"/>
      <c r="K48" s="784"/>
      <c r="L48" s="1139"/>
      <c r="M48" s="1140"/>
      <c r="N48" s="1140"/>
      <c r="O48" s="1140"/>
      <c r="P48" s="3279" t="str">
        <f>A48</f>
        <v>估价对象XX用房的比较价值（楼面单价，元/平方米）</v>
      </c>
      <c r="Q48" s="3280"/>
      <c r="R48" s="3314">
        <f>ROUND(AVERAGE(R47:V47),0)</f>
        <v>24605</v>
      </c>
      <c r="S48" s="3314"/>
      <c r="T48" s="3314"/>
      <c r="U48" s="3314"/>
      <c r="V48" s="3314"/>
      <c r="W48" s="3314"/>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8.6083995459704798E-2</v>
      </c>
      <c r="F51" s="499" t="str">
        <f>IF(OR(E51&gt;=0.3,E51&lt;=-0.3),"超过30%","")</f>
        <v/>
      </c>
      <c r="G51" s="498">
        <f>IF(G46&lt;G47,G47/G46-1,G46/G47-1)</f>
        <v>9.5542939968595197E-2</v>
      </c>
      <c r="H51" s="499" t="str">
        <f>IF(OR(G51&gt;=0.3,G51&lt;=-0.3),"超过30%","")</f>
        <v/>
      </c>
      <c r="I51" s="498">
        <f>IF(I46&lt;I47,I47/I46-1,I46/I47-1)</f>
        <v>7.4870871440079645E-2</v>
      </c>
      <c r="J51" s="499" t="str">
        <f>IF(OR(I51&gt;=0.3,I51&lt;=-0.3),"超过30%","")</f>
        <v/>
      </c>
      <c r="K51" s="1101"/>
      <c r="L51" s="1102"/>
      <c r="M51" s="1140"/>
      <c r="N51" s="1140"/>
      <c r="O51" s="1140"/>
    </row>
    <row r="52" spans="1:15" ht="13.5" customHeight="1">
      <c r="A52" s="1140"/>
      <c r="B52" s="1140"/>
      <c r="C52" s="496" t="s">
        <v>2671</v>
      </c>
      <c r="D52" s="500"/>
      <c r="E52" s="498">
        <f>IF(E47&lt;G47,G47/E47-1,E47/G47-1)</f>
        <v>0.1374942519125455</v>
      </c>
      <c r="F52" s="499" t="str">
        <f>IF(OR(E52&gt;=0.2,E52&lt;=-0.2),"超过20%","")</f>
        <v/>
      </c>
      <c r="G52" s="498">
        <f>IF(G47&lt;I47,I47/G47-1,G47/I47-1)</f>
        <v>0.1995767755587885</v>
      </c>
      <c r="H52" s="499" t="str">
        <f>IF(OR(G52&gt;=0.2,G52&lt;=-0.2),"超过20%","")</f>
        <v/>
      </c>
      <c r="I52" s="498">
        <f>IF(I47&lt;E47,E47/I47-1,I47/E47-1)</f>
        <v>5.4578318564563855E-2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4.4"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45" t="s">
        <v>2763</v>
      </c>
      <c r="H55" s="3315"/>
      <c r="I55" s="143" t="s">
        <v>2764</v>
      </c>
      <c r="J55" s="2700">
        <f>项目基本情况!F35</f>
        <v>0</v>
      </c>
      <c r="K55" s="2701" t="s">
        <v>2765</v>
      </c>
      <c r="L55" s="1102"/>
      <c r="M55" s="1140"/>
      <c r="N55" s="1140"/>
      <c r="O55" s="1140"/>
    </row>
    <row r="56" spans="1:15" s="691" customFormat="1">
      <c r="A56" s="687" t="s">
        <v>2766</v>
      </c>
      <c r="B56" s="688">
        <f>C48</f>
        <v>24605</v>
      </c>
      <c r="C56" s="689">
        <v>1</v>
      </c>
      <c r="D56" s="1159">
        <v>1</v>
      </c>
      <c r="E56" s="689">
        <f>'数据-汇总表'!E8+'数据-汇总表'!E9</f>
        <v>23213.510000000002</v>
      </c>
      <c r="F56" s="1099">
        <f t="shared" ref="F56:F65" si="15">ROUND(B56*E56/10000,0)</f>
        <v>57117</v>
      </c>
      <c r="G56" s="3227"/>
      <c r="H56" s="3228"/>
      <c r="I56" s="1104">
        <v>1</v>
      </c>
      <c r="J56" s="1107">
        <v>1</v>
      </c>
      <c r="K56" s="1141"/>
      <c r="L56" s="937"/>
      <c r="M56" s="937"/>
      <c r="N56" s="937"/>
      <c r="O56" s="937"/>
    </row>
    <row r="57" spans="1:15" s="691" customFormat="1">
      <c r="A57" s="692" t="s">
        <v>2767</v>
      </c>
      <c r="B57" s="261">
        <f>ROUND($C$48*C57*D57,0)</f>
        <v>3691</v>
      </c>
      <c r="C57" s="199">
        <f t="shared" ref="C57:C65" si="16">IF($C$55="北京市系数",I57,J57)</f>
        <v>0.6</v>
      </c>
      <c r="D57" s="1160">
        <v>0.25</v>
      </c>
      <c r="E57" s="693">
        <f>'数据-基础表'!K13</f>
        <v>546.51</v>
      </c>
      <c r="F57" s="1099">
        <f t="shared" si="15"/>
        <v>202</v>
      </c>
      <c r="G57" s="3316"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1845</v>
      </c>
      <c r="C58" s="199">
        <f t="shared" si="16"/>
        <v>0.3</v>
      </c>
      <c r="D58" s="1160">
        <v>0.25</v>
      </c>
      <c r="E58" s="693"/>
      <c r="F58" s="1099">
        <f t="shared" si="15"/>
        <v>0</v>
      </c>
      <c r="G58" s="3316"/>
      <c r="H58" s="1100" t="str">
        <f>项目基本情况!B37</f>
        <v>八级</v>
      </c>
      <c r="I58" s="1104">
        <f>SUMIF(修正!A45:A56,H58,修正!C45:C56)</f>
        <v>0.3</v>
      </c>
      <c r="J58" s="1108"/>
      <c r="K58" s="1141"/>
      <c r="L58" s="937"/>
      <c r="M58" s="937"/>
      <c r="N58" s="937"/>
      <c r="O58" s="937"/>
    </row>
    <row r="59" spans="1:15" s="691" customFormat="1">
      <c r="A59" s="692" t="s">
        <v>2770</v>
      </c>
      <c r="B59" s="261">
        <f t="shared" si="17"/>
        <v>1230</v>
      </c>
      <c r="C59" s="199">
        <f t="shared" si="16"/>
        <v>0.2</v>
      </c>
      <c r="D59" s="1160">
        <v>0.25</v>
      </c>
      <c r="E59" s="693"/>
      <c r="F59" s="1099">
        <f t="shared" si="15"/>
        <v>0</v>
      </c>
      <c r="G59" s="3316"/>
      <c r="H59" s="1100" t="str">
        <f>项目基本情况!B37</f>
        <v>八级</v>
      </c>
      <c r="I59" s="1104">
        <f>SUMIF(修正!A45:A56,H59,修正!D45:D56)</f>
        <v>0.2</v>
      </c>
      <c r="J59" s="1108"/>
      <c r="K59" s="1140"/>
      <c r="L59" s="937"/>
      <c r="M59" s="937"/>
      <c r="N59" s="937"/>
      <c r="O59" s="937"/>
    </row>
    <row r="60" spans="1:15" s="691" customFormat="1">
      <c r="A60" s="692" t="s">
        <v>2771</v>
      </c>
      <c r="B60" s="261">
        <f t="shared" si="17"/>
        <v>1230</v>
      </c>
      <c r="C60" s="199">
        <f t="shared" si="16"/>
        <v>0.2</v>
      </c>
      <c r="D60" s="1160">
        <v>0.25</v>
      </c>
      <c r="E60" s="693"/>
      <c r="F60" s="1099">
        <f t="shared" si="15"/>
        <v>0</v>
      </c>
      <c r="G60" s="3316"/>
      <c r="H60" s="1100" t="str">
        <f>项目基本情况!B37</f>
        <v>八级</v>
      </c>
      <c r="I60" s="1104">
        <f>SUMIF(修正!A45:A56,H60,修正!E45:E56)</f>
        <v>0.2</v>
      </c>
      <c r="J60" s="1108"/>
      <c r="K60" s="1141"/>
      <c r="L60" s="937"/>
      <c r="M60" s="937"/>
      <c r="N60" s="937"/>
      <c r="O60" s="937"/>
    </row>
    <row r="61" spans="1:15" s="691" customFormat="1">
      <c r="A61" s="692" t="s">
        <v>2772</v>
      </c>
      <c r="B61" s="261">
        <f t="shared" si="17"/>
        <v>1230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1230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923</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4.4" thickBot="1">
      <c r="A65" s="692" t="s">
        <v>2779</v>
      </c>
      <c r="B65" s="261">
        <f t="shared" si="17"/>
        <v>923</v>
      </c>
      <c r="C65" s="199">
        <f t="shared" si="16"/>
        <v>0.15</v>
      </c>
      <c r="D65" s="1160">
        <v>0.25</v>
      </c>
      <c r="E65" s="260">
        <f>'数据-汇总表'!E15</f>
        <v>4184.2899999999991</v>
      </c>
      <c r="F65" s="1099">
        <f t="shared" si="15"/>
        <v>386</v>
      </c>
      <c r="G65" s="2703" t="s">
        <v>2773</v>
      </c>
      <c r="H65" s="1110" t="str">
        <f>项目基本情况!C37</f>
        <v>八级</v>
      </c>
      <c r="I65" s="1106">
        <f>SUMIF(修正!A45:A56,H65,修正!H45:H56)</f>
        <v>0.15</v>
      </c>
      <c r="J65" s="1109"/>
      <c r="K65" s="1140"/>
      <c r="L65" s="937"/>
      <c r="M65" s="937"/>
      <c r="N65" s="937"/>
      <c r="O65" s="937"/>
    </row>
    <row r="66" spans="1:17" s="691" customFormat="1" thickBot="1">
      <c r="A66" s="694" t="s">
        <v>2780</v>
      </c>
      <c r="B66" s="695" t="s">
        <v>28</v>
      </c>
      <c r="C66" s="695" t="s">
        <v>29</v>
      </c>
      <c r="D66" s="695" t="s">
        <v>1029</v>
      </c>
      <c r="E66" s="695">
        <f>IF(B46="楼面地价",SUM(E56:E65),'数据-汇总表'!D3)</f>
        <v>27944.309999999998</v>
      </c>
      <c r="F66" s="696">
        <f>IF(B46="楼面地价",SUM(F56:F65),ROUND(C48*E66/10000,0))</f>
        <v>57705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2.2" thickBot="1">
      <c r="A69" s="762" t="s">
        <v>2673</v>
      </c>
      <c r="B69" s="758"/>
      <c r="C69" s="763"/>
      <c r="D69" s="763"/>
      <c r="E69" s="763"/>
      <c r="F69" s="764"/>
      <c r="G69" s="764"/>
      <c r="H69" s="763"/>
      <c r="I69" s="763"/>
      <c r="J69" s="1155"/>
      <c r="K69" s="1156"/>
      <c r="L69" s="1157"/>
      <c r="M69" s="1155"/>
      <c r="N69" s="1155"/>
      <c r="O69" s="1155"/>
      <c r="P69" s="502"/>
      <c r="Q69" s="503"/>
    </row>
    <row r="70" spans="1:17" s="507" customFormat="1" ht="14.4">
      <c r="A70" s="2704" t="s">
        <v>2781</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5" t="s">
        <v>2782</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 thickBot="1">
      <c r="A72" s="514" t="s">
        <v>2584</v>
      </c>
      <c r="B72" s="515"/>
      <c r="C72" s="516"/>
      <c r="D72" s="517"/>
      <c r="E72" s="517"/>
      <c r="F72" s="517"/>
      <c r="G72" s="517"/>
      <c r="H72" s="517"/>
      <c r="I72" s="517"/>
      <c r="J72" s="517"/>
      <c r="K72" s="517"/>
      <c r="L72" s="517"/>
      <c r="M72" s="518"/>
      <c r="N72" s="517"/>
      <c r="O72" s="1158"/>
      <c r="P72" s="503"/>
      <c r="Q72" s="503"/>
    </row>
    <row r="73" spans="1:17" s="116" customFormat="1" ht="14.4">
      <c r="A73" s="520" t="s">
        <v>2549</v>
      </c>
      <c r="B73" s="509"/>
      <c r="C73" s="521" t="s">
        <v>2651</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2587</v>
      </c>
      <c r="B75" s="527" t="s">
        <v>2553</v>
      </c>
      <c r="C75" s="2980" t="s">
        <v>3283</v>
      </c>
      <c r="D75" s="529"/>
      <c r="E75" s="529"/>
      <c r="F75" s="529"/>
      <c r="G75" s="529"/>
      <c r="H75" s="529"/>
      <c r="I75" s="529"/>
      <c r="J75" s="529"/>
      <c r="K75" s="530"/>
      <c r="L75" s="531"/>
      <c r="M75" s="532"/>
      <c r="N75" s="1148"/>
      <c r="O75" s="1148"/>
      <c r="P75" s="44"/>
      <c r="Q75" s="503"/>
    </row>
    <row r="76" spans="1:17" ht="14.4" thickBot="1">
      <c r="A76" s="533"/>
      <c r="B76" s="534"/>
      <c r="C76" s="535">
        <v>100</v>
      </c>
      <c r="D76" s="535"/>
      <c r="E76" s="535"/>
      <c r="F76" s="535"/>
      <c r="G76" s="535"/>
      <c r="H76" s="535"/>
      <c r="I76" s="535"/>
      <c r="J76" s="535"/>
      <c r="K76" s="535"/>
      <c r="L76" s="535"/>
      <c r="M76" s="536"/>
      <c r="N76" s="1149"/>
      <c r="O76" s="1149"/>
      <c r="P76" s="44"/>
      <c r="Q76" s="503"/>
    </row>
    <row r="77" spans="1:17" ht="29.4" thickTop="1">
      <c r="A77" s="533"/>
      <c r="B77" s="537" t="s">
        <v>2556</v>
      </c>
      <c r="C77" s="538"/>
      <c r="D77" s="538"/>
      <c r="E77" s="538"/>
      <c r="F77" s="538"/>
      <c r="G77" s="538"/>
      <c r="H77" s="538"/>
      <c r="I77" s="538"/>
      <c r="J77" s="538"/>
      <c r="K77" s="539"/>
      <c r="L77" s="540"/>
      <c r="M77" s="541"/>
      <c r="N77" s="1148"/>
      <c r="O77" s="1148"/>
      <c r="P77" s="44"/>
      <c r="Q77" s="503"/>
    </row>
    <row r="78" spans="1:17" ht="14.4" thickBot="1">
      <c r="A78" s="533"/>
      <c r="B78" s="542"/>
      <c r="C78" s="543"/>
      <c r="D78" s="543"/>
      <c r="E78" s="543"/>
      <c r="F78" s="543"/>
      <c r="G78" s="543"/>
      <c r="H78" s="543"/>
      <c r="I78" s="543"/>
      <c r="J78" s="543"/>
      <c r="K78" s="543"/>
      <c r="L78" s="543"/>
      <c r="M78" s="544"/>
      <c r="N78" s="1149"/>
      <c r="O78" s="1149"/>
      <c r="P78" s="44"/>
      <c r="Q78" s="503"/>
    </row>
    <row r="79" spans="1:17" ht="1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c r="A80" s="533"/>
      <c r="B80" s="547"/>
      <c r="C80" s="548">
        <v>0</v>
      </c>
      <c r="D80" s="548">
        <v>1</v>
      </c>
      <c r="E80" s="548">
        <v>2</v>
      </c>
      <c r="F80" s="548">
        <v>3</v>
      </c>
      <c r="G80" s="548">
        <v>4</v>
      </c>
      <c r="H80" s="548">
        <v>5</v>
      </c>
      <c r="I80" s="548"/>
      <c r="J80" s="548"/>
      <c r="K80" s="549"/>
      <c r="L80" s="550"/>
      <c r="M80" s="551"/>
      <c r="N80" s="1148"/>
      <c r="O80" s="1148"/>
      <c r="P80" s="44"/>
      <c r="Q80" s="503"/>
    </row>
    <row r="81" spans="1:17" ht="14.4"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4.4"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4.4" thickBot="1">
      <c r="A83" s="552"/>
      <c r="B83" s="542"/>
      <c r="C83" s="559"/>
      <c r="D83" s="535"/>
      <c r="E83" s="535"/>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4.4"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29.4"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9.4"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4.4"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9.4" thickTop="1">
      <c r="A106" s="533"/>
      <c r="B106" s="537" t="s">
        <v>2690</v>
      </c>
      <c r="C106" s="553"/>
      <c r="D106" s="553"/>
      <c r="E106" s="553"/>
      <c r="F106" s="553"/>
      <c r="G106" s="553"/>
      <c r="H106" s="582"/>
      <c r="I106" s="582"/>
      <c r="J106" s="582"/>
      <c r="K106" s="583"/>
      <c r="L106" s="584"/>
      <c r="M106" s="585"/>
      <c r="N106" s="1148"/>
      <c r="O106" s="1148"/>
      <c r="P106" s="44"/>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 thickTop="1">
      <c r="A108" s="533"/>
      <c r="B108" s="537" t="s">
        <v>2749</v>
      </c>
      <c r="C108" s="582"/>
      <c r="D108" s="582"/>
      <c r="E108" s="582"/>
      <c r="F108" s="582"/>
      <c r="G108" s="582"/>
      <c r="H108" s="582"/>
      <c r="I108" s="582"/>
      <c r="J108" s="582"/>
      <c r="K108" s="583"/>
      <c r="L108" s="584"/>
      <c r="M108" s="585"/>
      <c r="N108" s="1148"/>
      <c r="O108" s="1148"/>
      <c r="P108" s="44"/>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4.4" thickTop="1">
      <c r="A110" s="533"/>
      <c r="B110" s="545">
        <f>B35</f>
        <v>111</v>
      </c>
      <c r="C110" s="553"/>
      <c r="D110" s="553"/>
      <c r="E110" s="553"/>
      <c r="F110" s="553"/>
      <c r="G110" s="586"/>
      <c r="H110" s="586"/>
      <c r="I110" s="586"/>
      <c r="J110" s="586"/>
      <c r="K110" s="587"/>
      <c r="L110" s="588"/>
      <c r="M110" s="589"/>
      <c r="N110" s="1148"/>
      <c r="O110" s="1148"/>
      <c r="P110" s="44"/>
      <c r="Q110" s="503"/>
    </row>
    <row r="111" spans="1:17" ht="14.4" thickBot="1">
      <c r="A111" s="533"/>
      <c r="B111" s="568"/>
      <c r="C111" s="559"/>
      <c r="D111" s="559"/>
      <c r="E111" s="559"/>
      <c r="F111" s="559"/>
      <c r="G111" s="590"/>
      <c r="H111" s="590"/>
      <c r="I111" s="590"/>
      <c r="J111" s="590"/>
      <c r="K111" s="590"/>
      <c r="L111" s="590"/>
      <c r="M111" s="591"/>
      <c r="N111" s="1149"/>
      <c r="O111" s="1149"/>
      <c r="P111" s="44"/>
      <c r="Q111" s="503"/>
    </row>
    <row r="112" spans="1:17" ht="14.4" thickTop="1">
      <c r="A112" s="674"/>
      <c r="B112" s="537">
        <f>B36</f>
        <v>111</v>
      </c>
      <c r="C112" s="522"/>
      <c r="D112" s="522"/>
      <c r="E112" s="522"/>
      <c r="F112" s="522"/>
      <c r="G112" s="582"/>
      <c r="H112" s="582"/>
      <c r="I112" s="582"/>
      <c r="J112" s="582"/>
      <c r="K112" s="583"/>
      <c r="L112" s="584"/>
      <c r="M112" s="585"/>
      <c r="N112" s="1148"/>
      <c r="O112" s="1148"/>
      <c r="P112" s="44"/>
      <c r="Q112" s="503"/>
    </row>
    <row r="113" spans="1:17" ht="14.4" thickBot="1">
      <c r="A113" s="533"/>
      <c r="B113" s="542"/>
      <c r="C113" s="569"/>
      <c r="D113" s="569"/>
      <c r="E113" s="569"/>
      <c r="F113" s="569"/>
      <c r="G113" s="535"/>
      <c r="H113" s="535"/>
      <c r="I113" s="535"/>
      <c r="J113" s="535"/>
      <c r="K113" s="535"/>
      <c r="L113" s="535"/>
      <c r="M113" s="536"/>
      <c r="N113" s="1149"/>
      <c r="O113" s="1149"/>
      <c r="P113" s="44"/>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27.6">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4.4"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2984" t="s">
        <v>3290</v>
      </c>
      <c r="D119" s="2984" t="s">
        <v>3291</v>
      </c>
      <c r="E119" s="2984" t="s">
        <v>3292</v>
      </c>
      <c r="F119" s="2984" t="s">
        <v>3293</v>
      </c>
      <c r="G119" s="582"/>
      <c r="H119" s="582"/>
      <c r="I119" s="582"/>
      <c r="J119" s="582"/>
      <c r="K119" s="583"/>
      <c r="L119" s="584"/>
      <c r="M119" s="585"/>
      <c r="N119" s="1148"/>
      <c r="O119" s="1148"/>
      <c r="P119" s="44"/>
      <c r="Q119" s="503"/>
    </row>
    <row r="120" spans="1:17" ht="14.4"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2985" t="s">
        <v>3294</v>
      </c>
      <c r="D121" s="2985" t="s">
        <v>3295</v>
      </c>
      <c r="E121" s="2985" t="s">
        <v>3296</v>
      </c>
      <c r="F121" s="582"/>
      <c r="G121" s="582"/>
      <c r="H121" s="582"/>
      <c r="I121" s="582"/>
      <c r="J121" s="582"/>
      <c r="K121" s="583"/>
      <c r="L121" s="584"/>
      <c r="M121" s="585"/>
      <c r="N121" s="1148"/>
      <c r="O121" s="1148"/>
      <c r="P121" s="44"/>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2985" t="s">
        <v>3297</v>
      </c>
      <c r="D123" s="2985" t="s">
        <v>3298</v>
      </c>
      <c r="E123" s="2985" t="s">
        <v>3299</v>
      </c>
      <c r="F123" s="2985" t="s">
        <v>3300</v>
      </c>
      <c r="G123" s="2985" t="s">
        <v>3301</v>
      </c>
      <c r="H123" s="582"/>
      <c r="I123" s="582"/>
      <c r="J123" s="582"/>
      <c r="K123" s="583"/>
      <c r="L123" s="584"/>
      <c r="M123" s="585"/>
      <c r="N123" s="1150"/>
      <c r="O123" s="1150"/>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2985" t="s">
        <v>3302</v>
      </c>
      <c r="D125" s="2985" t="s">
        <v>3303</v>
      </c>
      <c r="E125" s="2984" t="s">
        <v>3304</v>
      </c>
      <c r="F125" s="2984" t="s">
        <v>3305</v>
      </c>
      <c r="G125" s="2984" t="s">
        <v>3306</v>
      </c>
      <c r="H125" s="582"/>
      <c r="I125" s="582"/>
      <c r="J125" s="582"/>
      <c r="K125" s="583"/>
      <c r="L125" s="584"/>
      <c r="M125" s="585"/>
      <c r="N125" s="1148"/>
      <c r="O125" s="1148"/>
      <c r="P125" s="44"/>
      <c r="Q125" s="503"/>
    </row>
    <row r="126" spans="1:17" ht="14.4"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4.4" thickTop="1">
      <c r="A127" s="598"/>
      <c r="B127" s="537">
        <f>B43</f>
        <v>111</v>
      </c>
      <c r="C127" s="553"/>
      <c r="D127" s="553"/>
      <c r="E127" s="553"/>
      <c r="F127" s="553"/>
      <c r="G127" s="553"/>
      <c r="H127" s="582"/>
      <c r="I127" s="582"/>
      <c r="J127" s="582"/>
      <c r="K127" s="583"/>
      <c r="L127" s="584"/>
      <c r="M127" s="585"/>
      <c r="N127" s="1148"/>
      <c r="O127" s="1148"/>
      <c r="P127" s="44"/>
      <c r="Q127" s="503"/>
    </row>
    <row r="128" spans="1:17" ht="14.4" thickBot="1">
      <c r="A128" s="533"/>
      <c r="B128" s="542"/>
      <c r="C128" s="559"/>
      <c r="D128" s="559"/>
      <c r="E128" s="559"/>
      <c r="F128" s="559"/>
      <c r="G128" s="535"/>
      <c r="H128" s="535"/>
      <c r="I128" s="535"/>
      <c r="J128" s="535"/>
      <c r="K128" s="535"/>
      <c r="L128" s="535"/>
      <c r="M128" s="536"/>
      <c r="N128" s="1149"/>
      <c r="O128" s="1149"/>
      <c r="P128" s="44"/>
      <c r="Q128" s="503"/>
    </row>
    <row r="129" spans="1:17" ht="14.4" thickTop="1">
      <c r="A129" s="598"/>
      <c r="B129" s="537">
        <f>B44</f>
        <v>111</v>
      </c>
      <c r="C129" s="522"/>
      <c r="D129" s="522"/>
      <c r="E129" s="522"/>
      <c r="F129" s="522"/>
      <c r="G129" s="582"/>
      <c r="H129" s="582"/>
      <c r="I129" s="582"/>
      <c r="J129" s="582"/>
      <c r="K129" s="583"/>
      <c r="L129" s="584"/>
      <c r="M129" s="585"/>
      <c r="N129" s="1148"/>
      <c r="O129" s="1148"/>
      <c r="P129" s="44"/>
      <c r="Q129" s="503"/>
    </row>
    <row r="130" spans="1:17" ht="14.4" thickBot="1">
      <c r="A130" s="533"/>
      <c r="B130" s="542"/>
      <c r="C130" s="569"/>
      <c r="D130" s="569"/>
      <c r="E130" s="569"/>
      <c r="F130" s="569"/>
      <c r="G130" s="535"/>
      <c r="H130" s="535"/>
      <c r="I130" s="535"/>
      <c r="J130" s="535"/>
      <c r="K130" s="535"/>
      <c r="L130" s="535"/>
      <c r="M130" s="536"/>
      <c r="N130" s="1149"/>
      <c r="O130" s="1149"/>
      <c r="P130" s="44"/>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45" t="s">
        <v>2645</v>
      </c>
      <c r="D4" s="3246"/>
      <c r="E4" s="3247" t="s">
        <v>2646</v>
      </c>
      <c r="F4" s="3248"/>
      <c r="G4" s="3245" t="s">
        <v>2647</v>
      </c>
      <c r="H4" s="3246"/>
      <c r="I4" s="3245" t="s">
        <v>2648</v>
      </c>
      <c r="J4" s="3246"/>
      <c r="K4" s="609" t="s">
        <v>2649</v>
      </c>
      <c r="L4" s="1126"/>
      <c r="M4" s="1127"/>
      <c r="N4" s="1127"/>
      <c r="O4" s="1127"/>
      <c r="P4" s="3283" t="s">
        <v>2650</v>
      </c>
      <c r="Q4" s="3284"/>
      <c r="R4" s="3287" t="s">
        <v>2646</v>
      </c>
      <c r="S4" s="3288"/>
      <c r="T4" s="3287" t="s">
        <v>2647</v>
      </c>
      <c r="U4" s="3288"/>
      <c r="V4" s="3262" t="s">
        <v>2648</v>
      </c>
      <c r="W4" s="3262"/>
      <c r="X4" s="1809"/>
      <c r="Y4" s="3287" t="s">
        <v>2650</v>
      </c>
      <c r="Z4" s="3288"/>
      <c r="AA4" s="3282" t="s">
        <v>2646</v>
      </c>
      <c r="AB4" s="3275" t="s">
        <v>2647</v>
      </c>
      <c r="AC4" s="3282" t="s">
        <v>2648</v>
      </c>
    </row>
    <row r="5" spans="1:29">
      <c r="A5" s="403"/>
      <c r="B5" s="404"/>
      <c r="C5" s="3271" t="s">
        <v>2541</v>
      </c>
      <c r="D5" s="3266"/>
      <c r="E5" s="3289" t="s">
        <v>2542</v>
      </c>
      <c r="F5" s="3278"/>
      <c r="G5" s="3271" t="s">
        <v>2543</v>
      </c>
      <c r="H5" s="3266"/>
      <c r="I5" s="3271" t="s">
        <v>2544</v>
      </c>
      <c r="J5" s="3266"/>
      <c r="K5" s="609"/>
      <c r="L5" s="1126"/>
      <c r="M5" s="1127"/>
      <c r="N5" s="1127"/>
      <c r="O5" s="1127"/>
      <c r="P5" s="3285"/>
      <c r="Q5" s="3252"/>
      <c r="R5" s="3257"/>
      <c r="S5" s="3258"/>
      <c r="T5" s="3257"/>
      <c r="U5" s="3258"/>
      <c r="V5" s="3262"/>
      <c r="W5" s="3262"/>
      <c r="X5" s="1809"/>
      <c r="Y5" s="3257"/>
      <c r="Z5" s="3258"/>
      <c r="AA5" s="3275"/>
      <c r="AB5" s="3275"/>
      <c r="AC5" s="3275"/>
    </row>
    <row r="6" spans="1:29" ht="15" thickBot="1">
      <c r="A6" s="405"/>
      <c r="B6" s="406"/>
      <c r="C6" s="3317" t="s">
        <v>2796</v>
      </c>
      <c r="D6" s="3318"/>
      <c r="E6" s="3319" t="s">
        <v>2796</v>
      </c>
      <c r="F6" s="3320"/>
      <c r="G6" s="3317" t="s">
        <v>2796</v>
      </c>
      <c r="H6" s="3318"/>
      <c r="I6" s="3317" t="s">
        <v>2796</v>
      </c>
      <c r="J6" s="3318"/>
      <c r="K6" s="609" t="s">
        <v>2546</v>
      </c>
      <c r="L6" s="1126"/>
      <c r="M6" s="1127"/>
      <c r="N6" s="1127"/>
      <c r="O6" s="1127"/>
      <c r="P6" s="3286"/>
      <c r="Q6" s="3254"/>
      <c r="R6" s="3257"/>
      <c r="S6" s="3258"/>
      <c r="T6" s="3259"/>
      <c r="U6" s="3260"/>
      <c r="V6" s="3262"/>
      <c r="W6" s="3262"/>
      <c r="X6" s="1809"/>
      <c r="Y6" s="3259"/>
      <c r="Z6" s="3260"/>
      <c r="AA6" s="3276"/>
      <c r="AB6" s="3276"/>
      <c r="AC6" s="3276"/>
    </row>
    <row r="7" spans="1:29" s="116" customFormat="1" ht="15" thickBot="1">
      <c r="A7" s="407" t="s">
        <v>2547</v>
      </c>
      <c r="B7" s="408"/>
      <c r="C7" s="409">
        <f>'数据-取费表'!B2</f>
        <v>43227</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69" t="s">
        <v>2548</v>
      </c>
      <c r="Q7" s="3270"/>
      <c r="R7" s="769" t="s">
        <v>17</v>
      </c>
      <c r="S7" s="770">
        <f t="shared" ref="S7:S15" si="0">F7</f>
        <v>0</v>
      </c>
      <c r="T7" s="769" t="s">
        <v>17</v>
      </c>
      <c r="U7" s="770">
        <f t="shared" ref="U7:U15" si="1">H7</f>
        <v>0</v>
      </c>
      <c r="V7" s="769" t="s">
        <v>17</v>
      </c>
      <c r="W7" s="770">
        <f t="shared" ref="W7:W15" si="2">J7</f>
        <v>0</v>
      </c>
      <c r="X7" s="771"/>
      <c r="Y7" s="3269" t="s">
        <v>2548</v>
      </c>
      <c r="Z7" s="3268"/>
      <c r="AA7" s="772" t="e">
        <f>D7/F7</f>
        <v>#DIV/0!</v>
      </c>
      <c r="AB7" s="772" t="e">
        <f>D7/H7</f>
        <v>#DIV/0!</v>
      </c>
      <c r="AC7" s="772" t="e">
        <f>D7/J7</f>
        <v>#DIV/0!</v>
      </c>
    </row>
    <row r="8" spans="1:29" s="116"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69" t="s">
        <v>2551</v>
      </c>
      <c r="Q8" s="3268"/>
      <c r="R8" s="769" t="s">
        <v>17</v>
      </c>
      <c r="S8" s="770">
        <f t="shared" si="0"/>
        <v>0</v>
      </c>
      <c r="T8" s="769" t="s">
        <v>17</v>
      </c>
      <c r="U8" s="770">
        <f t="shared" si="1"/>
        <v>0</v>
      </c>
      <c r="V8" s="769" t="s">
        <v>17</v>
      </c>
      <c r="W8" s="770">
        <f t="shared" si="2"/>
        <v>0</v>
      </c>
      <c r="X8" s="771"/>
      <c r="Y8" s="3269" t="s">
        <v>2551</v>
      </c>
      <c r="Z8" s="3268"/>
      <c r="AA8" s="772" t="e">
        <f t="shared" ref="AA8:AA40" si="3">D8/F8</f>
        <v>#DIV/0!</v>
      </c>
      <c r="AB8" s="772" t="e">
        <f t="shared" ref="AB8:AB40" si="4">D8/H8</f>
        <v>#DIV/0!</v>
      </c>
      <c r="AC8" s="772" t="e">
        <f t="shared" ref="AC8:AC40" si="5">D8/J8</f>
        <v>#DIV/0!</v>
      </c>
    </row>
    <row r="9" spans="1:29" s="116" customFormat="1" ht="14.4">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28" t="s">
        <v>2554</v>
      </c>
      <c r="Q9" s="1791" t="str">
        <f t="shared" ref="Q9:Q15" si="6">B9</f>
        <v>用途</v>
      </c>
      <c r="R9" s="769" t="s">
        <v>17</v>
      </c>
      <c r="S9" s="770">
        <f t="shared" si="0"/>
        <v>100</v>
      </c>
      <c r="T9" s="769" t="s">
        <v>17</v>
      </c>
      <c r="U9" s="770">
        <f t="shared" si="1"/>
        <v>100</v>
      </c>
      <c r="V9" s="769" t="s">
        <v>17</v>
      </c>
      <c r="W9" s="770">
        <f t="shared" si="2"/>
        <v>100</v>
      </c>
      <c r="X9" s="771"/>
      <c r="Y9" s="3077" t="s">
        <v>2555</v>
      </c>
      <c r="Z9" s="54" t="str">
        <f t="shared" ref="Z9:Z15" si="7">Q9</f>
        <v>用途</v>
      </c>
      <c r="AA9" s="772">
        <f t="shared" si="3"/>
        <v>1</v>
      </c>
      <c r="AB9" s="772">
        <f t="shared" si="4"/>
        <v>1</v>
      </c>
      <c r="AC9" s="772">
        <f t="shared" si="5"/>
        <v>1</v>
      </c>
    </row>
    <row r="10" spans="1:29" s="426" customFormat="1" ht="28.8">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28"/>
      <c r="Q10" s="1791" t="str">
        <f t="shared" si="6"/>
        <v>土地使用年限（年）</v>
      </c>
      <c r="R10" s="769" t="s">
        <v>17</v>
      </c>
      <c r="S10" s="770">
        <f t="shared" si="0"/>
        <v>102</v>
      </c>
      <c r="T10" s="769" t="s">
        <v>17</v>
      </c>
      <c r="U10" s="770">
        <f t="shared" si="1"/>
        <v>102</v>
      </c>
      <c r="V10" s="769" t="s">
        <v>17</v>
      </c>
      <c r="W10" s="770">
        <f t="shared" si="2"/>
        <v>102</v>
      </c>
      <c r="X10" s="771"/>
      <c r="Y10" s="3077"/>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28"/>
      <c r="Q11" s="1791" t="str">
        <f t="shared" si="6"/>
        <v>容积率</v>
      </c>
      <c r="R11" s="769" t="s">
        <v>17</v>
      </c>
      <c r="S11" s="770" t="e">
        <f t="shared" si="0"/>
        <v>#N/A</v>
      </c>
      <c r="T11" s="769" t="s">
        <v>17</v>
      </c>
      <c r="U11" s="770" t="e">
        <f t="shared" si="1"/>
        <v>#N/A</v>
      </c>
      <c r="V11" s="769" t="s">
        <v>17</v>
      </c>
      <c r="W11" s="770" t="e">
        <f t="shared" si="2"/>
        <v>#N/A</v>
      </c>
      <c r="X11" s="771"/>
      <c r="Y11" s="3077"/>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28"/>
      <c r="Q12" s="1791">
        <f t="shared" si="6"/>
        <v>111</v>
      </c>
      <c r="R12" s="769" t="s">
        <v>17</v>
      </c>
      <c r="S12" s="770">
        <f t="shared" si="0"/>
        <v>100</v>
      </c>
      <c r="T12" s="769" t="s">
        <v>17</v>
      </c>
      <c r="U12" s="770">
        <f t="shared" si="1"/>
        <v>100</v>
      </c>
      <c r="V12" s="769" t="s">
        <v>17</v>
      </c>
      <c r="W12" s="770">
        <f t="shared" si="2"/>
        <v>100</v>
      </c>
      <c r="X12" s="771"/>
      <c r="Y12" s="3077"/>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28"/>
      <c r="Q13" s="1791">
        <f t="shared" si="6"/>
        <v>111</v>
      </c>
      <c r="R13" s="769" t="s">
        <v>17</v>
      </c>
      <c r="S13" s="770">
        <f t="shared" si="0"/>
        <v>100</v>
      </c>
      <c r="T13" s="769" t="s">
        <v>17</v>
      </c>
      <c r="U13" s="770">
        <f t="shared" si="1"/>
        <v>100</v>
      </c>
      <c r="V13" s="769" t="s">
        <v>17</v>
      </c>
      <c r="W13" s="770">
        <f t="shared" si="2"/>
        <v>100</v>
      </c>
      <c r="X13" s="771"/>
      <c r="Y13" s="3077"/>
      <c r="Z13" s="54">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28"/>
      <c r="Q14" s="1791">
        <f t="shared" si="6"/>
        <v>111</v>
      </c>
      <c r="R14" s="769" t="s">
        <v>17</v>
      </c>
      <c r="S14" s="770">
        <f t="shared" si="0"/>
        <v>100</v>
      </c>
      <c r="T14" s="769" t="s">
        <v>17</v>
      </c>
      <c r="U14" s="770">
        <f t="shared" si="1"/>
        <v>100</v>
      </c>
      <c r="V14" s="769" t="s">
        <v>17</v>
      </c>
      <c r="W14" s="770">
        <f t="shared" si="2"/>
        <v>100</v>
      </c>
      <c r="X14" s="771"/>
      <c r="Y14" s="3077"/>
      <c r="Z14" s="54">
        <f t="shared" si="7"/>
        <v>111</v>
      </c>
      <c r="AA14" s="772">
        <f t="shared" si="3"/>
        <v>1</v>
      </c>
      <c r="AB14" s="772">
        <f t="shared" si="4"/>
        <v>1</v>
      </c>
      <c r="AC14" s="772">
        <f t="shared" si="5"/>
        <v>1</v>
      </c>
    </row>
    <row r="15" spans="1:29" ht="69">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35" t="s">
        <v>2559</v>
      </c>
      <c r="Q15" s="1806" t="str">
        <f t="shared" si="6"/>
        <v>产业集聚程度</v>
      </c>
      <c r="R15" s="773" t="s">
        <v>17</v>
      </c>
      <c r="S15" s="774">
        <f t="shared" si="0"/>
        <v>100</v>
      </c>
      <c r="T15" s="773" t="s">
        <v>17</v>
      </c>
      <c r="U15" s="774">
        <f t="shared" si="1"/>
        <v>100</v>
      </c>
      <c r="V15" s="773" t="s">
        <v>17</v>
      </c>
      <c r="W15" s="774">
        <f t="shared" si="2"/>
        <v>100</v>
      </c>
      <c r="X15" s="1809"/>
      <c r="Y15" s="3235"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36"/>
      <c r="Q16" s="1806"/>
      <c r="R16" s="773"/>
      <c r="S16" s="774"/>
      <c r="T16" s="773"/>
      <c r="U16" s="774"/>
      <c r="V16" s="773"/>
      <c r="W16" s="774"/>
      <c r="X16" s="1809"/>
      <c r="Y16" s="3236"/>
      <c r="Z16" s="1810"/>
      <c r="AA16" s="1807">
        <v>1</v>
      </c>
      <c r="AB16" s="1807">
        <v>1</v>
      </c>
      <c r="AC16" s="1807">
        <v>1</v>
      </c>
    </row>
    <row r="17" spans="1:29" ht="96.6">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36"/>
      <c r="Q17" s="1806" t="str">
        <f>B17</f>
        <v>交通便捷度</v>
      </c>
      <c r="R17" s="773" t="s">
        <v>17</v>
      </c>
      <c r="S17" s="774">
        <f>F17</f>
        <v>100</v>
      </c>
      <c r="T17" s="773" t="s">
        <v>17</v>
      </c>
      <c r="U17" s="774">
        <f>H17</f>
        <v>100</v>
      </c>
      <c r="V17" s="773" t="s">
        <v>17</v>
      </c>
      <c r="W17" s="774">
        <f>J17</f>
        <v>100</v>
      </c>
      <c r="X17" s="1809"/>
      <c r="Y17" s="3236"/>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36"/>
      <c r="Q18" s="1806"/>
      <c r="R18" s="773"/>
      <c r="S18" s="774"/>
      <c r="T18" s="773"/>
      <c r="U18" s="774"/>
      <c r="V18" s="773"/>
      <c r="W18" s="774"/>
      <c r="X18" s="1809"/>
      <c r="Y18" s="3236"/>
      <c r="Z18" s="1810"/>
      <c r="AA18" s="1807">
        <v>1</v>
      </c>
      <c r="AB18" s="1807">
        <v>1</v>
      </c>
      <c r="AC18" s="1807">
        <v>1</v>
      </c>
    </row>
    <row r="19" spans="1:29" ht="28.8">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36"/>
      <c r="Q19" s="1806" t="str">
        <f t="shared" ref="Q19:Q33" si="8">B19</f>
        <v>区域土地利用方向</v>
      </c>
      <c r="R19" s="773" t="s">
        <v>17</v>
      </c>
      <c r="S19" s="774">
        <f>F19</f>
        <v>100</v>
      </c>
      <c r="T19" s="773" t="s">
        <v>17</v>
      </c>
      <c r="U19" s="774">
        <f>H19</f>
        <v>100</v>
      </c>
      <c r="V19" s="773" t="s">
        <v>17</v>
      </c>
      <c r="W19" s="774">
        <f>J19</f>
        <v>100</v>
      </c>
      <c r="X19" s="1809"/>
      <c r="Y19" s="3236"/>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36"/>
      <c r="Q20" s="1806"/>
      <c r="R20" s="773"/>
      <c r="S20" s="774"/>
      <c r="T20" s="773"/>
      <c r="U20" s="774"/>
      <c r="V20" s="773"/>
      <c r="W20" s="774"/>
      <c r="X20" s="1809"/>
      <c r="Y20" s="3236"/>
      <c r="Z20" s="1810"/>
      <c r="AA20" s="1807"/>
      <c r="AB20" s="1807"/>
      <c r="AC20" s="1807"/>
    </row>
    <row r="21" spans="1:29" ht="82.8">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36"/>
      <c r="Q21" s="1806" t="str">
        <f t="shared" si="8"/>
        <v>环境状况</v>
      </c>
      <c r="R21" s="773" t="s">
        <v>17</v>
      </c>
      <c r="S21" s="774">
        <f>F21</f>
        <v>100</v>
      </c>
      <c r="T21" s="773" t="s">
        <v>17</v>
      </c>
      <c r="U21" s="774">
        <f>H21</f>
        <v>100</v>
      </c>
      <c r="V21" s="773" t="s">
        <v>17</v>
      </c>
      <c r="W21" s="774">
        <f>J21</f>
        <v>100</v>
      </c>
      <c r="X21" s="1809"/>
      <c r="Y21" s="3236"/>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36"/>
      <c r="Q22" s="1806"/>
      <c r="R22" s="773"/>
      <c r="S22" s="774"/>
      <c r="T22" s="773"/>
      <c r="U22" s="774"/>
      <c r="V22" s="773"/>
      <c r="W22" s="774"/>
      <c r="X22" s="1809"/>
      <c r="Y22" s="3236"/>
      <c r="Z22" s="1810"/>
      <c r="AA22" s="1807">
        <v>1</v>
      </c>
      <c r="AB22" s="1807">
        <v>1</v>
      </c>
      <c r="AC22" s="1807">
        <v>1</v>
      </c>
    </row>
    <row r="23" spans="1:29" s="116" customFormat="1" ht="41.4">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36"/>
      <c r="Q23" s="1791" t="str">
        <f t="shared" si="8"/>
        <v>公共配套设施</v>
      </c>
      <c r="R23" s="769" t="s">
        <v>17</v>
      </c>
      <c r="S23" s="770">
        <f>F23</f>
        <v>100</v>
      </c>
      <c r="T23" s="769" t="s">
        <v>17</v>
      </c>
      <c r="U23" s="770">
        <f>H23</f>
        <v>100</v>
      </c>
      <c r="V23" s="769" t="s">
        <v>17</v>
      </c>
      <c r="W23" s="770">
        <f>J23</f>
        <v>100</v>
      </c>
      <c r="X23" s="771"/>
      <c r="Y23" s="3236"/>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36"/>
      <c r="Q24" s="1791"/>
      <c r="R24" s="769"/>
      <c r="S24" s="770"/>
      <c r="T24" s="769"/>
      <c r="U24" s="770"/>
      <c r="V24" s="769"/>
      <c r="W24" s="770"/>
      <c r="X24" s="771"/>
      <c r="Y24" s="3236"/>
      <c r="Z24" s="54"/>
      <c r="AA24" s="772">
        <v>1</v>
      </c>
      <c r="AB24" s="772">
        <v>1</v>
      </c>
      <c r="AC24" s="772">
        <v>1</v>
      </c>
    </row>
    <row r="25" spans="1:29" s="116" customFormat="1" ht="41.4">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36"/>
      <c r="Q25" s="1791" t="str">
        <f t="shared" ref="Q25" si="9">B25</f>
        <v>基础设施水平</v>
      </c>
      <c r="R25" s="769" t="s">
        <v>17</v>
      </c>
      <c r="S25" s="770">
        <f>F25</f>
        <v>100</v>
      </c>
      <c r="T25" s="769" t="s">
        <v>17</v>
      </c>
      <c r="U25" s="770">
        <f>H25</f>
        <v>100</v>
      </c>
      <c r="V25" s="769" t="s">
        <v>17</v>
      </c>
      <c r="W25" s="770">
        <f>J25</f>
        <v>100</v>
      </c>
      <c r="X25" s="771"/>
      <c r="Y25" s="3236"/>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36"/>
      <c r="Q26" s="1791"/>
      <c r="R26" s="769"/>
      <c r="S26" s="770"/>
      <c r="T26" s="769"/>
      <c r="U26" s="770"/>
      <c r="V26" s="769"/>
      <c r="W26" s="770"/>
      <c r="X26" s="771"/>
      <c r="Y26" s="3236"/>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3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36"/>
      <c r="Z27" s="1810" t="str">
        <f t="shared" ref="Z27:Z40" si="13">Q27</f>
        <v>临街状况</v>
      </c>
      <c r="AA27" s="1807">
        <f t="shared" si="3"/>
        <v>1</v>
      </c>
      <c r="AB27" s="1807">
        <f t="shared" si="4"/>
        <v>1</v>
      </c>
      <c r="AC27" s="1807">
        <f t="shared" si="5"/>
        <v>1</v>
      </c>
    </row>
    <row r="28" spans="1:29" ht="28.8">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36"/>
      <c r="Q28" s="1806" t="str">
        <f t="shared" si="8"/>
        <v>毗邻道路的类型与等级</v>
      </c>
      <c r="R28" s="773" t="s">
        <v>17</v>
      </c>
      <c r="S28" s="774">
        <f t="shared" si="10"/>
        <v>100</v>
      </c>
      <c r="T28" s="773" t="s">
        <v>17</v>
      </c>
      <c r="U28" s="774">
        <f t="shared" si="11"/>
        <v>100</v>
      </c>
      <c r="V28" s="773" t="s">
        <v>17</v>
      </c>
      <c r="W28" s="774">
        <f t="shared" si="12"/>
        <v>100</v>
      </c>
      <c r="X28" s="1809"/>
      <c r="Y28" s="3236"/>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36"/>
      <c r="Q29" s="1806"/>
      <c r="R29" s="773"/>
      <c r="S29" s="774"/>
      <c r="T29" s="773"/>
      <c r="U29" s="774"/>
      <c r="V29" s="773"/>
      <c r="W29" s="774"/>
      <c r="X29" s="1809"/>
      <c r="Y29" s="3236"/>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36"/>
      <c r="Q30" s="1806" t="str">
        <f t="shared" si="8"/>
        <v>土地级别</v>
      </c>
      <c r="R30" s="773" t="s">
        <v>17</v>
      </c>
      <c r="S30" s="774">
        <f t="shared" si="10"/>
        <v>100</v>
      </c>
      <c r="T30" s="773" t="s">
        <v>17</v>
      </c>
      <c r="U30" s="774">
        <f t="shared" si="11"/>
        <v>100</v>
      </c>
      <c r="V30" s="773" t="s">
        <v>17</v>
      </c>
      <c r="W30" s="774">
        <f t="shared" si="12"/>
        <v>100</v>
      </c>
      <c r="X30" s="1809"/>
      <c r="Y30" s="3236"/>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36"/>
      <c r="Q31" s="1806">
        <f t="shared" si="8"/>
        <v>111</v>
      </c>
      <c r="R31" s="773" t="s">
        <v>17</v>
      </c>
      <c r="S31" s="774">
        <f t="shared" si="10"/>
        <v>100</v>
      </c>
      <c r="T31" s="773" t="s">
        <v>17</v>
      </c>
      <c r="U31" s="774">
        <f t="shared" si="11"/>
        <v>100</v>
      </c>
      <c r="V31" s="773" t="s">
        <v>17</v>
      </c>
      <c r="W31" s="774">
        <f t="shared" si="12"/>
        <v>100</v>
      </c>
      <c r="X31" s="1809"/>
      <c r="Y31" s="3236"/>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12" t="s">
        <v>2564</v>
      </c>
      <c r="Q32" s="1806">
        <f t="shared" si="8"/>
        <v>111</v>
      </c>
      <c r="R32" s="773" t="s">
        <v>17</v>
      </c>
      <c r="S32" s="774">
        <f t="shared" si="10"/>
        <v>100</v>
      </c>
      <c r="T32" s="773" t="s">
        <v>17</v>
      </c>
      <c r="U32" s="774">
        <f t="shared" si="11"/>
        <v>100</v>
      </c>
      <c r="V32" s="773" t="s">
        <v>17</v>
      </c>
      <c r="W32" s="774">
        <f t="shared" si="12"/>
        <v>100</v>
      </c>
      <c r="X32" s="1809"/>
      <c r="Y32" s="3240" t="s">
        <v>2564</v>
      </c>
      <c r="Z32" s="1810">
        <f t="shared" si="13"/>
        <v>111</v>
      </c>
      <c r="AA32" s="1807">
        <f t="shared" si="3"/>
        <v>1</v>
      </c>
      <c r="AB32" s="1807">
        <f t="shared" si="4"/>
        <v>1</v>
      </c>
      <c r="AC32" s="1807">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40"/>
      <c r="Q33" s="1806">
        <f t="shared" si="8"/>
        <v>111</v>
      </c>
      <c r="R33" s="776" t="s">
        <v>17</v>
      </c>
      <c r="S33" s="777">
        <f t="shared" si="10"/>
        <v>100</v>
      </c>
      <c r="T33" s="776" t="s">
        <v>17</v>
      </c>
      <c r="U33" s="777">
        <f t="shared" si="11"/>
        <v>100</v>
      </c>
      <c r="V33" s="776" t="s">
        <v>17</v>
      </c>
      <c r="W33" s="777">
        <f t="shared" si="12"/>
        <v>100</v>
      </c>
      <c r="X33" s="778"/>
      <c r="Y33" s="3240"/>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40"/>
      <c r="Q34" s="1806" t="str">
        <f>B34</f>
        <v>宗地面积</v>
      </c>
      <c r="R34" s="773" t="s">
        <v>17</v>
      </c>
      <c r="S34" s="774" t="e">
        <f t="shared" si="10"/>
        <v>#N/A</v>
      </c>
      <c r="T34" s="773" t="s">
        <v>17</v>
      </c>
      <c r="U34" s="774" t="e">
        <f t="shared" si="11"/>
        <v>#N/A</v>
      </c>
      <c r="V34" s="773" t="s">
        <v>17</v>
      </c>
      <c r="W34" s="774" t="e">
        <f t="shared" si="12"/>
        <v>#N/A</v>
      </c>
      <c r="X34" s="1809"/>
      <c r="Y34" s="3240"/>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40"/>
      <c r="Q35" s="1806" t="str">
        <f t="shared" ref="Q35:Q40" si="14">B35</f>
        <v>宗地形状</v>
      </c>
      <c r="R35" s="773" t="s">
        <v>17</v>
      </c>
      <c r="S35" s="774">
        <f t="shared" si="10"/>
        <v>100</v>
      </c>
      <c r="T35" s="773" t="s">
        <v>17</v>
      </c>
      <c r="U35" s="774">
        <f t="shared" si="11"/>
        <v>100</v>
      </c>
      <c r="V35" s="773" t="s">
        <v>17</v>
      </c>
      <c r="W35" s="774">
        <f t="shared" si="12"/>
        <v>100</v>
      </c>
      <c r="X35" s="1809"/>
      <c r="Y35" s="3240"/>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40"/>
      <c r="Q36" s="1806" t="str">
        <f t="shared" si="14"/>
        <v>宗地开发程度</v>
      </c>
      <c r="R36" s="769" t="s">
        <v>17</v>
      </c>
      <c r="S36" s="770">
        <f t="shared" si="10"/>
        <v>100</v>
      </c>
      <c r="T36" s="769" t="s">
        <v>17</v>
      </c>
      <c r="U36" s="770">
        <f t="shared" si="11"/>
        <v>100</v>
      </c>
      <c r="V36" s="769" t="s">
        <v>17</v>
      </c>
      <c r="W36" s="770">
        <f t="shared" si="12"/>
        <v>100</v>
      </c>
      <c r="X36" s="771"/>
      <c r="Y36" s="3240"/>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40" t="s">
        <v>2564</v>
      </c>
      <c r="Q37" s="1806" t="str">
        <f t="shared" si="14"/>
        <v>工程地质条件</v>
      </c>
      <c r="R37" s="773" t="s">
        <v>17</v>
      </c>
      <c r="S37" s="774">
        <f t="shared" si="10"/>
        <v>100</v>
      </c>
      <c r="T37" s="773" t="s">
        <v>17</v>
      </c>
      <c r="U37" s="774">
        <f t="shared" si="11"/>
        <v>100</v>
      </c>
      <c r="V37" s="773" t="s">
        <v>17</v>
      </c>
      <c r="W37" s="774">
        <f t="shared" si="12"/>
        <v>100</v>
      </c>
      <c r="X37" s="1809"/>
      <c r="Y37" s="3240"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40"/>
      <c r="Q38" s="1806">
        <f t="shared" si="14"/>
        <v>111</v>
      </c>
      <c r="R38" s="773" t="s">
        <v>17</v>
      </c>
      <c r="S38" s="774">
        <f t="shared" si="10"/>
        <v>100</v>
      </c>
      <c r="T38" s="773" t="s">
        <v>17</v>
      </c>
      <c r="U38" s="774">
        <f t="shared" si="11"/>
        <v>100</v>
      </c>
      <c r="V38" s="773" t="s">
        <v>17</v>
      </c>
      <c r="W38" s="774">
        <f t="shared" si="12"/>
        <v>100</v>
      </c>
      <c r="X38" s="1809"/>
      <c r="Y38" s="3240"/>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40"/>
      <c r="Q39" s="1806">
        <f t="shared" si="14"/>
        <v>111</v>
      </c>
      <c r="R39" s="773" t="s">
        <v>17</v>
      </c>
      <c r="S39" s="774">
        <f t="shared" si="10"/>
        <v>100</v>
      </c>
      <c r="T39" s="773" t="s">
        <v>17</v>
      </c>
      <c r="U39" s="774">
        <f t="shared" si="11"/>
        <v>100</v>
      </c>
      <c r="V39" s="773" t="s">
        <v>17</v>
      </c>
      <c r="W39" s="774">
        <f t="shared" si="12"/>
        <v>100</v>
      </c>
      <c r="X39" s="1809"/>
      <c r="Y39" s="3240"/>
      <c r="Z39" s="1810">
        <f t="shared" si="13"/>
        <v>111</v>
      </c>
      <c r="AA39" s="1807">
        <f t="shared" si="3"/>
        <v>1</v>
      </c>
      <c r="AB39" s="1807">
        <f t="shared" si="4"/>
        <v>1</v>
      </c>
      <c r="AC39" s="1807">
        <f t="shared" si="5"/>
        <v>1</v>
      </c>
    </row>
    <row r="40" spans="1:29" s="470" customFormat="1" ht="15.6"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40"/>
      <c r="Q40" s="1806">
        <f t="shared" si="14"/>
        <v>111</v>
      </c>
      <c r="R40" s="776" t="s">
        <v>17</v>
      </c>
      <c r="S40" s="777">
        <f t="shared" si="10"/>
        <v>100</v>
      </c>
      <c r="T40" s="776" t="s">
        <v>17</v>
      </c>
      <c r="U40" s="777">
        <f t="shared" si="11"/>
        <v>100</v>
      </c>
      <c r="V40" s="776" t="s">
        <v>17</v>
      </c>
      <c r="W40" s="777">
        <f t="shared" si="12"/>
        <v>100</v>
      </c>
      <c r="X40" s="778"/>
      <c r="Y40" s="3240"/>
      <c r="Z40" s="779">
        <f t="shared" si="13"/>
        <v>111</v>
      </c>
      <c r="AA40" s="1807">
        <f t="shared" si="3"/>
        <v>1</v>
      </c>
      <c r="AB40" s="1807">
        <f t="shared" si="4"/>
        <v>1</v>
      </c>
      <c r="AC40" s="1807">
        <f t="shared" si="5"/>
        <v>1</v>
      </c>
    </row>
    <row r="41" spans="1:29" ht="14.4">
      <c r="A41" s="478" t="s">
        <v>2719</v>
      </c>
      <c r="B41" s="2697" t="s">
        <v>2799</v>
      </c>
      <c r="C41" s="681" t="s">
        <v>1</v>
      </c>
      <c r="D41" s="480"/>
      <c r="E41" s="481"/>
      <c r="F41" s="482"/>
      <c r="G41" s="483"/>
      <c r="H41" s="484"/>
      <c r="I41" s="481"/>
      <c r="J41" s="484"/>
      <c r="K41" s="782"/>
      <c r="L41" s="1139"/>
      <c r="M41" s="1127"/>
      <c r="N41" s="1127"/>
      <c r="O41" s="1140"/>
      <c r="P41" s="3228" t="str">
        <f>A41</f>
        <v>成交单价</v>
      </c>
      <c r="Q41" s="3228"/>
      <c r="R41" s="3262">
        <f>E41</f>
        <v>0</v>
      </c>
      <c r="S41" s="3262"/>
      <c r="T41" s="3262">
        <f>G41</f>
        <v>0</v>
      </c>
      <c r="U41" s="3262"/>
      <c r="V41" s="3262">
        <f>I41</f>
        <v>0</v>
      </c>
      <c r="W41" s="3262"/>
      <c r="X41" s="758"/>
      <c r="Y41" s="780"/>
      <c r="Z41" s="758"/>
      <c r="AA41" s="758"/>
      <c r="AB41" s="758"/>
      <c r="AC41" s="758"/>
    </row>
    <row r="42" spans="1:29" ht="1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28" t="str">
        <f>A42</f>
        <v>比较价值（元/平方米）</v>
      </c>
      <c r="Q42" s="3228"/>
      <c r="R42" s="3313" t="e">
        <f>ROUND(PRODUCT(R41,AA7:AA40),0)</f>
        <v>#DIV/0!</v>
      </c>
      <c r="S42" s="3313"/>
      <c r="T42" s="3313" t="e">
        <f>ROUND(PRODUCT(T41,AB7:AB40),0)</f>
        <v>#DIV/0!</v>
      </c>
      <c r="U42" s="3313"/>
      <c r="V42" s="3313" t="e">
        <f>ROUND(PRODUCT(V41,AC7:AC40),0)</f>
        <v>#DIV/0!</v>
      </c>
      <c r="W42" s="3313"/>
      <c r="X42" s="758"/>
      <c r="Y42" s="758"/>
      <c r="Z42" s="758"/>
      <c r="AA42" s="758"/>
      <c r="AB42" s="758"/>
      <c r="AC42" s="758"/>
    </row>
    <row r="43" spans="1:29" ht="15" thickBot="1">
      <c r="A43" s="491" t="s">
        <v>2669</v>
      </c>
      <c r="B43" s="492"/>
      <c r="C43" s="493" t="e">
        <f>R43</f>
        <v>#DIV/0!</v>
      </c>
      <c r="D43" s="493"/>
      <c r="E43" s="493"/>
      <c r="F43" s="493"/>
      <c r="G43" s="493"/>
      <c r="H43" s="493"/>
      <c r="I43" s="493"/>
      <c r="J43" s="493"/>
      <c r="K43" s="784"/>
      <c r="L43" s="1139"/>
      <c r="M43" s="1127"/>
      <c r="N43" s="1127"/>
      <c r="O43" s="1140"/>
      <c r="P43" s="3279" t="str">
        <f>A43</f>
        <v>估价对象XX用房的比较价值（楼面单价，元/平方米）</v>
      </c>
      <c r="Q43" s="3280"/>
      <c r="R43" s="3314" t="e">
        <f>ROUND(AVERAGE(R42:V42),0)</f>
        <v>#DIV/0!</v>
      </c>
      <c r="S43" s="3314"/>
      <c r="T43" s="3314"/>
      <c r="U43" s="3314"/>
      <c r="V43" s="3314"/>
      <c r="W43" s="3314"/>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1"/>
      <c r="D49" s="759"/>
      <c r="E49" s="759"/>
      <c r="F49" s="759"/>
      <c r="G49" s="759"/>
      <c r="H49" s="759"/>
      <c r="I49" s="759"/>
      <c r="J49" s="759"/>
      <c r="K49" s="1144"/>
      <c r="L49" s="1145"/>
      <c r="M49" s="1141"/>
      <c r="N49" s="1141"/>
      <c r="O49" s="1141"/>
    </row>
    <row r="50" spans="1:17" ht="28.8">
      <c r="A50" s="683" t="s">
        <v>2757</v>
      </c>
      <c r="B50" s="684" t="s">
        <v>2758</v>
      </c>
      <c r="C50" s="2698" t="s">
        <v>2759</v>
      </c>
      <c r="D50" s="2699" t="s">
        <v>2760</v>
      </c>
      <c r="E50" s="685" t="s">
        <v>2761</v>
      </c>
      <c r="F50" s="686" t="s">
        <v>2762</v>
      </c>
      <c r="G50" s="3245" t="s">
        <v>2763</v>
      </c>
      <c r="H50" s="3315"/>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23213.510000000002</v>
      </c>
      <c r="F51" s="690" t="e">
        <f t="shared" ref="F51:F60" si="15">ROUND(B51*E51/10000,0)</f>
        <v>#DIV/0!</v>
      </c>
      <c r="G51" s="3227"/>
      <c r="H51" s="3228"/>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16"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16"/>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16"/>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16"/>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4.4" thickBot="1">
      <c r="A60" s="692" t="s">
        <v>2779</v>
      </c>
      <c r="B60" s="261" t="e">
        <f t="shared" si="17"/>
        <v>#DIV/0!</v>
      </c>
      <c r="C60" s="199">
        <f t="shared" si="16"/>
        <v>0.15</v>
      </c>
      <c r="D60" s="1160">
        <v>0.25</v>
      </c>
      <c r="E60" s="260">
        <f>'数据-汇总表'!E15</f>
        <v>4184.2899999999991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4.4" thickBot="1">
      <c r="A61" s="694" t="s">
        <v>2780</v>
      </c>
      <c r="B61" s="695" t="s">
        <v>28</v>
      </c>
      <c r="C61" s="695" t="s">
        <v>29</v>
      </c>
      <c r="D61" s="695" t="s">
        <v>1029</v>
      </c>
      <c r="E61" s="695">
        <f>IF(B41="楼面地价",SUM(E51:E60),'数据-汇总表'!D3)</f>
        <v>4737.3500000000004</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2.2" thickBot="1">
      <c r="A64" s="762" t="s">
        <v>2673</v>
      </c>
      <c r="B64" s="758"/>
      <c r="C64" s="763"/>
      <c r="D64" s="763"/>
      <c r="E64" s="763"/>
      <c r="F64" s="764"/>
      <c r="G64" s="764"/>
      <c r="H64" s="763"/>
      <c r="I64" s="763"/>
      <c r="J64" s="763"/>
      <c r="K64" s="765"/>
      <c r="L64" s="766"/>
      <c r="M64" s="763"/>
      <c r="N64" s="763"/>
      <c r="O64" s="1155"/>
      <c r="P64" s="502"/>
      <c r="Q64" s="503"/>
    </row>
    <row r="65" spans="1:17" s="507" customFormat="1" ht="14.4">
      <c r="A65" s="2704" t="s">
        <v>2781</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9"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 thickBot="1">
      <c r="A67" s="514" t="s">
        <v>2584</v>
      </c>
      <c r="B67" s="515"/>
      <c r="C67" s="516"/>
      <c r="D67" s="517"/>
      <c r="E67" s="517"/>
      <c r="F67" s="517"/>
      <c r="G67" s="517"/>
      <c r="H67" s="517"/>
      <c r="I67" s="517"/>
      <c r="J67" s="517"/>
      <c r="K67" s="517"/>
      <c r="L67" s="517"/>
      <c r="M67" s="518"/>
      <c r="N67" s="518"/>
      <c r="O67" s="519"/>
      <c r="P67" s="503"/>
      <c r="Q67" s="503"/>
    </row>
    <row r="68" spans="1:17" s="116" customFormat="1" ht="14.4">
      <c r="A68" s="520" t="s">
        <v>2549</v>
      </c>
      <c r="B68" s="509"/>
      <c r="C68" s="521" t="s">
        <v>2651</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2587</v>
      </c>
      <c r="B70" s="527" t="s">
        <v>2553</v>
      </c>
      <c r="C70" s="529"/>
      <c r="D70" s="529"/>
      <c r="E70" s="529"/>
      <c r="F70" s="529"/>
      <c r="G70" s="529"/>
      <c r="H70" s="529"/>
      <c r="I70" s="529"/>
      <c r="J70" s="529"/>
      <c r="K70" s="530"/>
      <c r="L70" s="531"/>
      <c r="M70" s="532"/>
      <c r="N70" s="1148"/>
      <c r="O70" s="1148"/>
      <c r="P70" s="44"/>
      <c r="Q70" s="503"/>
    </row>
    <row r="71" spans="1:17" ht="14.4" thickBot="1">
      <c r="A71" s="533"/>
      <c r="B71" s="534"/>
      <c r="C71" s="535"/>
      <c r="D71" s="535"/>
      <c r="E71" s="535"/>
      <c r="F71" s="535"/>
      <c r="G71" s="535"/>
      <c r="H71" s="535"/>
      <c r="I71" s="535"/>
      <c r="J71" s="535"/>
      <c r="K71" s="535"/>
      <c r="L71" s="535"/>
      <c r="M71" s="536"/>
      <c r="N71" s="1149"/>
      <c r="O71" s="1149"/>
      <c r="P71" s="44"/>
      <c r="Q71" s="503"/>
    </row>
    <row r="72" spans="1:17" ht="29.4" thickTop="1">
      <c r="A72" s="533"/>
      <c r="B72" s="537" t="s">
        <v>2556</v>
      </c>
      <c r="C72" s="538"/>
      <c r="D72" s="538"/>
      <c r="E72" s="538"/>
      <c r="F72" s="538"/>
      <c r="G72" s="538"/>
      <c r="H72" s="538"/>
      <c r="I72" s="538"/>
      <c r="J72" s="538"/>
      <c r="K72" s="539"/>
      <c r="L72" s="540"/>
      <c r="M72" s="541"/>
      <c r="N72" s="1148"/>
      <c r="O72" s="1148"/>
      <c r="P72" s="44"/>
      <c r="Q72" s="503"/>
    </row>
    <row r="73" spans="1:17" ht="14.4" thickBot="1">
      <c r="A73" s="533"/>
      <c r="B73" s="542"/>
      <c r="C73" s="543"/>
      <c r="D73" s="543"/>
      <c r="E73" s="543"/>
      <c r="F73" s="543"/>
      <c r="G73" s="543"/>
      <c r="H73" s="543"/>
      <c r="I73" s="543"/>
      <c r="J73" s="543"/>
      <c r="K73" s="543"/>
      <c r="L73" s="543"/>
      <c r="M73" s="544"/>
      <c r="N73" s="1149"/>
      <c r="O73" s="1149"/>
      <c r="P73" s="44"/>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c r="A75" s="533"/>
      <c r="B75" s="547"/>
      <c r="C75" s="548"/>
      <c r="D75" s="548"/>
      <c r="E75" s="548"/>
      <c r="F75" s="548"/>
      <c r="G75" s="548"/>
      <c r="H75" s="548"/>
      <c r="I75" s="548"/>
      <c r="J75" s="548"/>
      <c r="K75" s="549"/>
      <c r="L75" s="550"/>
      <c r="M75" s="551"/>
      <c r="N75" s="1148"/>
      <c r="O75" s="1148"/>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29.4"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9.4"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9.4" thickTop="1">
      <c r="A97" s="533"/>
      <c r="B97" s="537" t="s">
        <v>2690</v>
      </c>
      <c r="C97" s="553"/>
      <c r="D97" s="553"/>
      <c r="E97" s="553"/>
      <c r="F97" s="553"/>
      <c r="G97" s="553"/>
      <c r="H97" s="582"/>
      <c r="I97" s="582"/>
      <c r="J97" s="582"/>
      <c r="K97" s="583"/>
      <c r="L97" s="584"/>
      <c r="M97" s="585"/>
      <c r="N97" s="1148"/>
      <c r="O97" s="1148"/>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 thickTop="1">
      <c r="A99" s="533"/>
      <c r="B99" s="537" t="s">
        <v>2749</v>
      </c>
      <c r="C99" s="582"/>
      <c r="D99" s="582"/>
      <c r="E99" s="582"/>
      <c r="F99" s="582"/>
      <c r="G99" s="582"/>
      <c r="H99" s="582"/>
      <c r="I99" s="582"/>
      <c r="J99" s="582"/>
      <c r="K99" s="583"/>
      <c r="L99" s="584"/>
      <c r="M99" s="585"/>
      <c r="N99" s="1148"/>
      <c r="O99" s="1148"/>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4.4" thickTop="1">
      <c r="A101" s="533"/>
      <c r="B101" s="545">
        <f>B31</f>
        <v>111</v>
      </c>
      <c r="C101" s="553"/>
      <c r="D101" s="553"/>
      <c r="E101" s="553"/>
      <c r="F101" s="553"/>
      <c r="G101" s="586"/>
      <c r="H101" s="586"/>
      <c r="I101" s="586"/>
      <c r="J101" s="586"/>
      <c r="K101" s="587"/>
      <c r="L101" s="588"/>
      <c r="M101" s="589"/>
      <c r="N101" s="1148"/>
      <c r="O101" s="1148"/>
      <c r="P101" s="44"/>
      <c r="Q101" s="503"/>
    </row>
    <row r="102" spans="1:17" ht="14.4" thickBot="1">
      <c r="A102" s="533"/>
      <c r="B102" s="568"/>
      <c r="C102" s="559"/>
      <c r="D102" s="535"/>
      <c r="E102" s="535"/>
      <c r="F102" s="535"/>
      <c r="G102" s="590"/>
      <c r="H102" s="590"/>
      <c r="I102" s="590"/>
      <c r="J102" s="590"/>
      <c r="K102" s="590"/>
      <c r="L102" s="590"/>
      <c r="M102" s="591"/>
      <c r="N102" s="1149"/>
      <c r="O102" s="1149"/>
      <c r="P102" s="44"/>
      <c r="Q102" s="503"/>
    </row>
    <row r="103" spans="1:17" ht="14.4" thickTop="1">
      <c r="A103" s="674"/>
      <c r="B103" s="537">
        <f>B32</f>
        <v>111</v>
      </c>
      <c r="C103" s="553"/>
      <c r="D103" s="553"/>
      <c r="E103" s="553"/>
      <c r="F103" s="553"/>
      <c r="G103" s="582"/>
      <c r="H103" s="582"/>
      <c r="I103" s="582"/>
      <c r="J103" s="582"/>
      <c r="K103" s="583"/>
      <c r="L103" s="584"/>
      <c r="M103" s="585"/>
      <c r="N103" s="1148"/>
      <c r="O103" s="1148"/>
      <c r="P103" s="44"/>
      <c r="Q103" s="503"/>
    </row>
    <row r="104" spans="1:17" ht="14.4" thickBot="1">
      <c r="A104" s="533"/>
      <c r="B104" s="542"/>
      <c r="C104" s="559"/>
      <c r="D104" s="559"/>
      <c r="E104" s="559"/>
      <c r="F104" s="559"/>
      <c r="G104" s="535"/>
      <c r="H104" s="535"/>
      <c r="I104" s="535"/>
      <c r="J104" s="535"/>
      <c r="K104" s="535"/>
      <c r="L104" s="535"/>
      <c r="M104" s="536"/>
      <c r="N104" s="1149"/>
      <c r="O104" s="1149"/>
      <c r="P104" s="44"/>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c r="A108" s="533"/>
      <c r="B108" s="545"/>
      <c r="C108" s="594"/>
      <c r="D108" s="594"/>
      <c r="E108" s="594"/>
      <c r="F108" s="594"/>
      <c r="G108" s="594"/>
      <c r="H108" s="594"/>
      <c r="I108" s="594"/>
      <c r="J108" s="595"/>
      <c r="K108" s="595"/>
      <c r="L108" s="596"/>
      <c r="M108" s="597"/>
      <c r="N108" s="1148"/>
      <c r="O108" s="1148"/>
      <c r="P108" s="44"/>
      <c r="Q108" s="503"/>
    </row>
    <row r="109" spans="1:17" ht="14.4"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4.4" thickTop="1">
      <c r="A116" s="598"/>
      <c r="B116" s="537">
        <f>B38</f>
        <v>111</v>
      </c>
      <c r="C116" s="553"/>
      <c r="D116" s="553"/>
      <c r="E116" s="553"/>
      <c r="F116" s="553"/>
      <c r="G116" s="553"/>
      <c r="H116" s="582"/>
      <c r="I116" s="582"/>
      <c r="J116" s="582"/>
      <c r="K116" s="583"/>
      <c r="L116" s="584"/>
      <c r="M116" s="585"/>
      <c r="N116" s="1148"/>
      <c r="O116" s="1148"/>
      <c r="P116" s="44"/>
      <c r="Q116" s="503"/>
    </row>
    <row r="117" spans="1:17" ht="14.4" thickBot="1">
      <c r="A117" s="533"/>
      <c r="B117" s="542"/>
      <c r="C117" s="559"/>
      <c r="D117" s="535"/>
      <c r="E117" s="535"/>
      <c r="F117" s="535"/>
      <c r="G117" s="535"/>
      <c r="H117" s="535"/>
      <c r="I117" s="535"/>
      <c r="J117" s="535"/>
      <c r="K117" s="535"/>
      <c r="L117" s="535"/>
      <c r="M117" s="536"/>
      <c r="N117" s="1149"/>
      <c r="O117" s="1149"/>
      <c r="P117" s="44"/>
      <c r="Q117" s="503"/>
    </row>
    <row r="118" spans="1:17" ht="14.4" thickTop="1">
      <c r="A118" s="598"/>
      <c r="B118" s="537">
        <f>B39</f>
        <v>111</v>
      </c>
      <c r="C118" s="553"/>
      <c r="D118" s="553"/>
      <c r="E118" s="553"/>
      <c r="F118" s="553"/>
      <c r="G118" s="582"/>
      <c r="H118" s="582"/>
      <c r="I118" s="582"/>
      <c r="J118" s="582"/>
      <c r="K118" s="583"/>
      <c r="L118" s="584"/>
      <c r="M118" s="585"/>
      <c r="N118" s="1148"/>
      <c r="O118" s="1148"/>
      <c r="P118" s="44"/>
      <c r="Q118" s="503"/>
    </row>
    <row r="119" spans="1:17" ht="14.4" thickBot="1">
      <c r="A119" s="533"/>
      <c r="B119" s="542"/>
      <c r="C119" s="559"/>
      <c r="D119" s="559"/>
      <c r="E119" s="559"/>
      <c r="F119" s="559"/>
      <c r="G119" s="535"/>
      <c r="H119" s="535"/>
      <c r="I119" s="535"/>
      <c r="J119" s="535"/>
      <c r="K119" s="535"/>
      <c r="L119" s="535"/>
      <c r="M119" s="536"/>
      <c r="N119" s="1149"/>
      <c r="O119" s="1149"/>
      <c r="P119" s="44"/>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1621</v>
      </c>
      <c r="B1" s="1955"/>
      <c r="C1" s="1955"/>
      <c r="D1" s="1955"/>
      <c r="E1" s="1955"/>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7.399999999999999">
      <c r="A3" s="3039" t="str">
        <f>IF(项目基本情况!B9="房地产市场价值","估价结果一览表（市场价值不需“结果表-1”）","估价结果一览表")</f>
        <v>估价结果一览表</v>
      </c>
      <c r="B3" s="3039"/>
      <c r="C3" s="3039"/>
      <c r="D3" s="3039"/>
      <c r="E3" s="3039"/>
    </row>
    <row r="4" spans="1:5" ht="18" thickBot="1">
      <c r="A4" s="1957"/>
      <c r="B4" s="3037" t="s">
        <v>1630</v>
      </c>
      <c r="C4" s="3037"/>
      <c r="D4" s="3037"/>
      <c r="E4" s="1957"/>
    </row>
    <row r="5" spans="1:5" ht="16.2" thickTop="1">
      <c r="A5" s="1955"/>
      <c r="B5" s="3035" t="s">
        <v>1622</v>
      </c>
      <c r="C5" s="1958" t="s">
        <v>1623</v>
      </c>
      <c r="D5" s="1036">
        <f ca="1">'结果表（办公）'!H101</f>
        <v>100361</v>
      </c>
      <c r="E5" s="1955"/>
    </row>
    <row r="6" spans="1:5" ht="15.6">
      <c r="A6" s="1955"/>
      <c r="B6" s="3035"/>
      <c r="C6" s="1958" t="s">
        <v>1624</v>
      </c>
      <c r="D6" s="1036" t="str">
        <f ca="1">NUMBERSTRING(INT(D5*10000),2)&amp;"元整"</f>
        <v>壹拾亿零叁佰陆拾壹万元整</v>
      </c>
      <c r="E6" s="1955"/>
    </row>
    <row r="7" spans="1:5" ht="15.6">
      <c r="A7" s="1955"/>
      <c r="B7" s="3040"/>
      <c r="C7" s="1959" t="s">
        <v>1625</v>
      </c>
      <c r="D7" s="1037">
        <f ca="1">'结果表（办公）'!H102</f>
        <v>43927</v>
      </c>
      <c r="E7" s="1955"/>
    </row>
    <row r="8" spans="1:5" ht="15.6">
      <c r="A8" s="1955"/>
      <c r="B8" s="3041" t="str">
        <f>'结果表（办公）'!E103</f>
        <v>2.估价师知悉的法定优先受偿款</v>
      </c>
      <c r="C8" s="1960" t="s">
        <v>1626</v>
      </c>
      <c r="D8" s="1037">
        <f>'结果表（办公）'!H103</f>
        <v>0</v>
      </c>
      <c r="E8" s="1955"/>
    </row>
    <row r="9" spans="1:5" ht="15.6">
      <c r="A9" s="1955"/>
      <c r="B9" s="3043"/>
      <c r="C9" s="1958" t="s">
        <v>1624</v>
      </c>
      <c r="D9" s="1036" t="str">
        <f>NUMBERSTRING(INT(D8*10000),2)&amp;"元整"</f>
        <v>零元整</v>
      </c>
      <c r="E9" s="1955"/>
    </row>
    <row r="10" spans="1:5" ht="15.6">
      <c r="A10" s="1955"/>
      <c r="B10" s="1961" t="s">
        <v>1629</v>
      </c>
      <c r="C10" s="1962" t="s">
        <v>1627</v>
      </c>
      <c r="D10" s="1038">
        <f>'结果表（办公）'!H104</f>
        <v>0</v>
      </c>
      <c r="E10" s="1955"/>
    </row>
    <row r="11" spans="1:5" ht="15.6">
      <c r="A11" s="1955"/>
      <c r="B11" s="1961" t="s">
        <v>1631</v>
      </c>
      <c r="C11" s="1962" t="s">
        <v>1632</v>
      </c>
      <c r="D11" s="1038">
        <f>'结果表（办公）'!H105</f>
        <v>0</v>
      </c>
      <c r="E11" s="1955"/>
    </row>
    <row r="12" spans="1:5" ht="15.6">
      <c r="A12" s="1955"/>
      <c r="B12" s="1961" t="s">
        <v>1633</v>
      </c>
      <c r="C12" s="1962" t="s">
        <v>1632</v>
      </c>
      <c r="D12" s="1038">
        <f>'结果表（办公）'!H106</f>
        <v>0</v>
      </c>
      <c r="E12" s="1955"/>
    </row>
    <row r="13" spans="1:5" ht="15.6">
      <c r="A13" s="1955"/>
      <c r="B13" s="3034" t="str">
        <f>'结果表（办公）'!E107</f>
        <v>——</v>
      </c>
      <c r="C13" s="1963" t="s">
        <v>1623</v>
      </c>
      <c r="D13" s="1039" t="str">
        <f>'结果表（办公）'!H107</f>
        <v>——</v>
      </c>
      <c r="E13" s="1955"/>
    </row>
    <row r="14" spans="1:5" ht="15.6">
      <c r="A14" s="1955"/>
      <c r="B14" s="3035"/>
      <c r="C14" s="1958" t="s">
        <v>1624</v>
      </c>
      <c r="D14" s="1036" t="e">
        <f>NUMBERSTRING(INT(D13*10000),2)&amp;"元整"</f>
        <v>#VALUE!</v>
      </c>
      <c r="E14" s="1955"/>
    </row>
    <row r="15" spans="1:5" ht="15.6">
      <c r="A15" s="1955"/>
      <c r="B15" s="3040"/>
      <c r="C15" s="1959" t="s">
        <v>1634</v>
      </c>
      <c r="D15" s="1048" t="e">
        <f>'结果表（办公）'!H108</f>
        <v>#VALUE!</v>
      </c>
      <c r="E15" s="1955"/>
    </row>
    <row r="16" spans="1:5" ht="15.6">
      <c r="A16" s="1955"/>
      <c r="B16" s="3041" t="str">
        <f>'结果表（办公）'!E109</f>
        <v>3.抵押担保权已注销时的房地产抵押价值</v>
      </c>
      <c r="C16" s="1963" t="s">
        <v>1635</v>
      </c>
      <c r="D16" s="1964">
        <f ca="1">'结果表（办公）'!H109</f>
        <v>100361</v>
      </c>
      <c r="E16" s="1955"/>
    </row>
    <row r="17" spans="1:5" ht="15.6">
      <c r="A17" s="1955"/>
      <c r="B17" s="3042"/>
      <c r="C17" s="1958" t="s">
        <v>1636</v>
      </c>
      <c r="D17" s="1036" t="str">
        <f ca="1">NUMBERSTRING(INT(D16*10000),2)&amp;"元整"</f>
        <v>壹拾亿零叁佰陆拾壹万元整</v>
      </c>
      <c r="E17" s="1955"/>
    </row>
    <row r="18" spans="1:5" ht="15.6">
      <c r="A18" s="1955"/>
      <c r="B18" s="3043"/>
      <c r="C18" s="1959" t="s">
        <v>1625</v>
      </c>
      <c r="D18" s="1048">
        <f ca="1">'结果表（办公）'!H110</f>
        <v>35915</v>
      </c>
      <c r="E18" s="1955"/>
    </row>
    <row r="19" spans="1:5" ht="15.6">
      <c r="A19" s="1955"/>
      <c r="B19" s="3034" t="str">
        <f>'结果表（办公）'!E111</f>
        <v>——</v>
      </c>
      <c r="C19" s="1963" t="s">
        <v>1623</v>
      </c>
      <c r="D19" s="1037" t="str">
        <f>'结果表（办公）'!H111</f>
        <v>——</v>
      </c>
      <c r="E19" s="1955"/>
    </row>
    <row r="20" spans="1:5" ht="15.6">
      <c r="A20" s="1955"/>
      <c r="B20" s="3035"/>
      <c r="C20" s="1958" t="s">
        <v>1636</v>
      </c>
      <c r="D20" s="1036" t="e">
        <f>NUMBERSTRING(INT(D19*10000),2)&amp;"元整"</f>
        <v>#VALUE!</v>
      </c>
      <c r="E20" s="1955"/>
    </row>
    <row r="21" spans="1:5" ht="16.2" thickBot="1">
      <c r="A21" s="1955"/>
      <c r="B21" s="3036"/>
      <c r="C21" s="1965" t="s">
        <v>1634</v>
      </c>
      <c r="D21" s="1049" t="str">
        <f>'结果表（办公）'!H112</f>
        <v>——</v>
      </c>
      <c r="E21" s="1955"/>
    </row>
    <row r="22" spans="1:5" ht="14.4" thickTop="1">
      <c r="A22" s="1955"/>
      <c r="B22" s="1966" t="s">
        <v>1637</v>
      </c>
      <c r="C22" s="1955"/>
      <c r="D22" s="1955"/>
      <c r="E22" s="1955"/>
    </row>
    <row r="23" spans="1:5">
      <c r="A23" s="1955"/>
      <c r="B23" s="1955"/>
      <c r="C23" s="1955"/>
      <c r="D23" s="1955"/>
      <c r="E23" s="1955"/>
    </row>
    <row r="24" spans="1:5" ht="17.399999999999999">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3.2"/>
  <cols>
    <col min="1" max="1" width="9.77734375" style="2789" customWidth="1"/>
    <col min="2" max="2" width="19.21875" style="2895" customWidth="1"/>
    <col min="3" max="4" width="12" style="2713"/>
    <col min="5" max="5" width="14.6640625" style="2713" customWidth="1"/>
    <col min="6" max="8" width="12" style="2713"/>
    <col min="9" max="9" width="12.21875" style="2713" bestFit="1" customWidth="1"/>
    <col min="10" max="10" width="12" style="2713"/>
    <col min="11" max="11" width="8.109375" style="2781" customWidth="1"/>
    <col min="12" max="12" width="12" style="2713"/>
    <col min="13" max="13" width="8.44140625" style="2713" customWidth="1"/>
    <col min="14" max="14" width="9.77734375" style="2713" customWidth="1"/>
    <col min="15" max="25" width="12" style="2713"/>
    <col min="26" max="26" width="9.33203125" style="2789" customWidth="1"/>
    <col min="27" max="32" width="9.33203125" style="1368" customWidth="1"/>
    <col min="33" max="36" width="9.33203125" style="2789" customWidth="1"/>
    <col min="37" max="38" width="9.33203125" style="2713" customWidth="1"/>
    <col min="39" max="16384" width="12" style="2713"/>
  </cols>
  <sheetData>
    <row r="1" spans="1:36" ht="31.2">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6">
      <c r="A2" s="244" t="s">
        <v>2811</v>
      </c>
      <c r="B2" s="247">
        <f ca="1">C26</f>
        <v>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6.4">
      <c r="A3" s="246" t="s">
        <v>2817</v>
      </c>
      <c r="B3" s="247">
        <f ca="1">ROUND(B2*10000/D1,0)</f>
        <v>0</v>
      </c>
      <c r="C3" s="2714" t="s">
        <v>2818</v>
      </c>
      <c r="D3" s="2715" t="s">
        <v>2819</v>
      </c>
      <c r="E3" s="2720" t="s">
        <v>3047</v>
      </c>
      <c r="F3" s="2721" t="s">
        <v>2820</v>
      </c>
      <c r="G3" s="909">
        <f>IF(F3="宗地容积率",'数据-汇总表'!I4,IF(F3="估价对象容积率",'数据-汇总表'!I6,'数据-汇总表'!I7))</f>
        <v>4.9000000000000004</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6">
      <c r="A4" s="3324"/>
      <c r="B4" s="3325"/>
      <c r="C4" s="3325"/>
      <c r="D4" s="3326"/>
      <c r="E4" s="3326"/>
      <c r="F4" s="3326"/>
      <c r="G4" s="3326"/>
      <c r="H4" s="3326"/>
      <c r="I4" s="3326"/>
      <c r="J4" s="3327"/>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31" customFormat="1" ht="15.6"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8"/>
      <c r="AD5" s="2729"/>
      <c r="AE5" s="2729"/>
      <c r="AF5" s="2729"/>
      <c r="AG5" s="2729"/>
      <c r="AH5" s="2729"/>
      <c r="AI5" s="2729"/>
      <c r="AJ5" s="2730"/>
    </row>
    <row r="6" spans="1:36" ht="15.6"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8"/>
      <c r="AD6" s="2729"/>
      <c r="AE6" s="2729"/>
      <c r="AF6" s="2729"/>
      <c r="AG6" s="2729"/>
      <c r="AH6" s="2729"/>
      <c r="AI6" s="2729"/>
      <c r="AJ6" s="2730"/>
    </row>
    <row r="7" spans="1:36" ht="24">
      <c r="A7" s="3328"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2834</v>
      </c>
      <c r="X7" s="1600" t="str">
        <f>G2</f>
        <v>八级</v>
      </c>
      <c r="Y7" s="1600" t="s">
        <v>2835</v>
      </c>
      <c r="Z7" s="1601">
        <f>G3</f>
        <v>4.9000000000000004</v>
      </c>
      <c r="AA7" s="1602"/>
      <c r="AB7" s="1602"/>
      <c r="AC7" s="1603"/>
      <c r="AD7" s="1604"/>
      <c r="AE7" s="1604"/>
      <c r="AF7" s="1604"/>
      <c r="AG7" s="1604"/>
      <c r="AH7" s="1604"/>
      <c r="AI7" s="1604"/>
      <c r="AJ7" s="1605"/>
    </row>
    <row r="8" spans="1:36" ht="15">
      <c r="A8" s="3329"/>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21" t="s">
        <v>2839</v>
      </c>
      <c r="X8" s="3322"/>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29"/>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23"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9"/>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2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29"/>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23" t="s">
        <v>2863</v>
      </c>
      <c r="X11" s="1610" t="s">
        <v>2864</v>
      </c>
      <c r="Y11" s="1611">
        <f>$G$3</f>
        <v>4.9000000000000004</v>
      </c>
      <c r="Z11" s="1611">
        <f t="shared" ref="Z11:AJ11" si="3">$G$3</f>
        <v>4.9000000000000004</v>
      </c>
      <c r="AA11" s="1611">
        <f t="shared" si="3"/>
        <v>4.9000000000000004</v>
      </c>
      <c r="AB11" s="1611">
        <f t="shared" si="3"/>
        <v>4.9000000000000004</v>
      </c>
      <c r="AC11" s="1611">
        <f t="shared" si="3"/>
        <v>4.9000000000000004</v>
      </c>
      <c r="AD11" s="1611">
        <f t="shared" si="3"/>
        <v>4.9000000000000004</v>
      </c>
      <c r="AE11" s="1611">
        <f t="shared" si="3"/>
        <v>4.9000000000000004</v>
      </c>
      <c r="AF11" s="1611">
        <f t="shared" si="3"/>
        <v>4.9000000000000004</v>
      </c>
      <c r="AG11" s="1611">
        <f t="shared" si="3"/>
        <v>4.9000000000000004</v>
      </c>
      <c r="AH11" s="1611">
        <f t="shared" si="3"/>
        <v>4.9000000000000004</v>
      </c>
      <c r="AI11" s="1611">
        <f t="shared" si="3"/>
        <v>4.9000000000000004</v>
      </c>
      <c r="AJ11" s="1611">
        <f t="shared" si="3"/>
        <v>4.9000000000000004</v>
      </c>
    </row>
    <row r="12" spans="1:36" ht="25.8" thickBot="1">
      <c r="A12" s="3328"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23"/>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0"/>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23"/>
      <c r="X13" s="1612"/>
      <c r="Y13" s="1609">
        <f>(-0.163*(Y12^2)-0.59*Y12+7617)*(10^(-4))/Y11</f>
        <v>0.15544897959183673</v>
      </c>
      <c r="Z13" s="1609">
        <f t="shared" ref="Z13:AJ13" si="5">(-0.163*(Z12^2)-0.59*Z12+7617)*(10^(-4))/Z11</f>
        <v>0.15544897959183673</v>
      </c>
      <c r="AA13" s="1609">
        <f t="shared" si="5"/>
        <v>0.15544897959183673</v>
      </c>
      <c r="AB13" s="1609">
        <f t="shared" si="5"/>
        <v>0.15544897959183673</v>
      </c>
      <c r="AC13" s="1609">
        <f t="shared" si="5"/>
        <v>0.15544897959183673</v>
      </c>
      <c r="AD13" s="1609">
        <f t="shared" si="5"/>
        <v>0.15544897959183673</v>
      </c>
      <c r="AE13" s="1609">
        <f t="shared" si="5"/>
        <v>0.15544897959183673</v>
      </c>
      <c r="AF13" s="1609">
        <f t="shared" si="5"/>
        <v>0.15544897959183673</v>
      </c>
      <c r="AG13" s="1609">
        <f t="shared" si="5"/>
        <v>0.15544897959183673</v>
      </c>
      <c r="AH13" s="1609">
        <f t="shared" si="5"/>
        <v>0.15544897959183673</v>
      </c>
      <c r="AI13" s="1609">
        <f t="shared" si="5"/>
        <v>0.15544897959183673</v>
      </c>
      <c r="AJ13" s="1609">
        <f t="shared" si="5"/>
        <v>0.15544897959183673</v>
      </c>
    </row>
    <row r="14" spans="1:36" ht="15">
      <c r="A14" s="3330"/>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thickBot="1">
      <c r="A15" s="3331"/>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28"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4.6" thickBot="1">
      <c r="A17" s="3329"/>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9.4" thickBot="1">
      <c r="A19" s="2782" t="s">
        <v>809</v>
      </c>
      <c r="B19" s="2783" t="s">
        <v>2891</v>
      </c>
      <c r="C19" s="920">
        <f>ROUND(IF(H19="按公示增长率计算",SUMPRODUCT((地价!A3:A21=YEAR(G19)&amp;"-"&amp;ROUNDUP(MONTH(G19)/3,0))*(地价!X2:AB2=E2)*(地价!X3:AB21)),IF(H19="地价指数",M20/M19,(1+I19)^O19)),4)</f>
        <v>0</v>
      </c>
      <c r="D19" s="2790" t="s">
        <v>2892</v>
      </c>
      <c r="E19" s="921">
        <v>41640</v>
      </c>
      <c r="F19" s="2790" t="s">
        <v>2893</v>
      </c>
      <c r="G19" s="922">
        <f>'数据-取费表'!B2</f>
        <v>43227</v>
      </c>
      <c r="H19" s="2791" t="s">
        <v>2894</v>
      </c>
      <c r="I19" s="923" t="str">
        <f>IF(H19="季度增幅（自定义）",SUMIF(N21:N24,E2,O21:O24),"")</f>
        <v/>
      </c>
      <c r="J19" s="2788"/>
      <c r="K19" s="1373"/>
      <c r="L19" s="2792" t="s">
        <v>2895</v>
      </c>
      <c r="M19" s="1730">
        <f>ROUND(SUMIF(地价!B2:F2,E2,地价!B21:F21),0)</f>
        <v>258</v>
      </c>
      <c r="N19" s="2793" t="s">
        <v>2896</v>
      </c>
      <c r="O19" s="924">
        <f>ROUNDDOWN(DATEDIF(E19,G19,"M")/3,0)</f>
        <v>17</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9.4" thickBot="1">
      <c r="A20" s="2797" t="s">
        <v>810</v>
      </c>
      <c r="B20" s="2798" t="s">
        <v>2897</v>
      </c>
      <c r="C20" s="925">
        <f ca="1">ROUND(POWER(1+G20,J20-I20)*(POWER(1+G20,I20)-1)/(POWER(1+G20,J20)-1),4)</f>
        <v>0.98109999999999997</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46.08</v>
      </c>
      <c r="J20" s="932">
        <f>IF(E2="住宅",70,IF(E2="商业",40,50))</f>
        <v>50</v>
      </c>
      <c r="K20" s="1373"/>
      <c r="L20" s="2800" t="s">
        <v>2900</v>
      </c>
      <c r="M20" s="1731">
        <f>ROUND(SUMPRODUCT((地价!A4:A21=YEAR(G19)&amp;"-"&amp;ROUNDUP(MONTH(G19)/3,0))*(地价!B2:F2=E2)*(地价!B4:F21)),0)</f>
        <v>0</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4.4">
      <c r="A21" s="2804" t="s">
        <v>811</v>
      </c>
      <c r="B21" s="2805" t="s">
        <v>3051</v>
      </c>
      <c r="C21" s="933">
        <f>IF(B21="容积率修正",IF(G3&lt;=10,D22,J22),C23)</f>
        <v>0.7409</v>
      </c>
      <c r="D21" s="2806"/>
      <c r="E21" s="2806"/>
      <c r="F21" s="2806"/>
      <c r="G21" s="2806"/>
      <c r="H21" s="2806"/>
      <c r="I21" s="2806"/>
      <c r="J21" s="2807"/>
      <c r="K21" s="1373"/>
      <c r="N21" s="2808" t="s">
        <v>2904</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1" customFormat="1" ht="14.4">
      <c r="A22" s="2657" t="s">
        <v>2905</v>
      </c>
      <c r="B22" s="2809" t="s">
        <v>2906</v>
      </c>
      <c r="C22" s="1806" t="s">
        <v>2907</v>
      </c>
      <c r="D22" s="1806">
        <f>IF(E22=G22,F22,IF(G3&lt;=10,ROUND(F22+(H22-F22)*(G3-E22)/(G22-E22),4),"——"))</f>
        <v>0.7409</v>
      </c>
      <c r="E22" s="909">
        <f>ROUNDDOWN(G3,1)</f>
        <v>4.9000000000000004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909">
        <f>ROUNDUP(G3,1)</f>
        <v>4.9000000000000004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9.4"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9"/>
    </row>
    <row r="24" spans="1:37" s="2731" customFormat="1" ht="1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4.4">
      <c r="A26" s="2822"/>
      <c r="B26" s="2809" t="s">
        <v>2916</v>
      </c>
      <c r="C26" s="205">
        <f ca="1">E29+SUM(E33:E39)</f>
        <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0</v>
      </c>
      <c r="D29" s="2838">
        <v>10000</v>
      </c>
      <c r="E29" s="938">
        <f ca="1">ROUND(C29*D29/10000,0)</f>
        <v>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8" thickBot="1">
      <c r="A30" s="2842"/>
      <c r="B30" s="2843" t="s">
        <v>2924</v>
      </c>
      <c r="C30" s="228">
        <f ca="1">ROUND(IF(E2="工业",C29*M39,C29*M38),0)</f>
        <v>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3.8">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36">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38"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39"/>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9"/>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8" thickBot="1">
      <c r="A36" s="3340"/>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0</v>
      </c>
      <c r="D37" s="2838"/>
      <c r="E37" s="199">
        <f t="shared" ca="1" si="7"/>
        <v>0</v>
      </c>
      <c r="F37" s="205">
        <f>SUMIF(修正!A45:A56,G2,修正!F45:F56)</f>
        <v>0.2</v>
      </c>
      <c r="G37" s="199">
        <f t="shared" ca="1" si="6"/>
        <v>0</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0</v>
      </c>
      <c r="D38" s="2838"/>
      <c r="E38" s="199">
        <f t="shared" ca="1" si="7"/>
        <v>0</v>
      </c>
      <c r="F38" s="205">
        <f>SUMIF(修正!A45:A56,G2,修正!G45:G56)</f>
        <v>0.2</v>
      </c>
      <c r="G38" s="199">
        <f t="shared" ca="1" si="6"/>
        <v>0</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8" thickBot="1">
      <c r="A39" s="2842"/>
      <c r="B39" s="2860" t="s">
        <v>2939</v>
      </c>
      <c r="C39" s="228">
        <f ca="1">ROUND(C5*C19*C20*C24*F39,0)</f>
        <v>0</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4.4">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5.2">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79.2">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71.6">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6.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106.2"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66">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71.6">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50.4">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6.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36">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39.6">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6.4">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106.2"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4.4">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71.6">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26.4">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36">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105.6">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36.6"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4.4">
      <c r="A79" s="2867" t="s">
        <v>2968</v>
      </c>
      <c r="B79" s="2868">
        <f>1+E81</f>
        <v>1</v>
      </c>
      <c r="C79" s="807"/>
      <c r="D79" s="807"/>
      <c r="E79" s="808"/>
      <c r="F79" s="2870"/>
      <c r="G79" s="6"/>
      <c r="H79" s="6"/>
      <c r="I79" s="6"/>
      <c r="J79" s="7"/>
      <c r="K79" s="7"/>
      <c r="L79" s="7"/>
      <c r="M79" s="7"/>
      <c r="N79" s="7"/>
      <c r="Z79" s="2713"/>
      <c r="AA79" s="2789"/>
      <c r="AG79" s="1368"/>
      <c r="AK79" s="2789"/>
    </row>
    <row r="80" spans="1:37" ht="25.2">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9.6">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66">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3.8">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6.4">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6.4">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36">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53.4"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32" t="s">
        <v>2972</v>
      </c>
      <c r="B90" s="3332"/>
      <c r="C90" s="3332"/>
      <c r="D90" s="3332"/>
      <c r="E90" s="3332"/>
      <c r="F90" s="3332"/>
      <c r="G90" s="3332"/>
      <c r="H90" s="3332"/>
      <c r="I90" s="3332"/>
      <c r="J90" s="3332"/>
      <c r="K90" s="2885"/>
      <c r="L90" s="2885"/>
      <c r="M90" s="2885"/>
      <c r="N90" s="2885"/>
    </row>
    <row r="91" spans="1:37">
      <c r="A91" s="3334" t="s">
        <v>2973</v>
      </c>
      <c r="B91" s="3334" t="s">
        <v>2974</v>
      </c>
      <c r="C91" s="2839" t="s">
        <v>2975</v>
      </c>
      <c r="D91" s="2840"/>
      <c r="E91" s="2840"/>
      <c r="F91" s="2840"/>
      <c r="G91" s="2840"/>
      <c r="H91" s="2840"/>
      <c r="I91" s="2840"/>
      <c r="J91" s="2886"/>
      <c r="K91" s="2887"/>
      <c r="L91" s="2887"/>
      <c r="M91" s="2887"/>
      <c r="N91" s="2887"/>
    </row>
    <row r="92" spans="1:37">
      <c r="A92" s="3334"/>
      <c r="B92" s="3334"/>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35"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6"/>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5" t="s">
        <v>2977</v>
      </c>
      <c r="B101" s="2892" t="s">
        <v>2978</v>
      </c>
      <c r="C101" s="2893">
        <f>$G$3</f>
        <v>4.9000000000000004</v>
      </c>
      <c r="D101" s="2893">
        <f t="shared" ref="D101:N101" si="31">$G$3</f>
        <v>4.9000000000000004</v>
      </c>
      <c r="E101" s="2893">
        <f t="shared" si="31"/>
        <v>4.9000000000000004</v>
      </c>
      <c r="F101" s="2893">
        <f t="shared" si="31"/>
        <v>4.9000000000000004</v>
      </c>
      <c r="G101" s="2893">
        <f t="shared" si="31"/>
        <v>4.9000000000000004</v>
      </c>
      <c r="H101" s="2893">
        <f t="shared" si="31"/>
        <v>4.9000000000000004</v>
      </c>
      <c r="I101" s="2893">
        <f t="shared" si="31"/>
        <v>4.9000000000000004</v>
      </c>
      <c r="J101" s="2893">
        <f t="shared" si="31"/>
        <v>4.9000000000000004</v>
      </c>
      <c r="K101" s="2893">
        <f t="shared" si="31"/>
        <v>4.9000000000000004</v>
      </c>
      <c r="L101" s="2893">
        <f t="shared" si="31"/>
        <v>4.9000000000000004</v>
      </c>
      <c r="M101" s="2893">
        <f t="shared" si="31"/>
        <v>4.9000000000000004</v>
      </c>
      <c r="N101" s="2893">
        <f t="shared" si="31"/>
        <v>4.9000000000000004</v>
      </c>
    </row>
    <row r="102" spans="1:14">
      <c r="A102" s="3336"/>
      <c r="B102" s="2888">
        <v>1</v>
      </c>
      <c r="C102" s="2889">
        <f>1.9362/C101</f>
        <v>0.39514285714285707</v>
      </c>
      <c r="D102" s="2889">
        <f>1.9362/D101</f>
        <v>0.39514285714285707</v>
      </c>
      <c r="E102" s="2889">
        <f>1.8629/E101</f>
        <v>0.38018367346938775</v>
      </c>
      <c r="F102" s="2889">
        <f>1.8629/F101</f>
        <v>0.38018367346938775</v>
      </c>
      <c r="G102" s="2889">
        <f>1.8629/G101</f>
        <v>0.38018367346938775</v>
      </c>
      <c r="H102" s="2889">
        <f>1.8629/H101</f>
        <v>0.38018367346938775</v>
      </c>
      <c r="I102" s="2889">
        <f>1.8629/I101</f>
        <v>0.38018367346938775</v>
      </c>
      <c r="J102" s="2889">
        <f>1.942/J101</f>
        <v>0.39632653061224488</v>
      </c>
      <c r="K102" s="2889">
        <f>1.942/K101</f>
        <v>0.39632653061224488</v>
      </c>
      <c r="L102" s="2889">
        <f>1.942/L101</f>
        <v>0.39632653061224488</v>
      </c>
      <c r="M102" s="2889">
        <f>1.942/M101</f>
        <v>0.39632653061224488</v>
      </c>
      <c r="N102" s="2889">
        <f>1.942/N101</f>
        <v>0.39632653061224488</v>
      </c>
    </row>
    <row r="103" spans="1:14">
      <c r="A103" s="3336"/>
      <c r="B103" s="2888">
        <v>2</v>
      </c>
      <c r="C103" s="2889">
        <f>1.4198/C101</f>
        <v>0.28975510204081628</v>
      </c>
      <c r="D103" s="2889">
        <f>1.4198/D101</f>
        <v>0.28975510204081628</v>
      </c>
      <c r="E103" s="2889">
        <f>1.3372/E101</f>
        <v>0.27289795918367343</v>
      </c>
      <c r="F103" s="2889">
        <f>1.3372/F101</f>
        <v>0.27289795918367343</v>
      </c>
      <c r="G103" s="2889">
        <f>1.3372/G101</f>
        <v>0.27289795918367343</v>
      </c>
      <c r="H103" s="2889">
        <f>1.3372/H101</f>
        <v>0.27289795918367343</v>
      </c>
      <c r="I103" s="2889">
        <f>1.3372/I101</f>
        <v>0.27289795918367343</v>
      </c>
      <c r="J103" s="2889">
        <f>1.2799/J101</f>
        <v>0.26120408163265307</v>
      </c>
      <c r="K103" s="2889">
        <f>1.2799/K101</f>
        <v>0.26120408163265307</v>
      </c>
      <c r="L103" s="2889">
        <f>1.2799/L101</f>
        <v>0.26120408163265307</v>
      </c>
      <c r="M103" s="2889">
        <f>1.2799/M101</f>
        <v>0.26120408163265307</v>
      </c>
      <c r="N103" s="2889">
        <f>1.2799/N101</f>
        <v>0.26120408163265307</v>
      </c>
    </row>
    <row r="104" spans="1:14">
      <c r="A104" s="3336"/>
      <c r="B104" s="2888">
        <v>3</v>
      </c>
      <c r="C104" s="2889">
        <f>1.1594/C101</f>
        <v>0.23661224489795915</v>
      </c>
      <c r="D104" s="2889">
        <f>1.1594/D101</f>
        <v>0.23661224489795915</v>
      </c>
      <c r="E104" s="2889">
        <f>1.0788/E101</f>
        <v>0.22016326530612243</v>
      </c>
      <c r="F104" s="2889">
        <f>1.0788/F101</f>
        <v>0.22016326530612243</v>
      </c>
      <c r="G104" s="2889">
        <f>1.0788/G101</f>
        <v>0.22016326530612243</v>
      </c>
      <c r="H104" s="2889">
        <f>1.0788/H101</f>
        <v>0.22016326530612243</v>
      </c>
      <c r="I104" s="2889">
        <f>1.0788/I101</f>
        <v>0.22016326530612243</v>
      </c>
      <c r="J104" s="2889">
        <f>1.0072/J101</f>
        <v>0.20555102040816328</v>
      </c>
      <c r="K104" s="2889">
        <f>1.0072/K101</f>
        <v>0.20555102040816328</v>
      </c>
      <c r="L104" s="2889">
        <f>1.0072/L101</f>
        <v>0.20555102040816328</v>
      </c>
      <c r="M104" s="2889">
        <f>1.0072/M101</f>
        <v>0.20555102040816328</v>
      </c>
      <c r="N104" s="2889">
        <f>1.0072/N101</f>
        <v>0.20555102040816328</v>
      </c>
    </row>
    <row r="105" spans="1:14">
      <c r="A105" s="3336"/>
      <c r="B105" s="2888">
        <v>4</v>
      </c>
      <c r="C105" s="2889">
        <f>0.9622/C101</f>
        <v>0.1963673469387755</v>
      </c>
      <c r="D105" s="2889">
        <f>0.9622/D101</f>
        <v>0.1963673469387755</v>
      </c>
      <c r="E105" s="2889">
        <f>0.8656/E101</f>
        <v>0.17665306122448979</v>
      </c>
      <c r="F105" s="2889">
        <f>0.8656/F101</f>
        <v>0.17665306122448979</v>
      </c>
      <c r="G105" s="2889">
        <f>0.8656/G101</f>
        <v>0.17665306122448979</v>
      </c>
      <c r="H105" s="2889">
        <f>0.8656/H101</f>
        <v>0.17665306122448979</v>
      </c>
      <c r="I105" s="2889">
        <f>0.8656/I101</f>
        <v>0.17665306122448979</v>
      </c>
      <c r="J105" s="2889">
        <f>0.7525/J101</f>
        <v>0.15357142857142855</v>
      </c>
      <c r="K105" s="2889">
        <f>0.7525/K101</f>
        <v>0.15357142857142855</v>
      </c>
      <c r="L105" s="2889">
        <f>0.7525/L101</f>
        <v>0.15357142857142855</v>
      </c>
      <c r="M105" s="2889">
        <f>0.7525/M101</f>
        <v>0.15357142857142855</v>
      </c>
      <c r="N105" s="2889">
        <f>0.7525/N101</f>
        <v>0.15357142857142855</v>
      </c>
    </row>
    <row r="106" spans="1:14">
      <c r="A106" s="3336"/>
      <c r="B106" s="2888">
        <v>5</v>
      </c>
      <c r="C106" s="2889">
        <f>0.8417/C101</f>
        <v>0.17177551020408163</v>
      </c>
      <c r="D106" s="2889">
        <f>0.8417/D101</f>
        <v>0.17177551020408163</v>
      </c>
      <c r="E106" s="2889">
        <f>0.7371/E101</f>
        <v>0.15042857142857141</v>
      </c>
      <c r="F106" s="2889">
        <f>0.7371/F101</f>
        <v>0.15042857142857141</v>
      </c>
      <c r="G106" s="2889">
        <f>0.7371/G101</f>
        <v>0.15042857142857141</v>
      </c>
      <c r="H106" s="2889">
        <f>0.7371/H101</f>
        <v>0.15042857142857141</v>
      </c>
      <c r="I106" s="2889">
        <f>0.7371/I101</f>
        <v>0.15042857142857141</v>
      </c>
      <c r="J106" s="2889">
        <f>0.5659/J101</f>
        <v>0.11548979591836733</v>
      </c>
      <c r="K106" s="2889">
        <f>0.5659/K101</f>
        <v>0.11548979591836733</v>
      </c>
      <c r="L106" s="2889">
        <f>0.5659/L101</f>
        <v>0.11548979591836733</v>
      </c>
      <c r="M106" s="2889">
        <f>0.5659/M101</f>
        <v>0.11548979591836733</v>
      </c>
      <c r="N106" s="2889">
        <f>0.5659/N101</f>
        <v>0.11548979591836733</v>
      </c>
    </row>
    <row r="107" spans="1:14">
      <c r="A107" s="3336"/>
      <c r="B107" s="2888">
        <v>6</v>
      </c>
      <c r="C107" s="2889">
        <f>0.7608/C101</f>
        <v>0.15526530612244899</v>
      </c>
      <c r="D107" s="2889">
        <f>0.7608/D101</f>
        <v>0.15526530612244899</v>
      </c>
      <c r="E107" s="2889">
        <f>0.6482/E101</f>
        <v>0.13228571428571428</v>
      </c>
      <c r="F107" s="2889">
        <f>0.6482/F101</f>
        <v>0.13228571428571428</v>
      </c>
      <c r="G107" s="2889">
        <f>0.6482/G101</f>
        <v>0.13228571428571428</v>
      </c>
      <c r="H107" s="2889">
        <f>0.6482/H101</f>
        <v>0.13228571428571428</v>
      </c>
      <c r="I107" s="2889">
        <f>0.6482/I101</f>
        <v>0.13228571428571428</v>
      </c>
      <c r="J107" s="2889">
        <f>0.4525/J101</f>
        <v>9.2346938775510201E-2</v>
      </c>
      <c r="K107" s="2889">
        <f>0.4525/K101</f>
        <v>9.2346938775510201E-2</v>
      </c>
      <c r="L107" s="2889">
        <f>0.4525/L101</f>
        <v>9.2346938775510201E-2</v>
      </c>
      <c r="M107" s="2889">
        <f>0.4525/M101</f>
        <v>9.2346938775510201E-2</v>
      </c>
      <c r="N107" s="2889">
        <f>0.4525/N101</f>
        <v>9.2346938775510201E-2</v>
      </c>
    </row>
    <row r="108" spans="1:14">
      <c r="A108" s="3336"/>
      <c r="B108" s="3192"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7"/>
      <c r="B109" s="3193"/>
      <c r="C109" s="2891">
        <f>(-0.163*(C108^2)-0.59*C108+7617)*(10^(-4))/C101</f>
        <v>0.15544897959183673</v>
      </c>
      <c r="D109" s="2891">
        <f>(-0.163*(D108^2)-0.59*D108+7617)*(10^(-4))/D101</f>
        <v>0.15544897959183673</v>
      </c>
      <c r="E109" s="2891">
        <f>(-0.161*(E108^2)-7.509*E108+6533)*(10^(-4))/E101</f>
        <v>0.13332653061224489</v>
      </c>
      <c r="F109" s="2891">
        <f>(-0.161*(F108^2)-7.509*F108+6533)*(10^(-4))/F101</f>
        <v>0.13332653061224489</v>
      </c>
      <c r="G109" s="2891">
        <f>(-0.161*(G108^2)-7.509*G108+6533)*(10^(-4))/G101</f>
        <v>0.13332653061224489</v>
      </c>
      <c r="H109" s="2891">
        <f>(-0.161*(H108^2)-7.509*H108+6533)*(10^(-4))/H101</f>
        <v>0.13332653061224489</v>
      </c>
      <c r="I109" s="2891">
        <f>(-0.161*(I108^2)-7.509*I108+6533)*(10^(-4))/I101</f>
        <v>0.13332653061224489</v>
      </c>
      <c r="J109" s="2891">
        <f>(-0.214*(J108^2)-21.991*J108+4665)*(10^(-4))/J101</f>
        <v>9.5204081632653065E-2</v>
      </c>
      <c r="K109" s="2891">
        <f>(-0.214*(K108^2)-21.991*K108+4665)*(10^(-4))/K101</f>
        <v>9.5204081632653065E-2</v>
      </c>
      <c r="L109" s="2891">
        <f>(-0.214*(L108^2)-21.991*L108+4665)*(10^(-4))/L101</f>
        <v>9.5204081632653065E-2</v>
      </c>
      <c r="M109" s="2891">
        <f>(-0.214*(M108^2)-21.991*M108+4665)*(10^(-4))/M101</f>
        <v>9.5204081632653065E-2</v>
      </c>
      <c r="N109" s="2891">
        <f>(-0.214*(N108^2)-21.991*N108+4665)*(10^(-4))/N101</f>
        <v>9.5204081632653065E-2</v>
      </c>
    </row>
    <row r="110" spans="1:14">
      <c r="A110" s="3333" t="s">
        <v>2980</v>
      </c>
      <c r="B110" s="3333"/>
      <c r="C110" s="3333"/>
      <c r="D110" s="3333"/>
      <c r="E110" s="3333"/>
      <c r="F110" s="3333"/>
      <c r="G110" s="3333"/>
      <c r="H110" s="3333"/>
      <c r="I110" s="3333"/>
      <c r="J110" s="3333"/>
      <c r="K110" s="2894"/>
      <c r="L110" s="2894"/>
      <c r="M110" s="2894"/>
      <c r="N110" s="2894"/>
    </row>
    <row r="112" spans="1:14" ht="13.8" thickBot="1"/>
    <row r="113" spans="1:13" ht="25.8" thickBot="1">
      <c r="A113" s="896" t="s">
        <v>2981</v>
      </c>
      <c r="B113" s="1283">
        <f>G3</f>
        <v>4.9000000000000004</v>
      </c>
      <c r="C113" s="897" t="s">
        <v>2982</v>
      </c>
      <c r="D113" s="898">
        <f>SUMPRODUCT((A115:A118=F113)*(B114:M114=H113)*B115:M118)</f>
        <v>0.70079999999999998</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0.88739999999999997</v>
      </c>
      <c r="C115" s="903">
        <f>B115</f>
        <v>0.88739999999999997</v>
      </c>
      <c r="D115" s="903">
        <f>ROUND(0.8331-0.0109*B113,4)</f>
        <v>0.77969999999999995</v>
      </c>
      <c r="E115" s="903">
        <f>D115</f>
        <v>0.77969999999999995</v>
      </c>
      <c r="F115" s="903">
        <f>E115</f>
        <v>0.77969999999999995</v>
      </c>
      <c r="G115" s="903">
        <f>F115</f>
        <v>0.77969999999999995</v>
      </c>
      <c r="H115" s="903">
        <f>G115</f>
        <v>0.77969999999999995</v>
      </c>
      <c r="I115" s="903">
        <f>ROUND(0.689-0.0155*B113,4)</f>
        <v>0.61309999999999998</v>
      </c>
      <c r="J115" s="903">
        <f t="shared" ref="J115:M118" si="33">I115</f>
        <v>0.61309999999999998</v>
      </c>
      <c r="K115" s="903">
        <f t="shared" si="33"/>
        <v>0.61309999999999998</v>
      </c>
      <c r="L115" s="903">
        <f t="shared" si="33"/>
        <v>0.61309999999999998</v>
      </c>
      <c r="M115" s="904">
        <f t="shared" si="33"/>
        <v>0.61309999999999998</v>
      </c>
    </row>
    <row r="116" spans="1:13">
      <c r="A116" s="902" t="s">
        <v>2879</v>
      </c>
      <c r="B116" s="903">
        <f>ROUND(0.949-0.012*B113,4)</f>
        <v>0.89019999999999999</v>
      </c>
      <c r="C116" s="903">
        <f>B116</f>
        <v>0.89019999999999999</v>
      </c>
      <c r="D116" s="903">
        <f>ROUND(0.8567-0.013*B113,4)</f>
        <v>0.79300000000000004</v>
      </c>
      <c r="E116" s="903">
        <f t="shared" ref="E116:H117" si="34">D116</f>
        <v>0.79300000000000004</v>
      </c>
      <c r="F116" s="903">
        <f t="shared" si="34"/>
        <v>0.79300000000000004</v>
      </c>
      <c r="G116" s="903">
        <f t="shared" si="34"/>
        <v>0.79300000000000004</v>
      </c>
      <c r="H116" s="903">
        <f t="shared" si="34"/>
        <v>0.79300000000000004</v>
      </c>
      <c r="I116" s="903">
        <f>ROUND(0.7694-0.014*B113,4)</f>
        <v>0.70079999999999998</v>
      </c>
      <c r="J116" s="903">
        <f t="shared" si="33"/>
        <v>0.70079999999999998</v>
      </c>
      <c r="K116" s="903">
        <f t="shared" si="33"/>
        <v>0.70079999999999998</v>
      </c>
      <c r="L116" s="903">
        <f t="shared" si="33"/>
        <v>0.70079999999999998</v>
      </c>
      <c r="M116" s="904">
        <f t="shared" si="33"/>
        <v>0.70079999999999998</v>
      </c>
    </row>
    <row r="117" spans="1:13">
      <c r="A117" s="902" t="s">
        <v>2880</v>
      </c>
      <c r="B117" s="903">
        <f>ROUND(0.8808-0.006*B113,4)</f>
        <v>0.85140000000000005</v>
      </c>
      <c r="C117" s="903">
        <f>B117</f>
        <v>0.85140000000000005</v>
      </c>
      <c r="D117" s="903">
        <f>ROUND(0.8748-0.008*B113,4)</f>
        <v>0.83560000000000001</v>
      </c>
      <c r="E117" s="903">
        <f t="shared" si="34"/>
        <v>0.83560000000000001</v>
      </c>
      <c r="F117" s="903">
        <f t="shared" si="34"/>
        <v>0.83560000000000001</v>
      </c>
      <c r="G117" s="903">
        <f t="shared" si="34"/>
        <v>0.83560000000000001</v>
      </c>
      <c r="H117" s="903">
        <f t="shared" si="34"/>
        <v>0.83560000000000001</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8" thickBot="1">
      <c r="A118" s="713" t="s">
        <v>2881</v>
      </c>
      <c r="B118" s="905">
        <f>ROUND(0.7275-0.01*B113,4)</f>
        <v>0.67849999999999999</v>
      </c>
      <c r="C118" s="905">
        <f>B118</f>
        <v>0.67849999999999999</v>
      </c>
      <c r="D118" s="905">
        <f>ROUND(0.7043-0.012*B113,4)</f>
        <v>0.64549999999999996</v>
      </c>
      <c r="E118" s="905">
        <f>D118</f>
        <v>0.64549999999999996</v>
      </c>
      <c r="F118" s="905">
        <f>E118</f>
        <v>0.64549999999999996</v>
      </c>
      <c r="G118" s="905">
        <f>ROUND(0.6299-0.0122*B113,4)</f>
        <v>0.57010000000000005</v>
      </c>
      <c r="H118" s="905">
        <f>G118</f>
        <v>0.57010000000000005</v>
      </c>
      <c r="I118" s="905">
        <f>ROUND(0.5667-0.0136*B113,4)</f>
        <v>0.50009999999999999</v>
      </c>
      <c r="J118" s="905">
        <f t="shared" si="33"/>
        <v>0.50009999999999999</v>
      </c>
      <c r="K118" s="905">
        <f t="shared" si="33"/>
        <v>0.50009999999999999</v>
      </c>
      <c r="L118" s="905">
        <f t="shared" si="33"/>
        <v>0.50009999999999999</v>
      </c>
      <c r="M118" s="906">
        <f t="shared" si="33"/>
        <v>0.50009999999999999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41" t="s">
        <v>183</v>
      </c>
      <c r="B18" s="875" t="s">
        <v>560</v>
      </c>
      <c r="C18" s="876" t="s">
        <v>561</v>
      </c>
      <c r="D18" s="877"/>
      <c r="E18" s="875">
        <v>1</v>
      </c>
      <c r="F18" s="878" t="s">
        <v>562</v>
      </c>
      <c r="G18" s="879"/>
      <c r="H18" s="871"/>
      <c r="I18" s="871"/>
    </row>
    <row r="19" spans="1:9" s="880" customFormat="1" ht="19.5" customHeight="1">
      <c r="A19" s="3341"/>
      <c r="B19" s="3341" t="s">
        <v>563</v>
      </c>
      <c r="C19" s="876" t="s">
        <v>564</v>
      </c>
      <c r="D19" s="877"/>
      <c r="E19" s="875">
        <v>0.9</v>
      </c>
      <c r="F19" s="878" t="s">
        <v>565</v>
      </c>
      <c r="G19" s="879"/>
      <c r="H19" s="871"/>
      <c r="I19" s="871"/>
    </row>
    <row r="20" spans="1:9" s="880" customFormat="1" ht="19.5" customHeight="1">
      <c r="A20" s="3341"/>
      <c r="B20" s="3341"/>
      <c r="C20" s="876" t="s">
        <v>566</v>
      </c>
      <c r="D20" s="877"/>
      <c r="E20" s="875">
        <v>1.1000000000000001</v>
      </c>
      <c r="F20" s="878" t="s">
        <v>567</v>
      </c>
      <c r="G20" s="879"/>
      <c r="H20" s="871"/>
      <c r="I20" s="871"/>
    </row>
    <row r="21" spans="1:9" s="880" customFormat="1" ht="19.5" customHeight="1">
      <c r="A21" s="3341"/>
      <c r="B21" s="3341"/>
      <c r="C21" s="876" t="s">
        <v>568</v>
      </c>
      <c r="D21" s="877"/>
      <c r="E21" s="875">
        <v>0.8</v>
      </c>
      <c r="F21" s="878" t="s">
        <v>569</v>
      </c>
      <c r="G21" s="879"/>
      <c r="H21" s="871"/>
      <c r="I21" s="871"/>
    </row>
    <row r="22" spans="1:9" s="880" customFormat="1" ht="19.5" customHeight="1">
      <c r="A22" s="3341"/>
      <c r="B22" s="3341"/>
      <c r="C22" s="876" t="s">
        <v>570</v>
      </c>
      <c r="D22" s="877"/>
      <c r="E22" s="875">
        <v>0.5</v>
      </c>
      <c r="F22" s="878"/>
      <c r="G22" s="879"/>
      <c r="H22" s="871"/>
      <c r="I22" s="871"/>
    </row>
    <row r="23" spans="1:9" s="880" customFormat="1" ht="19.5" customHeight="1">
      <c r="A23" s="3341" t="s">
        <v>184</v>
      </c>
      <c r="B23" s="875" t="s">
        <v>560</v>
      </c>
      <c r="C23" s="876" t="s">
        <v>571</v>
      </c>
      <c r="D23" s="877"/>
      <c r="E23" s="875">
        <v>1</v>
      </c>
      <c r="F23" s="878" t="s">
        <v>572</v>
      </c>
      <c r="G23" s="879"/>
      <c r="H23" s="871"/>
      <c r="I23" s="871"/>
    </row>
    <row r="24" spans="1:9" s="880" customFormat="1" ht="19.5" customHeight="1">
      <c r="A24" s="3341"/>
      <c r="B24" s="3341" t="s">
        <v>563</v>
      </c>
      <c r="C24" s="876" t="s">
        <v>573</v>
      </c>
      <c r="D24" s="877"/>
      <c r="E24" s="875">
        <v>0.5</v>
      </c>
      <c r="F24" s="878"/>
      <c r="G24" s="879"/>
      <c r="H24" s="871"/>
      <c r="I24" s="871"/>
    </row>
    <row r="25" spans="1:9" s="880" customFormat="1" ht="19.5" customHeight="1">
      <c r="A25" s="3341"/>
      <c r="B25" s="3341"/>
      <c r="C25" s="876" t="s">
        <v>574</v>
      </c>
      <c r="D25" s="877"/>
      <c r="E25" s="875">
        <v>1.1000000000000001</v>
      </c>
      <c r="F25" s="878"/>
      <c r="G25" s="879"/>
      <c r="H25" s="871"/>
      <c r="I25" s="871"/>
    </row>
    <row r="26" spans="1:9" s="880" customFormat="1" ht="19.5" customHeight="1">
      <c r="A26" s="3341"/>
      <c r="B26" s="3341"/>
      <c r="C26" s="876" t="s">
        <v>575</v>
      </c>
      <c r="D26" s="877"/>
      <c r="E26" s="875">
        <v>1.1000000000000001</v>
      </c>
      <c r="F26" s="878"/>
      <c r="G26" s="879"/>
      <c r="H26" s="871"/>
      <c r="I26" s="871"/>
    </row>
    <row r="27" spans="1:9" s="880" customFormat="1" ht="19.5" customHeight="1">
      <c r="A27" s="3341"/>
      <c r="B27" s="3341"/>
      <c r="C27" s="876" t="s">
        <v>576</v>
      </c>
      <c r="D27" s="877"/>
      <c r="E27" s="875">
        <v>0.9</v>
      </c>
      <c r="F27" s="878" t="s">
        <v>577</v>
      </c>
      <c r="G27" s="879"/>
      <c r="H27" s="871"/>
      <c r="I27" s="871"/>
    </row>
    <row r="28" spans="1:9" s="880" customFormat="1" ht="19.5" customHeight="1">
      <c r="A28" s="3341"/>
      <c r="B28" s="3341"/>
      <c r="C28" s="876" t="s">
        <v>578</v>
      </c>
      <c r="D28" s="877"/>
      <c r="E28" s="875">
        <v>0.9</v>
      </c>
      <c r="F28" s="878" t="s">
        <v>579</v>
      </c>
      <c r="G28" s="879"/>
      <c r="H28" s="871"/>
      <c r="I28" s="871"/>
    </row>
    <row r="29" spans="1:9" s="880" customFormat="1" ht="19.5" customHeight="1">
      <c r="A29" s="3341"/>
      <c r="B29" s="3341"/>
      <c r="C29" s="876" t="s">
        <v>580</v>
      </c>
      <c r="D29" s="877"/>
      <c r="E29" s="875">
        <v>0.9</v>
      </c>
      <c r="F29" s="878" t="s">
        <v>581</v>
      </c>
      <c r="G29" s="879"/>
      <c r="H29" s="871"/>
      <c r="I29" s="871"/>
    </row>
    <row r="30" spans="1:9" s="880" customFormat="1" ht="19.5" customHeight="1">
      <c r="A30" s="3341"/>
      <c r="B30" s="3341"/>
      <c r="C30" s="876" t="s">
        <v>582</v>
      </c>
      <c r="D30" s="877"/>
      <c r="E30" s="875">
        <v>0.9</v>
      </c>
      <c r="F30" s="878" t="s">
        <v>583</v>
      </c>
      <c r="G30" s="879"/>
      <c r="H30" s="871"/>
      <c r="I30" s="871"/>
    </row>
    <row r="31" spans="1:9" s="880" customFormat="1" ht="19.5" customHeight="1">
      <c r="A31" s="3341"/>
      <c r="B31" s="3341"/>
      <c r="C31" s="876" t="s">
        <v>584</v>
      </c>
      <c r="D31" s="877"/>
      <c r="E31" s="875">
        <v>0.8</v>
      </c>
      <c r="F31" s="878" t="s">
        <v>585</v>
      </c>
      <c r="G31" s="879"/>
      <c r="H31" s="871"/>
      <c r="I31" s="871"/>
    </row>
    <row r="32" spans="1:9" s="880" customFormat="1" ht="19.5" customHeight="1">
      <c r="A32" s="3341"/>
      <c r="B32" s="3341"/>
      <c r="C32" s="876" t="s">
        <v>586</v>
      </c>
      <c r="D32" s="877"/>
      <c r="E32" s="875">
        <v>0.8</v>
      </c>
      <c r="F32" s="878" t="s">
        <v>587</v>
      </c>
      <c r="G32" s="879"/>
      <c r="H32" s="871"/>
      <c r="I32" s="871"/>
    </row>
    <row r="33" spans="1:9" s="880" customFormat="1" ht="19.5" customHeight="1">
      <c r="A33" s="3341" t="s">
        <v>185</v>
      </c>
      <c r="B33" s="875" t="s">
        <v>560</v>
      </c>
      <c r="C33" s="876" t="s">
        <v>588</v>
      </c>
      <c r="D33" s="877"/>
      <c r="E33" s="875">
        <v>1</v>
      </c>
      <c r="F33" s="878" t="s">
        <v>589</v>
      </c>
      <c r="G33" s="879"/>
      <c r="H33" s="871"/>
      <c r="I33" s="871"/>
    </row>
    <row r="34" spans="1:9" s="880" customFormat="1" ht="19.5" customHeight="1">
      <c r="A34" s="3341"/>
      <c r="B34" s="875" t="s">
        <v>563</v>
      </c>
      <c r="C34" s="876" t="s">
        <v>590</v>
      </c>
      <c r="D34" s="877"/>
      <c r="E34" s="875">
        <v>1.5</v>
      </c>
      <c r="F34" s="878" t="s">
        <v>591</v>
      </c>
      <c r="G34" s="879"/>
      <c r="H34" s="871"/>
      <c r="I34" s="871"/>
    </row>
    <row r="35" spans="1:9" s="880" customFormat="1" ht="19.5" customHeight="1">
      <c r="A35" s="3341" t="s">
        <v>186</v>
      </c>
      <c r="B35" s="875" t="s">
        <v>560</v>
      </c>
      <c r="C35" s="876" t="s">
        <v>592</v>
      </c>
      <c r="D35" s="877"/>
      <c r="E35" s="875">
        <v>1</v>
      </c>
      <c r="F35" s="878" t="s">
        <v>593</v>
      </c>
      <c r="G35" s="879"/>
      <c r="H35" s="871"/>
      <c r="I35" s="871"/>
    </row>
    <row r="36" spans="1:9" s="880" customFormat="1" ht="19.5" customHeight="1">
      <c r="A36" s="3341"/>
      <c r="B36" s="3341" t="s">
        <v>563</v>
      </c>
      <c r="C36" s="876" t="s">
        <v>594</v>
      </c>
      <c r="D36" s="877"/>
      <c r="E36" s="875">
        <v>1</v>
      </c>
      <c r="F36" s="878" t="s">
        <v>595</v>
      </c>
      <c r="G36" s="879"/>
      <c r="H36" s="871"/>
      <c r="I36" s="871"/>
    </row>
    <row r="37" spans="1:9" s="880" customFormat="1" ht="19.5" customHeight="1">
      <c r="A37" s="3341"/>
      <c r="B37" s="3341"/>
      <c r="C37" s="876" t="s">
        <v>596</v>
      </c>
      <c r="D37" s="877"/>
      <c r="E37" s="875">
        <v>1.5</v>
      </c>
      <c r="F37" s="878" t="s">
        <v>597</v>
      </c>
      <c r="G37" s="879"/>
      <c r="H37" s="871"/>
      <c r="I37" s="871"/>
    </row>
    <row r="38" spans="1:9" s="880" customFormat="1" ht="19.5" customHeight="1">
      <c r="A38" s="3341"/>
      <c r="B38" s="3341"/>
      <c r="C38" s="876" t="s">
        <v>598</v>
      </c>
      <c r="D38" s="877"/>
      <c r="E38" s="875">
        <v>1</v>
      </c>
      <c r="F38" s="878" t="s">
        <v>599</v>
      </c>
      <c r="G38" s="879"/>
      <c r="H38" s="871"/>
      <c r="I38" s="871"/>
    </row>
    <row r="39" spans="1:9" s="880" customFormat="1" ht="19.5" customHeight="1">
      <c r="A39" s="3341"/>
      <c r="B39" s="334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6"/>
      <c r="B60" s="936"/>
      <c r="C60" s="936" t="s">
        <v>745</v>
      </c>
      <c r="D60" s="936"/>
      <c r="E60" s="888" t="s">
        <v>1</v>
      </c>
      <c r="F60" s="936" t="s">
        <v>1</v>
      </c>
    </row>
    <row r="61" spans="1:8" s="871" customFormat="1" ht="36">
      <c r="A61" s="875">
        <v>1</v>
      </c>
      <c r="B61" s="3341" t="s">
        <v>614</v>
      </c>
      <c r="C61" s="811" t="s">
        <v>615</v>
      </c>
      <c r="D61" s="811" t="s">
        <v>616</v>
      </c>
      <c r="E61" s="888">
        <v>0.5</v>
      </c>
      <c r="F61" s="875">
        <v>80</v>
      </c>
    </row>
    <row r="62" spans="1:8" s="871" customFormat="1" ht="36">
      <c r="A62" s="875">
        <v>2</v>
      </c>
      <c r="B62" s="3341"/>
      <c r="C62" s="811" t="s">
        <v>617</v>
      </c>
      <c r="D62" s="811" t="s">
        <v>618</v>
      </c>
      <c r="E62" s="888">
        <v>0.5</v>
      </c>
      <c r="F62" s="875">
        <v>80</v>
      </c>
    </row>
    <row r="63" spans="1:8" s="871" customFormat="1" ht="48">
      <c r="A63" s="875">
        <v>3</v>
      </c>
      <c r="B63" s="3341"/>
      <c r="C63" s="811" t="s">
        <v>619</v>
      </c>
      <c r="D63" s="811" t="s">
        <v>620</v>
      </c>
      <c r="E63" s="888">
        <v>0.5</v>
      </c>
      <c r="F63" s="875">
        <v>80</v>
      </c>
    </row>
    <row r="64" spans="1:8" s="871" customFormat="1" ht="48">
      <c r="A64" s="875">
        <v>4</v>
      </c>
      <c r="B64" s="3341"/>
      <c r="C64" s="811" t="s">
        <v>621</v>
      </c>
      <c r="D64" s="811" t="s">
        <v>622</v>
      </c>
      <c r="E64" s="888">
        <v>0.4</v>
      </c>
      <c r="F64" s="875">
        <v>60</v>
      </c>
    </row>
    <row r="65" spans="1:6" s="871" customFormat="1" ht="48">
      <c r="A65" s="875">
        <v>5</v>
      </c>
      <c r="B65" s="3341"/>
      <c r="C65" s="811" t="s">
        <v>623</v>
      </c>
      <c r="D65" s="811" t="s">
        <v>624</v>
      </c>
      <c r="E65" s="888">
        <v>0.2</v>
      </c>
      <c r="F65" s="875">
        <v>30</v>
      </c>
    </row>
    <row r="66" spans="1:6" s="871" customFormat="1" ht="48">
      <c r="A66" s="875">
        <v>6</v>
      </c>
      <c r="B66" s="3341"/>
      <c r="C66" s="811" t="s">
        <v>625</v>
      </c>
      <c r="D66" s="811" t="s">
        <v>626</v>
      </c>
      <c r="E66" s="888">
        <v>0.3</v>
      </c>
      <c r="F66" s="875">
        <v>50</v>
      </c>
    </row>
    <row r="67" spans="1:6" s="871" customFormat="1" ht="48">
      <c r="A67" s="875">
        <v>7</v>
      </c>
      <c r="B67" s="3341"/>
      <c r="C67" s="811" t="s">
        <v>627</v>
      </c>
      <c r="D67" s="811" t="s">
        <v>628</v>
      </c>
      <c r="E67" s="888">
        <v>0.2</v>
      </c>
      <c r="F67" s="875">
        <v>30</v>
      </c>
    </row>
    <row r="68" spans="1:6" s="871" customFormat="1" ht="48">
      <c r="A68" s="875">
        <v>8</v>
      </c>
      <c r="B68" s="3341"/>
      <c r="C68" s="811" t="s">
        <v>629</v>
      </c>
      <c r="D68" s="811" t="s">
        <v>630</v>
      </c>
      <c r="E68" s="888">
        <v>0.2</v>
      </c>
      <c r="F68" s="875">
        <v>30</v>
      </c>
    </row>
    <row r="69" spans="1:6" s="871" customFormat="1" ht="48">
      <c r="A69" s="875">
        <v>9</v>
      </c>
      <c r="B69" s="3341"/>
      <c r="C69" s="811" t="s">
        <v>631</v>
      </c>
      <c r="D69" s="811" t="s">
        <v>632</v>
      </c>
      <c r="E69" s="888">
        <v>0.2</v>
      </c>
      <c r="F69" s="875">
        <v>30</v>
      </c>
    </row>
    <row r="70" spans="1:6" s="871" customFormat="1" ht="60">
      <c r="A70" s="875">
        <v>10</v>
      </c>
      <c r="B70" s="3341"/>
      <c r="C70" s="811" t="s">
        <v>633</v>
      </c>
      <c r="D70" s="811" t="s">
        <v>634</v>
      </c>
      <c r="E70" s="888">
        <v>0.2</v>
      </c>
      <c r="F70" s="875">
        <v>30</v>
      </c>
    </row>
    <row r="71" spans="1:6" s="871" customFormat="1" ht="60">
      <c r="A71" s="875">
        <v>11</v>
      </c>
      <c r="B71" s="3341"/>
      <c r="C71" s="811" t="s">
        <v>635</v>
      </c>
      <c r="D71" s="811" t="s">
        <v>636</v>
      </c>
      <c r="E71" s="888">
        <v>0.2</v>
      </c>
      <c r="F71" s="875">
        <v>30</v>
      </c>
    </row>
    <row r="72" spans="1:6" s="871" customFormat="1" ht="36">
      <c r="A72" s="875">
        <v>12</v>
      </c>
      <c r="B72" s="3341"/>
      <c r="C72" s="811" t="s">
        <v>637</v>
      </c>
      <c r="D72" s="811" t="s">
        <v>638</v>
      </c>
      <c r="E72" s="888">
        <v>0.5</v>
      </c>
      <c r="F72" s="875">
        <v>80</v>
      </c>
    </row>
    <row r="73" spans="1:6" s="871" customFormat="1" ht="36">
      <c r="A73" s="875">
        <v>13</v>
      </c>
      <c r="B73" s="3341"/>
      <c r="C73" s="811" t="s">
        <v>639</v>
      </c>
      <c r="D73" s="811" t="s">
        <v>640</v>
      </c>
      <c r="E73" s="888">
        <v>0.4</v>
      </c>
      <c r="F73" s="875">
        <v>60</v>
      </c>
    </row>
    <row r="74" spans="1:6" s="871" customFormat="1" ht="36">
      <c r="A74" s="875">
        <v>14</v>
      </c>
      <c r="B74" s="3341"/>
      <c r="C74" s="811" t="s">
        <v>641</v>
      </c>
      <c r="D74" s="811" t="s">
        <v>642</v>
      </c>
      <c r="E74" s="888">
        <v>0.2</v>
      </c>
      <c r="F74" s="875">
        <v>30</v>
      </c>
    </row>
    <row r="75" spans="1:6" s="871" customFormat="1" ht="36">
      <c r="A75" s="875">
        <v>15</v>
      </c>
      <c r="B75" s="3341"/>
      <c r="C75" s="811" t="s">
        <v>643</v>
      </c>
      <c r="D75" s="811" t="s">
        <v>644</v>
      </c>
      <c r="E75" s="888">
        <v>0.2</v>
      </c>
      <c r="F75" s="875">
        <v>30</v>
      </c>
    </row>
    <row r="76" spans="1:6" s="871" customFormat="1" ht="36">
      <c r="A76" s="875">
        <v>16</v>
      </c>
      <c r="B76" s="3341" t="s">
        <v>645</v>
      </c>
      <c r="C76" s="811" t="s">
        <v>646</v>
      </c>
      <c r="D76" s="811" t="s">
        <v>647</v>
      </c>
      <c r="E76" s="888">
        <v>0.5</v>
      </c>
      <c r="F76" s="875">
        <v>80</v>
      </c>
    </row>
    <row r="77" spans="1:6" s="871" customFormat="1" ht="36">
      <c r="A77" s="875">
        <v>17</v>
      </c>
      <c r="B77" s="3341"/>
      <c r="C77" s="811" t="s">
        <v>648</v>
      </c>
      <c r="D77" s="811" t="s">
        <v>649</v>
      </c>
      <c r="E77" s="888">
        <v>0.5</v>
      </c>
      <c r="F77" s="875">
        <v>80</v>
      </c>
    </row>
    <row r="78" spans="1:6" s="871" customFormat="1" ht="36">
      <c r="A78" s="875">
        <v>18</v>
      </c>
      <c r="B78" s="3341"/>
      <c r="C78" s="811" t="s">
        <v>650</v>
      </c>
      <c r="D78" s="811" t="s">
        <v>651</v>
      </c>
      <c r="E78" s="888">
        <v>0.2</v>
      </c>
      <c r="F78" s="875">
        <v>30</v>
      </c>
    </row>
    <row r="79" spans="1:6" s="871" customFormat="1" ht="36">
      <c r="A79" s="875">
        <v>19</v>
      </c>
      <c r="B79" s="3341"/>
      <c r="C79" s="811" t="s">
        <v>652</v>
      </c>
      <c r="D79" s="811" t="s">
        <v>653</v>
      </c>
      <c r="E79" s="888">
        <v>0.5</v>
      </c>
      <c r="F79" s="875">
        <v>80</v>
      </c>
    </row>
    <row r="80" spans="1:6" s="871" customFormat="1" ht="36">
      <c r="A80" s="875">
        <v>20</v>
      </c>
      <c r="B80" s="3341"/>
      <c r="C80" s="811" t="s">
        <v>654</v>
      </c>
      <c r="D80" s="811" t="s">
        <v>655</v>
      </c>
      <c r="E80" s="888">
        <v>0.2</v>
      </c>
      <c r="F80" s="875">
        <v>30</v>
      </c>
    </row>
    <row r="81" spans="1:6" s="871" customFormat="1" ht="36">
      <c r="A81" s="875">
        <v>21</v>
      </c>
      <c r="B81" s="3341"/>
      <c r="C81" s="811" t="s">
        <v>656</v>
      </c>
      <c r="D81" s="811" t="s">
        <v>657</v>
      </c>
      <c r="E81" s="888">
        <v>0.2</v>
      </c>
      <c r="F81" s="875">
        <v>30</v>
      </c>
    </row>
    <row r="82" spans="1:6" s="871" customFormat="1" ht="60">
      <c r="A82" s="875">
        <v>22</v>
      </c>
      <c r="B82" s="3341"/>
      <c r="C82" s="811" t="s">
        <v>658</v>
      </c>
      <c r="D82" s="811" t="s">
        <v>659</v>
      </c>
      <c r="E82" s="888">
        <v>0.2</v>
      </c>
      <c r="F82" s="875">
        <v>30</v>
      </c>
    </row>
    <row r="83" spans="1:6" s="871" customFormat="1" ht="60">
      <c r="A83" s="875">
        <v>23</v>
      </c>
      <c r="B83" s="3341"/>
      <c r="C83" s="811" t="s">
        <v>660</v>
      </c>
      <c r="D83" s="811" t="s">
        <v>661</v>
      </c>
      <c r="E83" s="888">
        <v>0.2</v>
      </c>
      <c r="F83" s="875">
        <v>30</v>
      </c>
    </row>
    <row r="84" spans="1:6" s="871" customFormat="1" ht="48">
      <c r="A84" s="875">
        <v>24</v>
      </c>
      <c r="B84" s="3341"/>
      <c r="C84" s="811" t="s">
        <v>662</v>
      </c>
      <c r="D84" s="811" t="s">
        <v>663</v>
      </c>
      <c r="E84" s="888">
        <v>0.2</v>
      </c>
      <c r="F84" s="875">
        <v>30</v>
      </c>
    </row>
    <row r="85" spans="1:6" s="871" customFormat="1" ht="36">
      <c r="A85" s="875">
        <v>25</v>
      </c>
      <c r="B85" s="3341"/>
      <c r="C85" s="811" t="s">
        <v>664</v>
      </c>
      <c r="D85" s="811" t="s">
        <v>665</v>
      </c>
      <c r="E85" s="888">
        <v>0.5</v>
      </c>
      <c r="F85" s="875">
        <v>80</v>
      </c>
    </row>
    <row r="86" spans="1:6" s="871" customFormat="1" ht="36">
      <c r="A86" s="875">
        <v>26</v>
      </c>
      <c r="B86" s="3341"/>
      <c r="C86" s="811" t="s">
        <v>666</v>
      </c>
      <c r="D86" s="811" t="s">
        <v>667</v>
      </c>
      <c r="E86" s="888">
        <v>0.2</v>
      </c>
      <c r="F86" s="875">
        <v>30</v>
      </c>
    </row>
    <row r="87" spans="1:6" s="871" customFormat="1" ht="36">
      <c r="A87" s="875">
        <v>27</v>
      </c>
      <c r="B87" s="3341"/>
      <c r="C87" s="811" t="s">
        <v>668</v>
      </c>
      <c r="D87" s="811" t="s">
        <v>669</v>
      </c>
      <c r="E87" s="888">
        <v>0.2</v>
      </c>
      <c r="F87" s="875">
        <v>30</v>
      </c>
    </row>
    <row r="88" spans="1:6" s="871" customFormat="1" ht="36">
      <c r="A88" s="875">
        <v>28</v>
      </c>
      <c r="B88" s="3341"/>
      <c r="C88" s="811" t="s">
        <v>670</v>
      </c>
      <c r="D88" s="811" t="s">
        <v>671</v>
      </c>
      <c r="E88" s="888">
        <v>0.2</v>
      </c>
      <c r="F88" s="875">
        <v>30</v>
      </c>
    </row>
    <row r="89" spans="1:6" s="871" customFormat="1" ht="36">
      <c r="A89" s="875">
        <v>29</v>
      </c>
      <c r="B89" s="3341"/>
      <c r="C89" s="811" t="s">
        <v>672</v>
      </c>
      <c r="D89" s="811" t="s">
        <v>673</v>
      </c>
      <c r="E89" s="888">
        <v>0.2</v>
      </c>
      <c r="F89" s="875">
        <v>30</v>
      </c>
    </row>
    <row r="90" spans="1:6" s="871" customFormat="1" ht="36">
      <c r="A90" s="875">
        <v>30</v>
      </c>
      <c r="B90" s="3341"/>
      <c r="C90" s="811" t="s">
        <v>674</v>
      </c>
      <c r="D90" s="811" t="s">
        <v>675</v>
      </c>
      <c r="E90" s="888">
        <v>0.2</v>
      </c>
      <c r="F90" s="875">
        <v>30</v>
      </c>
    </row>
    <row r="91" spans="1:6" s="871" customFormat="1" ht="48">
      <c r="A91" s="875">
        <v>31</v>
      </c>
      <c r="B91" s="3341"/>
      <c r="C91" s="811" t="s">
        <v>676</v>
      </c>
      <c r="D91" s="811" t="s">
        <v>677</v>
      </c>
      <c r="E91" s="888">
        <v>0.2</v>
      </c>
      <c r="F91" s="875">
        <v>30</v>
      </c>
    </row>
    <row r="92" spans="1:6" s="871" customFormat="1" ht="36">
      <c r="A92" s="875">
        <v>32</v>
      </c>
      <c r="B92" s="3341" t="s">
        <v>678</v>
      </c>
      <c r="C92" s="875" t="s">
        <v>679</v>
      </c>
      <c r="D92" s="811" t="s">
        <v>680</v>
      </c>
      <c r="E92" s="888">
        <v>0.2</v>
      </c>
      <c r="F92" s="875">
        <v>30</v>
      </c>
    </row>
    <row r="93" spans="1:6" s="871" customFormat="1" ht="36">
      <c r="A93" s="875">
        <v>33</v>
      </c>
      <c r="B93" s="3341"/>
      <c r="C93" s="875" t="s">
        <v>681</v>
      </c>
      <c r="D93" s="811" t="s">
        <v>682</v>
      </c>
      <c r="E93" s="888">
        <v>0.2</v>
      </c>
      <c r="F93" s="875">
        <v>30</v>
      </c>
    </row>
    <row r="94" spans="1:6" s="871" customFormat="1" ht="60">
      <c r="A94" s="875">
        <v>34</v>
      </c>
      <c r="B94" s="3341"/>
      <c r="C94" s="875" t="s">
        <v>683</v>
      </c>
      <c r="D94" s="811" t="s">
        <v>684</v>
      </c>
      <c r="E94" s="888">
        <v>0.2</v>
      </c>
      <c r="F94" s="875">
        <v>30</v>
      </c>
    </row>
    <row r="95" spans="1:6" s="871" customFormat="1" ht="48">
      <c r="A95" s="875">
        <v>35</v>
      </c>
      <c r="B95" s="3341"/>
      <c r="C95" s="875" t="s">
        <v>685</v>
      </c>
      <c r="D95" s="811" t="s">
        <v>686</v>
      </c>
      <c r="E95" s="888">
        <v>0.2</v>
      </c>
      <c r="F95" s="875">
        <v>30</v>
      </c>
    </row>
    <row r="96" spans="1:6" s="871" customFormat="1" ht="72">
      <c r="A96" s="875">
        <v>36</v>
      </c>
      <c r="B96" s="3341"/>
      <c r="C96" s="811" t="s">
        <v>687</v>
      </c>
      <c r="D96" s="811" t="s">
        <v>688</v>
      </c>
      <c r="E96" s="888">
        <v>0.2</v>
      </c>
      <c r="F96" s="875">
        <v>30</v>
      </c>
    </row>
    <row r="97" spans="1:6" s="871" customFormat="1" ht="36">
      <c r="A97" s="875">
        <v>37</v>
      </c>
      <c r="B97" s="3341"/>
      <c r="C97" s="875" t="s">
        <v>689</v>
      </c>
      <c r="D97" s="811" t="s">
        <v>690</v>
      </c>
      <c r="E97" s="888">
        <v>0.2</v>
      </c>
      <c r="F97" s="875">
        <v>30</v>
      </c>
    </row>
    <row r="98" spans="1:6" s="871" customFormat="1" ht="36">
      <c r="A98" s="875">
        <v>38</v>
      </c>
      <c r="B98" s="3341"/>
      <c r="C98" s="875" t="s">
        <v>691</v>
      </c>
      <c r="D98" s="811" t="s">
        <v>692</v>
      </c>
      <c r="E98" s="888">
        <v>0.2</v>
      </c>
      <c r="F98" s="875">
        <v>30</v>
      </c>
    </row>
    <row r="99" spans="1:6" s="871" customFormat="1" ht="36">
      <c r="A99" s="875">
        <v>39</v>
      </c>
      <c r="B99" s="3341" t="s">
        <v>693</v>
      </c>
      <c r="C99" s="875" t="s">
        <v>694</v>
      </c>
      <c r="D99" s="811" t="s">
        <v>695</v>
      </c>
      <c r="E99" s="888">
        <v>0.3</v>
      </c>
      <c r="F99" s="875">
        <v>50</v>
      </c>
    </row>
    <row r="100" spans="1:6" s="871" customFormat="1" ht="36">
      <c r="A100" s="875">
        <v>40</v>
      </c>
      <c r="B100" s="3341"/>
      <c r="C100" s="875" t="s">
        <v>696</v>
      </c>
      <c r="D100" s="811" t="s">
        <v>697</v>
      </c>
      <c r="E100" s="888">
        <v>0.2</v>
      </c>
      <c r="F100" s="875">
        <v>30</v>
      </c>
    </row>
    <row r="101" spans="1:6" s="871" customFormat="1" ht="36">
      <c r="A101" s="875">
        <v>41</v>
      </c>
      <c r="B101" s="3341"/>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41" t="s">
        <v>708</v>
      </c>
      <c r="C105" s="875" t="s">
        <v>709</v>
      </c>
      <c r="D105" s="811" t="s">
        <v>710</v>
      </c>
      <c r="E105" s="888">
        <v>0.2</v>
      </c>
      <c r="F105" s="875">
        <v>30</v>
      </c>
    </row>
    <row r="106" spans="1:6" s="871" customFormat="1" ht="48">
      <c r="A106" s="875">
        <v>46</v>
      </c>
      <c r="B106" s="3341"/>
      <c r="C106" s="875" t="s">
        <v>711</v>
      </c>
      <c r="D106" s="811" t="s">
        <v>712</v>
      </c>
      <c r="E106" s="888">
        <v>0.2</v>
      </c>
      <c r="F106" s="875">
        <v>30</v>
      </c>
    </row>
    <row r="107" spans="1:6" s="871" customFormat="1" ht="36">
      <c r="A107" s="875">
        <v>47</v>
      </c>
      <c r="B107" s="3341" t="s">
        <v>713</v>
      </c>
      <c r="C107" s="875" t="s">
        <v>714</v>
      </c>
      <c r="D107" s="811" t="s">
        <v>715</v>
      </c>
      <c r="E107" s="888">
        <v>0.3</v>
      </c>
      <c r="F107" s="875">
        <v>50</v>
      </c>
    </row>
    <row r="108" spans="1:6" s="871" customFormat="1" ht="48">
      <c r="A108" s="875">
        <v>48</v>
      </c>
      <c r="B108" s="334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41" t="s">
        <v>724</v>
      </c>
      <c r="C111" s="875" t="s">
        <v>725</v>
      </c>
      <c r="D111" s="811" t="s">
        <v>726</v>
      </c>
      <c r="E111" s="888">
        <v>0.2</v>
      </c>
      <c r="F111" s="875">
        <v>30</v>
      </c>
    </row>
    <row r="112" spans="1:6" s="871" customFormat="1" ht="36">
      <c r="A112" s="875">
        <v>52</v>
      </c>
      <c r="B112" s="3341"/>
      <c r="C112" s="875" t="s">
        <v>727</v>
      </c>
      <c r="D112" s="811" t="s">
        <v>728</v>
      </c>
      <c r="E112" s="888">
        <v>0.2</v>
      </c>
      <c r="F112" s="875">
        <v>30</v>
      </c>
    </row>
    <row r="113" spans="1:6" s="871" customFormat="1" ht="36">
      <c r="A113" s="875">
        <v>53</v>
      </c>
      <c r="B113" s="3341"/>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41" t="s">
        <v>737</v>
      </c>
      <c r="C116" s="875" t="s">
        <v>738</v>
      </c>
      <c r="D116" s="811" t="s">
        <v>739</v>
      </c>
      <c r="E116" s="888">
        <v>0.2</v>
      </c>
      <c r="F116" s="875">
        <v>30</v>
      </c>
    </row>
    <row r="117" spans="1:6" ht="36">
      <c r="A117" s="875">
        <v>57</v>
      </c>
      <c r="B117" s="3341"/>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0.7409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4" t="s">
        <v>3003</v>
      </c>
    </row>
    <row r="2" spans="1:5" ht="15.6">
      <c r="A2" s="2903" t="s">
        <v>2995</v>
      </c>
      <c r="B2" s="2904">
        <f ca="1">SUMIF(B6:B13,"&lt;&gt;#ref!",B6:B13)</f>
        <v>0</v>
      </c>
      <c r="C2" s="2903" t="s">
        <v>2996</v>
      </c>
      <c r="D2" s="2903" t="s">
        <v>2997</v>
      </c>
      <c r="E2" s="2904" t="e">
        <f ca="1">SUM(E6:E13)</f>
        <v>#REF!</v>
      </c>
    </row>
    <row r="3" spans="1:5" ht="15.6">
      <c r="A3" s="2903" t="s">
        <v>2998</v>
      </c>
      <c r="B3" s="2904" t="e">
        <f ca="1">ROUND(B2*10000/E2,0)</f>
        <v>#REF!</v>
      </c>
      <c r="C3" s="2903" t="s">
        <v>3004</v>
      </c>
      <c r="D3" s="2905"/>
      <c r="E3" s="2905"/>
    </row>
    <row r="4" spans="1:5" ht="15.6">
      <c r="A4" s="2906"/>
      <c r="B4" s="2905"/>
      <c r="C4" s="2905"/>
      <c r="D4" s="2905"/>
      <c r="E4" s="2905"/>
    </row>
    <row r="5" spans="1:5" ht="31.2">
      <c r="A5" s="2907" t="s">
        <v>2999</v>
      </c>
      <c r="B5" s="2903" t="s">
        <v>3000</v>
      </c>
      <c r="C5" s="2904"/>
      <c r="D5" s="2905"/>
      <c r="E5" s="2903" t="s">
        <v>3001</v>
      </c>
    </row>
    <row r="6" spans="1:5" ht="15.6">
      <c r="A6" s="2908" t="s">
        <v>3002</v>
      </c>
      <c r="B6" s="2904">
        <f ca="1">SUMIF(INDIRECT("'"&amp;A6&amp;"'"&amp;"!A:A"),"总价",INDIRECT("'"&amp;A6&amp;"'"&amp;"!B:B"))</f>
        <v>0</v>
      </c>
      <c r="C6" s="2903" t="s">
        <v>2996</v>
      </c>
      <c r="D6" s="2905"/>
      <c r="E6" s="2568">
        <f ca="1">SUMIF(INDIRECT("'"&amp;A6&amp;"'"&amp;"!C:C"),"建筑面积",INDIRECT("'"&amp;A6&amp;"'"&amp;"!D:D"))</f>
        <v>10000</v>
      </c>
    </row>
    <row r="7" spans="1:5" ht="15.6">
      <c r="A7" s="2908"/>
      <c r="B7" s="2904" t="e">
        <f ca="1">SUMIF(INDIRECT("'"&amp;A7&amp;"'"&amp;"!A:A"),"总价",INDIRECT("'"&amp;A7&amp;"'"&amp;"!B:B"))</f>
        <v>#REF!</v>
      </c>
      <c r="C7" s="2903" t="s">
        <v>2996</v>
      </c>
      <c r="D7" s="2905"/>
      <c r="E7" s="2568" t="e">
        <f t="shared" ref="E7:E13" ca="1" si="0">SUMIF(INDIRECT("'"&amp;A7&amp;"'"&amp;"!C:C"),"建筑面积",INDIRECT("'"&amp;A7&amp;"'"&amp;"!D:D"))</f>
        <v>#REF!</v>
      </c>
    </row>
    <row r="8" spans="1:5" ht="15.6">
      <c r="A8" s="2908"/>
      <c r="B8" s="2904" t="e">
        <f t="shared" ref="B8:B13" ca="1" si="1">SUMIF(INDIRECT("'"&amp;A8&amp;"'"&amp;"!A:A"),"总价",INDIRECT("'"&amp;A8&amp;"'"&amp;"!B:B"))</f>
        <v>#REF!</v>
      </c>
      <c r="C8" s="2903" t="s">
        <v>2996</v>
      </c>
      <c r="D8" s="2905"/>
      <c r="E8" s="2568" t="e">
        <f t="shared" ca="1" si="0"/>
        <v>#REF!</v>
      </c>
    </row>
    <row r="9" spans="1:5" ht="15.6">
      <c r="A9" s="2908"/>
      <c r="B9" s="2904" t="e">
        <f t="shared" ca="1" si="1"/>
        <v>#REF!</v>
      </c>
      <c r="C9" s="2903" t="s">
        <v>2996</v>
      </c>
      <c r="D9" s="2905"/>
      <c r="E9" s="2568" t="e">
        <f t="shared" ca="1" si="0"/>
        <v>#REF!</v>
      </c>
    </row>
    <row r="10" spans="1:5" ht="15.6">
      <c r="A10" s="2908"/>
      <c r="B10" s="2904" t="e">
        <f t="shared" ca="1" si="1"/>
        <v>#REF!</v>
      </c>
      <c r="C10" s="2903" t="s">
        <v>2996</v>
      </c>
      <c r="D10" s="2905"/>
      <c r="E10" s="2568" t="e">
        <f t="shared" ca="1" si="0"/>
        <v>#REF!</v>
      </c>
    </row>
    <row r="11" spans="1:5" ht="15.6">
      <c r="A11" s="2908"/>
      <c r="B11" s="2904" t="e">
        <f t="shared" ca="1" si="1"/>
        <v>#REF!</v>
      </c>
      <c r="C11" s="2903" t="s">
        <v>2996</v>
      </c>
      <c r="D11" s="2905"/>
      <c r="E11" s="2568" t="e">
        <f t="shared" ca="1" si="0"/>
        <v>#REF!</v>
      </c>
    </row>
    <row r="12" spans="1:5" ht="15.6">
      <c r="A12" s="2908"/>
      <c r="B12" s="2904" t="e">
        <f t="shared" ca="1" si="1"/>
        <v>#REF!</v>
      </c>
      <c r="C12" s="2903" t="s">
        <v>2996</v>
      </c>
      <c r="D12" s="2905"/>
      <c r="E12" s="2568" t="e">
        <f t="shared" ca="1" si="0"/>
        <v>#REF!</v>
      </c>
    </row>
    <row r="13" spans="1:5" ht="15.6">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47" t="s">
        <v>1150</v>
      </c>
      <c r="C1" s="3347"/>
      <c r="D1" s="3347"/>
      <c r="E1" s="3347"/>
      <c r="F1" s="3347"/>
      <c r="G1" s="3346" t="s">
        <v>1151</v>
      </c>
      <c r="H1" s="3346"/>
      <c r="I1" s="3346"/>
      <c r="J1" s="3346"/>
      <c r="K1" s="3346"/>
      <c r="L1" s="3346"/>
      <c r="N1" s="3346" t="s">
        <v>1152</v>
      </c>
      <c r="O1" s="3346"/>
      <c r="P1" s="3346"/>
      <c r="Q1" s="3346"/>
      <c r="R1" s="1442"/>
      <c r="S1" s="3346" t="s">
        <v>1153</v>
      </c>
      <c r="T1" s="3346"/>
      <c r="U1" s="3346"/>
      <c r="V1" s="3346"/>
      <c r="X1" s="3345" t="s">
        <v>1154</v>
      </c>
      <c r="Y1" s="3346"/>
      <c r="Z1" s="3346"/>
      <c r="AA1" s="3346"/>
      <c r="AB1" s="3346"/>
      <c r="AD1" s="3345" t="s">
        <v>1155</v>
      </c>
      <c r="AE1" s="3346"/>
      <c r="AF1" s="3346"/>
      <c r="AG1" s="3346"/>
      <c r="AH1" s="3346"/>
    </row>
    <row r="2" spans="1:34" s="1443" customFormat="1" ht="1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4">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4">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8"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8"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48">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43"/>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43"/>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8"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44"/>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8" thickBot="1">
      <c r="A14" s="1457" t="s">
        <v>151</v>
      </c>
      <c r="B14" s="1465">
        <v>333</v>
      </c>
      <c r="C14" s="1465">
        <v>277</v>
      </c>
      <c r="D14" s="1465">
        <f t="shared" si="35"/>
        <v>277</v>
      </c>
      <c r="E14" s="1465">
        <v>459</v>
      </c>
      <c r="F14" s="1466">
        <v>249</v>
      </c>
      <c r="G14" s="3342">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43"/>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43"/>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44"/>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8" thickBot="1">
      <c r="A18" s="1457" t="s">
        <v>147</v>
      </c>
      <c r="B18" s="1486">
        <v>318</v>
      </c>
      <c r="C18" s="1486">
        <v>268</v>
      </c>
      <c r="D18" s="1486">
        <f t="shared" si="35"/>
        <v>268</v>
      </c>
      <c r="E18" s="1486">
        <v>437</v>
      </c>
      <c r="F18" s="1487">
        <v>237</v>
      </c>
      <c r="G18" s="3342">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43"/>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8"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43"/>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8"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44"/>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8" thickBot="1">
      <c r="A22" s="1457" t="s">
        <v>1163</v>
      </c>
      <c r="B22" s="1465">
        <v>299</v>
      </c>
      <c r="C22" s="1465">
        <v>252</v>
      </c>
      <c r="D22" s="1465">
        <f t="shared" si="35"/>
        <v>252</v>
      </c>
      <c r="E22" s="1465">
        <v>409</v>
      </c>
      <c r="F22" s="1466">
        <v>227</v>
      </c>
      <c r="G22" s="3349">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50"/>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50"/>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51"/>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8" thickBot="1">
      <c r="A26" s="1457" t="s">
        <v>1167</v>
      </c>
      <c r="B26" s="1507">
        <v>278</v>
      </c>
      <c r="C26" s="1507">
        <v>234</v>
      </c>
      <c r="D26" s="1507">
        <f t="shared" si="35"/>
        <v>234</v>
      </c>
      <c r="E26" s="1507">
        <v>379</v>
      </c>
      <c r="F26" s="1508">
        <v>220</v>
      </c>
      <c r="G26" s="3342">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43"/>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43"/>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8" thickBot="1">
      <c r="A29" s="1457" t="s">
        <v>1170</v>
      </c>
      <c r="B29" s="1473">
        <f>B28/(1+N28)</f>
        <v>275.19025476197027</v>
      </c>
      <c r="C29" s="1509">
        <v>232</v>
      </c>
      <c r="D29" s="1509">
        <f t="shared" si="35"/>
        <v>232</v>
      </c>
      <c r="E29" s="1473">
        <f t="shared" si="46"/>
        <v>375.65990977608692</v>
      </c>
      <c r="F29" s="1473">
        <f t="shared" si="46"/>
        <v>214.12518283971252</v>
      </c>
      <c r="G29" s="3344"/>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8" thickBot="1">
      <c r="A30" s="1457" t="s">
        <v>1171</v>
      </c>
      <c r="B30" s="1465">
        <v>275</v>
      </c>
      <c r="C30" s="1465">
        <v>232</v>
      </c>
      <c r="D30" s="1465">
        <f t="shared" si="35"/>
        <v>232</v>
      </c>
      <c r="E30" s="1465">
        <v>376</v>
      </c>
      <c r="F30" s="1466">
        <v>213</v>
      </c>
      <c r="G30" s="3342">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43">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43">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8"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44">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8" thickBot="1">
      <c r="A34" s="1457" t="s">
        <v>1175</v>
      </c>
      <c r="B34" s="1465">
        <v>269</v>
      </c>
      <c r="C34" s="1465">
        <v>221</v>
      </c>
      <c r="D34" s="1465">
        <f t="shared" si="35"/>
        <v>221</v>
      </c>
      <c r="E34" s="1465">
        <v>373</v>
      </c>
      <c r="F34" s="1466">
        <v>196</v>
      </c>
      <c r="G34" s="3342">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43">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43">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8"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44">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8" thickBot="1">
      <c r="A38" s="1457" t="s">
        <v>1179</v>
      </c>
      <c r="B38" s="1465">
        <v>220</v>
      </c>
      <c r="C38" s="1465">
        <v>187</v>
      </c>
      <c r="D38" s="1465">
        <f t="shared" si="35"/>
        <v>187</v>
      </c>
      <c r="E38" s="1465">
        <v>301</v>
      </c>
      <c r="F38" s="1466">
        <v>168</v>
      </c>
      <c r="G38" s="3342">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43">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43">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44">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8" thickBot="1">
      <c r="A42" s="1457" t="s">
        <v>1183</v>
      </c>
      <c r="B42" s="1507">
        <v>214</v>
      </c>
      <c r="C42" s="1507">
        <v>188</v>
      </c>
      <c r="D42" s="1507">
        <f t="shared" si="35"/>
        <v>188</v>
      </c>
      <c r="E42" s="1507">
        <v>289</v>
      </c>
      <c r="F42" s="1508">
        <v>166</v>
      </c>
      <c r="G42" s="3342">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43">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43">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8"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44">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8" thickBot="1">
      <c r="A46" s="1457" t="s">
        <v>1187</v>
      </c>
      <c r="B46" s="1465">
        <v>188</v>
      </c>
      <c r="C46" s="1465">
        <v>165</v>
      </c>
      <c r="D46" s="1465">
        <f t="shared" si="35"/>
        <v>165</v>
      </c>
      <c r="E46" s="1465">
        <v>254</v>
      </c>
      <c r="F46" s="1466">
        <v>148</v>
      </c>
      <c r="G46" s="3342">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43">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43">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44">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8" thickBot="1">
      <c r="A50" s="1457" t="s">
        <v>1191</v>
      </c>
      <c r="B50" s="1486">
        <v>159</v>
      </c>
      <c r="C50" s="1486">
        <v>141</v>
      </c>
      <c r="D50" s="1486">
        <f t="shared" si="35"/>
        <v>141</v>
      </c>
      <c r="E50" s="1486">
        <v>195</v>
      </c>
      <c r="F50" s="1487">
        <v>122</v>
      </c>
      <c r="G50" s="3342">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43">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43">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44">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8" thickBot="1">
      <c r="A54" s="1457" t="s">
        <v>1195</v>
      </c>
      <c r="B54" s="1486">
        <v>138</v>
      </c>
      <c r="C54" s="1486">
        <v>131</v>
      </c>
      <c r="D54" s="1486">
        <f t="shared" si="35"/>
        <v>131</v>
      </c>
      <c r="E54" s="1486">
        <v>155</v>
      </c>
      <c r="F54" s="1487">
        <v>114</v>
      </c>
      <c r="G54" s="3342">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43">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43">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44">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8" thickBot="1">
      <c r="A58" s="1457" t="s">
        <v>1199</v>
      </c>
      <c r="B58" s="1507">
        <v>121</v>
      </c>
      <c r="C58" s="1507">
        <v>122</v>
      </c>
      <c r="D58" s="1507">
        <f t="shared" si="35"/>
        <v>122</v>
      </c>
      <c r="E58" s="1507">
        <v>124</v>
      </c>
      <c r="F58" s="1508">
        <v>107</v>
      </c>
      <c r="G58" s="3342">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43">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43">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8"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44">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8" thickBot="1">
      <c r="A62" s="1457" t="s">
        <v>1203</v>
      </c>
      <c r="B62" s="1528">
        <v>111</v>
      </c>
      <c r="C62" s="1528">
        <v>114</v>
      </c>
      <c r="D62" s="1528">
        <f t="shared" si="35"/>
        <v>114</v>
      </c>
      <c r="E62" s="1528">
        <v>108</v>
      </c>
      <c r="F62" s="1529">
        <v>104</v>
      </c>
      <c r="G62" s="3342">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43">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43">
        <v>2003</v>
      </c>
      <c r="H64" s="1461">
        <v>2</v>
      </c>
      <c r="I64" s="1530"/>
      <c r="J64" s="1530"/>
      <c r="K64" s="1530"/>
      <c r="L64" s="1530"/>
      <c r="X64" s="1522"/>
      <c r="Y64" s="1522"/>
      <c r="Z64" s="1522"/>
    </row>
    <row r="65" spans="1:26" ht="13.8" thickBot="1">
      <c r="A65" s="1457" t="s">
        <v>1206</v>
      </c>
      <c r="B65" s="1532">
        <f t="shared" si="71"/>
        <v>107.25</v>
      </c>
      <c r="C65" s="1532">
        <f t="shared" si="71"/>
        <v>108.75</v>
      </c>
      <c r="D65" s="1532">
        <f t="shared" si="35"/>
        <v>108.75</v>
      </c>
      <c r="E65" s="1532">
        <f t="shared" si="72"/>
        <v>105.75</v>
      </c>
      <c r="F65" s="1532">
        <f t="shared" si="72"/>
        <v>102.5</v>
      </c>
      <c r="G65" s="3344">
        <v>2003</v>
      </c>
      <c r="H65" s="1533">
        <v>1</v>
      </c>
      <c r="I65" s="1530"/>
      <c r="J65" s="1530"/>
      <c r="K65" s="1530"/>
      <c r="L65" s="1530"/>
      <c r="S65" s="1468"/>
      <c r="T65" s="1469"/>
      <c r="U65" s="1469"/>
      <c r="X65" s="1522"/>
      <c r="Y65" s="1522"/>
      <c r="Z65" s="1522"/>
    </row>
    <row r="66" spans="1:26" ht="13.8" thickBot="1">
      <c r="A66" s="1457" t="s">
        <v>1207</v>
      </c>
      <c r="B66" s="1534">
        <v>106</v>
      </c>
      <c r="C66" s="1534">
        <v>107</v>
      </c>
      <c r="D66" s="1534">
        <f t="shared" si="35"/>
        <v>107</v>
      </c>
      <c r="E66" s="1534">
        <v>105</v>
      </c>
      <c r="F66" s="1535">
        <v>102</v>
      </c>
      <c r="G66" s="3342">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43">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43">
        <v>2002</v>
      </c>
      <c r="H68" s="1461">
        <v>2</v>
      </c>
      <c r="I68" s="1530"/>
      <c r="J68" s="1530"/>
      <c r="K68" s="1530"/>
      <c r="L68" s="1530"/>
      <c r="X68" s="1522"/>
      <c r="Y68" s="1522"/>
      <c r="Z68" s="1522"/>
    </row>
    <row r="69" spans="1:26" s="1494" customFormat="1" ht="13.8" thickBot="1">
      <c r="A69" s="1490" t="s">
        <v>1210</v>
      </c>
      <c r="B69" s="1536">
        <f t="shared" si="73"/>
        <v>103</v>
      </c>
      <c r="C69" s="1536">
        <f t="shared" si="73"/>
        <v>104</v>
      </c>
      <c r="D69" s="1536">
        <f t="shared" si="35"/>
        <v>104</v>
      </c>
      <c r="E69" s="1536">
        <f t="shared" si="74"/>
        <v>103.5</v>
      </c>
      <c r="F69" s="1536">
        <f t="shared" si="74"/>
        <v>100.5</v>
      </c>
      <c r="G69" s="3344">
        <v>2002</v>
      </c>
      <c r="H69" s="1537">
        <v>1</v>
      </c>
      <c r="I69" s="1538"/>
      <c r="J69" s="1538"/>
      <c r="K69" s="1538"/>
      <c r="L69" s="1538"/>
      <c r="N69" s="1539"/>
      <c r="S69" s="1539"/>
      <c r="X69" s="1540"/>
      <c r="Y69" s="1540"/>
      <c r="Z69" s="1540"/>
    </row>
    <row r="70" spans="1:26" ht="13.8"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8"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8"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53" t="s">
        <v>3006</v>
      </c>
      <c r="D1" s="3354"/>
      <c r="E1" s="3354"/>
      <c r="F1" s="3354"/>
      <c r="G1" s="3354"/>
      <c r="H1" s="3354"/>
      <c r="I1" s="3354"/>
      <c r="J1" s="3354"/>
      <c r="K1" s="3354"/>
      <c r="L1" s="3354"/>
      <c r="M1" s="3354"/>
      <c r="N1" s="3354"/>
      <c r="O1" s="3354"/>
      <c r="P1" s="3354"/>
      <c r="Q1" s="3354"/>
      <c r="R1" s="3354"/>
      <c r="S1" s="3355"/>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2"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6">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214" t="s">
        <v>33</v>
      </c>
      <c r="D22" s="3215"/>
      <c r="E22" s="3215"/>
      <c r="F22" s="3215"/>
      <c r="G22" s="3215"/>
      <c r="H22" s="3215"/>
      <c r="I22" s="3215"/>
      <c r="J22" s="3215"/>
      <c r="K22" s="3215"/>
      <c r="L22" s="3215"/>
      <c r="M22" s="3215"/>
      <c r="N22" s="3215"/>
      <c r="O22" s="3215"/>
      <c r="P22" s="3215"/>
      <c r="Q22" s="3352"/>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5"/>
  <sheetViews>
    <sheetView tabSelected="1" topLeftCell="A331" workbookViewId="0">
      <selection activeCell="C353" sqref="C353"/>
    </sheetView>
  </sheetViews>
  <sheetFormatPr defaultColWidth="9" defaultRowHeight="14.4"/>
  <cols>
    <col min="1" max="1" width="19" style="1631" customWidth="1"/>
    <col min="2" max="2" width="17.109375" style="1631" customWidth="1"/>
    <col min="3" max="3" width="15.88671875" style="1631" customWidth="1"/>
    <col min="4" max="4" width="19.33203125" style="1631" customWidth="1"/>
    <col min="5" max="12" width="9" style="1631"/>
    <col min="13" max="13" width="9.44140625" style="1631" bestFit="1" customWidth="1"/>
    <col min="14" max="16384" width="9" style="1631"/>
  </cols>
  <sheetData>
    <row r="1" spans="1:13" ht="15" thickBot="1">
      <c r="A1" s="3356" t="s">
        <v>3404</v>
      </c>
      <c r="B1" s="3356"/>
      <c r="C1" s="3356"/>
      <c r="D1" s="3356"/>
    </row>
    <row r="2" spans="1:13" ht="25.8" thickBot="1">
      <c r="A2" s="3372" t="s">
        <v>3071</v>
      </c>
      <c r="B2" s="3373" t="s">
        <v>3072</v>
      </c>
      <c r="C2" s="3373" t="s">
        <v>3472</v>
      </c>
      <c r="D2" s="3373" t="s">
        <v>1375</v>
      </c>
      <c r="E2" s="3370" t="s">
        <v>3471</v>
      </c>
      <c r="F2" s="3371" t="s">
        <v>1360</v>
      </c>
    </row>
    <row r="3" spans="1:13">
      <c r="A3" s="2938" t="s">
        <v>3405</v>
      </c>
      <c r="B3" s="2938">
        <v>102</v>
      </c>
      <c r="C3" s="2940">
        <v>59.85</v>
      </c>
      <c r="D3" s="2938" t="s">
        <v>27</v>
      </c>
      <c r="E3" s="1631">
        <f ca="1">'结果表（办公）'!I118</f>
        <v>43927</v>
      </c>
      <c r="F3" s="1631">
        <f ca="1">ROUND(E3*C3/10000,0)</f>
        <v>263</v>
      </c>
      <c r="I3" s="2949"/>
      <c r="J3" s="2950" t="s">
        <v>3137</v>
      </c>
      <c r="K3" s="2950" t="s">
        <v>3138</v>
      </c>
      <c r="L3" s="2950" t="s">
        <v>3139</v>
      </c>
      <c r="M3" s="2950" t="s">
        <v>3135</v>
      </c>
    </row>
    <row r="4" spans="1:13">
      <c r="A4" s="2938" t="s">
        <v>3405</v>
      </c>
      <c r="B4" s="2938">
        <v>103</v>
      </c>
      <c r="C4" s="2940">
        <v>59.5</v>
      </c>
      <c r="D4" s="2938" t="s">
        <v>27</v>
      </c>
      <c r="E4" s="1631">
        <f ca="1">E3</f>
        <v>43927</v>
      </c>
      <c r="F4" s="1631">
        <f t="shared" ref="F4:F67" ca="1" si="0">ROUND(E4*C4/10000,0)</f>
        <v>261</v>
      </c>
      <c r="I4" s="2951" t="s">
        <v>3136</v>
      </c>
      <c r="J4" s="1631">
        <f>C75+C118+C205+C248+C278</f>
        <v>22847.11</v>
      </c>
      <c r="K4" s="1631">
        <f>C124+C188+C252+C285</f>
        <v>912.91000000000008</v>
      </c>
      <c r="L4" s="1631">
        <f>C177+C348</f>
        <v>4184.2899999999991</v>
      </c>
    </row>
    <row r="5" spans="1:13">
      <c r="A5" s="2938" t="s">
        <v>3405</v>
      </c>
      <c r="B5" s="2938">
        <v>104</v>
      </c>
      <c r="C5" s="2940">
        <v>59.5</v>
      </c>
      <c r="D5" s="2938" t="s">
        <v>27</v>
      </c>
      <c r="E5" s="1631">
        <f t="shared" ref="E5:E68" ca="1" si="1">E4</f>
        <v>43927</v>
      </c>
      <c r="F5" s="1631">
        <f t="shared" ca="1" si="0"/>
        <v>261</v>
      </c>
    </row>
    <row r="6" spans="1:13">
      <c r="A6" s="2938" t="s">
        <v>3405</v>
      </c>
      <c r="B6" s="2938">
        <v>105</v>
      </c>
      <c r="C6" s="2940">
        <v>59.83</v>
      </c>
      <c r="D6" s="2938" t="s">
        <v>27</v>
      </c>
      <c r="E6" s="1631">
        <f t="shared" ca="1" si="1"/>
        <v>43927</v>
      </c>
      <c r="F6" s="1631">
        <f t="shared" ca="1" si="0"/>
        <v>263</v>
      </c>
    </row>
    <row r="7" spans="1:13">
      <c r="A7" s="2938" t="s">
        <v>3405</v>
      </c>
      <c r="B7" s="2938">
        <v>106</v>
      </c>
      <c r="C7" s="2940">
        <v>59.5</v>
      </c>
      <c r="D7" s="2938" t="s">
        <v>27</v>
      </c>
      <c r="E7" s="1631">
        <f t="shared" ca="1" si="1"/>
        <v>43927</v>
      </c>
      <c r="F7" s="1631">
        <f t="shared" ca="1" si="0"/>
        <v>261</v>
      </c>
      <c r="J7" s="2951" t="s">
        <v>3392</v>
      </c>
      <c r="K7" s="2951" t="s">
        <v>3393</v>
      </c>
      <c r="M7" s="2951"/>
    </row>
    <row r="8" spans="1:13">
      <c r="A8" s="2938" t="s">
        <v>3405</v>
      </c>
      <c r="B8" s="2938">
        <v>107</v>
      </c>
      <c r="C8" s="2940">
        <v>97.14</v>
      </c>
      <c r="D8" s="2938" t="s">
        <v>27</v>
      </c>
      <c r="E8" s="1631">
        <f t="shared" ca="1" si="1"/>
        <v>43927</v>
      </c>
      <c r="F8" s="1631">
        <f t="shared" ca="1" si="0"/>
        <v>427</v>
      </c>
      <c r="J8" s="1631">
        <f>L4-K8</f>
        <v>919.7199999999998</v>
      </c>
      <c r="K8" s="1631">
        <f>C129+C139+C140+C141+C144+C145+C146+C148+C149+C152+C153+C154+C155+C156+C160+C161+C163+C164+C165+C167+C168+C169+C170+C171+C175+C176+C298+C299+C300+C301+C302+C310+C311+C312+C313+C314+C319+C320+C321+C322+C323+C327+C328+C330+C331+C332+C333+C335+C336+C337+C338+C339+C340+C343+C344+C345+C346</f>
        <v>3264.5699999999993</v>
      </c>
    </row>
    <row r="9" spans="1:13">
      <c r="A9" s="2938" t="s">
        <v>3405</v>
      </c>
      <c r="B9" s="2938">
        <v>202</v>
      </c>
      <c r="C9" s="2940">
        <v>118.96</v>
      </c>
      <c r="D9" s="2938" t="s">
        <v>27</v>
      </c>
      <c r="E9" s="1631">
        <f t="shared" ca="1" si="1"/>
        <v>43927</v>
      </c>
      <c r="F9" s="1631">
        <f t="shared" ca="1" si="0"/>
        <v>523</v>
      </c>
      <c r="I9" s="2951" t="s">
        <v>3394</v>
      </c>
      <c r="J9" s="1631">
        <v>1.5</v>
      </c>
      <c r="K9" s="1631">
        <f>ROUND(J9*1.5,1)</f>
        <v>2.2999999999999998</v>
      </c>
    </row>
    <row r="10" spans="1:13">
      <c r="A10" s="2938" t="s">
        <v>3405</v>
      </c>
      <c r="B10" s="2938">
        <v>203</v>
      </c>
      <c r="C10" s="2940">
        <v>118.27</v>
      </c>
      <c r="D10" s="2938" t="s">
        <v>27</v>
      </c>
      <c r="E10" s="1631">
        <f t="shared" ca="1" si="1"/>
        <v>43927</v>
      </c>
      <c r="F10" s="1631">
        <f t="shared" ca="1" si="0"/>
        <v>520</v>
      </c>
    </row>
    <row r="11" spans="1:13">
      <c r="A11" s="2938" t="s">
        <v>3405</v>
      </c>
      <c r="B11" s="2938">
        <v>204</v>
      </c>
      <c r="C11" s="2940">
        <v>118.27</v>
      </c>
      <c r="D11" s="2938" t="s">
        <v>27</v>
      </c>
      <c r="E11" s="1631">
        <f t="shared" ca="1" si="1"/>
        <v>43927</v>
      </c>
      <c r="F11" s="1631">
        <f t="shared" ca="1" si="0"/>
        <v>520</v>
      </c>
      <c r="J11" s="1631">
        <f>ROUND((J8*J9+K8*K9)/L4,1)</f>
        <v>2.1</v>
      </c>
    </row>
    <row r="12" spans="1:13">
      <c r="A12" s="2938" t="s">
        <v>3405</v>
      </c>
      <c r="B12" s="2938">
        <v>205</v>
      </c>
      <c r="C12" s="2940">
        <v>118.27</v>
      </c>
      <c r="D12" s="2938" t="s">
        <v>27</v>
      </c>
      <c r="E12" s="1631">
        <f t="shared" ca="1" si="1"/>
        <v>43927</v>
      </c>
      <c r="F12" s="1631">
        <f t="shared" ca="1" si="0"/>
        <v>520</v>
      </c>
    </row>
    <row r="13" spans="1:13">
      <c r="A13" s="2938" t="s">
        <v>3405</v>
      </c>
      <c r="B13" s="2938">
        <v>206</v>
      </c>
      <c r="C13" s="2940">
        <v>118.94</v>
      </c>
      <c r="D13" s="2938" t="s">
        <v>27</v>
      </c>
      <c r="E13" s="1631">
        <f t="shared" ca="1" si="1"/>
        <v>43927</v>
      </c>
      <c r="F13" s="1631">
        <f t="shared" ca="1" si="0"/>
        <v>522</v>
      </c>
    </row>
    <row r="14" spans="1:13">
      <c r="A14" s="2938" t="s">
        <v>3405</v>
      </c>
      <c r="B14" s="2938">
        <v>207</v>
      </c>
      <c r="C14" s="2940">
        <v>118.27</v>
      </c>
      <c r="D14" s="2938" t="s">
        <v>27</v>
      </c>
      <c r="E14" s="1631">
        <f t="shared" ca="1" si="1"/>
        <v>43927</v>
      </c>
      <c r="F14" s="1631">
        <f t="shared" ca="1" si="0"/>
        <v>520</v>
      </c>
    </row>
    <row r="15" spans="1:13">
      <c r="A15" s="2938" t="s">
        <v>3405</v>
      </c>
      <c r="B15" s="2938">
        <v>208</v>
      </c>
      <c r="C15" s="2940">
        <v>118.27</v>
      </c>
      <c r="D15" s="2938" t="s">
        <v>27</v>
      </c>
      <c r="E15" s="1631">
        <f t="shared" ca="1" si="1"/>
        <v>43927</v>
      </c>
      <c r="F15" s="1631">
        <f t="shared" ca="1" si="0"/>
        <v>520</v>
      </c>
      <c r="K15" s="2951" t="s">
        <v>3398</v>
      </c>
      <c r="L15" s="2951" t="s">
        <v>3138</v>
      </c>
      <c r="M15" s="2951" t="s">
        <v>3399</v>
      </c>
    </row>
    <row r="16" spans="1:13">
      <c r="A16" s="2938" t="s">
        <v>3405</v>
      </c>
      <c r="B16" s="2938">
        <v>209</v>
      </c>
      <c r="C16" s="2940">
        <v>193.73</v>
      </c>
      <c r="D16" s="2938" t="s">
        <v>27</v>
      </c>
      <c r="E16" s="1631">
        <f t="shared" ca="1" si="1"/>
        <v>43927</v>
      </c>
      <c r="F16" s="1631">
        <f t="shared" ca="1" si="0"/>
        <v>851</v>
      </c>
      <c r="J16" s="2951" t="s">
        <v>3397</v>
      </c>
      <c r="K16" s="1631">
        <f ca="1">F365-F277</f>
        <v>100276</v>
      </c>
      <c r="L16" s="1631">
        <f ca="1">H365-F284</f>
        <v>1720</v>
      </c>
      <c r="M16" s="3027">
        <f ca="1">J365-F347</f>
        <v>4285.2900000000018</v>
      </c>
    </row>
    <row r="17" spans="1:13">
      <c r="A17" s="2938" t="s">
        <v>3405</v>
      </c>
      <c r="B17" s="2938">
        <v>210</v>
      </c>
      <c r="C17" s="2940">
        <v>95.94</v>
      </c>
      <c r="D17" s="2938" t="s">
        <v>27</v>
      </c>
      <c r="E17" s="1631">
        <f t="shared" ca="1" si="1"/>
        <v>43927</v>
      </c>
      <c r="F17" s="1631">
        <f t="shared" ca="1" si="0"/>
        <v>421</v>
      </c>
    </row>
    <row r="18" spans="1:13">
      <c r="A18" s="2938" t="s">
        <v>3405</v>
      </c>
      <c r="B18" s="2938">
        <v>212</v>
      </c>
      <c r="C18" s="2940">
        <v>96.43</v>
      </c>
      <c r="D18" s="2938" t="s">
        <v>27</v>
      </c>
      <c r="E18" s="1631">
        <f t="shared" ca="1" si="1"/>
        <v>43927</v>
      </c>
      <c r="F18" s="1631">
        <f t="shared" ca="1" si="0"/>
        <v>424</v>
      </c>
    </row>
    <row r="19" spans="1:13">
      <c r="A19" s="2938" t="s">
        <v>3405</v>
      </c>
      <c r="B19" s="2938">
        <v>213</v>
      </c>
      <c r="C19" s="2940">
        <v>94.87</v>
      </c>
      <c r="D19" s="2938" t="s">
        <v>27</v>
      </c>
      <c r="E19" s="1631">
        <f t="shared" ca="1" si="1"/>
        <v>43927</v>
      </c>
      <c r="F19" s="1631">
        <f t="shared" ca="1" si="0"/>
        <v>417</v>
      </c>
      <c r="I19" s="2951" t="s">
        <v>3401</v>
      </c>
    </row>
    <row r="20" spans="1:13">
      <c r="A20" s="2938" t="s">
        <v>3405</v>
      </c>
      <c r="B20" s="2938">
        <v>402</v>
      </c>
      <c r="C20" s="2940">
        <v>118.96</v>
      </c>
      <c r="D20" s="2938" t="s">
        <v>27</v>
      </c>
      <c r="E20" s="1631">
        <f t="shared" ca="1" si="1"/>
        <v>43927</v>
      </c>
      <c r="F20" s="1631">
        <f t="shared" ca="1" si="0"/>
        <v>523</v>
      </c>
      <c r="J20" s="3021"/>
      <c r="K20" s="3021" t="s">
        <v>27</v>
      </c>
      <c r="L20" s="3021" t="s">
        <v>1377</v>
      </c>
      <c r="M20" s="3021" t="s">
        <v>3070</v>
      </c>
    </row>
    <row r="21" spans="1:13">
      <c r="A21" s="2938" t="s">
        <v>3405</v>
      </c>
      <c r="B21" s="2938">
        <v>404</v>
      </c>
      <c r="C21" s="2940">
        <v>118.27</v>
      </c>
      <c r="D21" s="2938" t="s">
        <v>27</v>
      </c>
      <c r="E21" s="1631">
        <f t="shared" ca="1" si="1"/>
        <v>43927</v>
      </c>
      <c r="F21" s="1631">
        <f t="shared" ca="1" si="0"/>
        <v>520</v>
      </c>
      <c r="J21" s="3021" t="s">
        <v>3396</v>
      </c>
      <c r="K21" s="3021">
        <v>100276</v>
      </c>
      <c r="L21" s="3021">
        <v>1724</v>
      </c>
      <c r="M21" s="3021">
        <v>4285.29</v>
      </c>
    </row>
    <row r="22" spans="1:13">
      <c r="A22" s="2938" t="s">
        <v>3405</v>
      </c>
      <c r="B22" s="2938">
        <v>405</v>
      </c>
      <c r="C22" s="2940">
        <v>118.27</v>
      </c>
      <c r="D22" s="2938" t="s">
        <v>27</v>
      </c>
      <c r="E22" s="1631">
        <f t="shared" ca="1" si="1"/>
        <v>43927</v>
      </c>
      <c r="F22" s="1631">
        <f t="shared" ca="1" si="0"/>
        <v>520</v>
      </c>
    </row>
    <row r="23" spans="1:13">
      <c r="A23" s="2938" t="s">
        <v>3405</v>
      </c>
      <c r="B23" s="2938">
        <v>406</v>
      </c>
      <c r="C23" s="2940">
        <v>118.94</v>
      </c>
      <c r="D23" s="2938" t="s">
        <v>27</v>
      </c>
      <c r="E23" s="1631">
        <f t="shared" ca="1" si="1"/>
        <v>43927</v>
      </c>
      <c r="F23" s="1631">
        <f t="shared" ca="1" si="0"/>
        <v>522</v>
      </c>
    </row>
    <row r="24" spans="1:13">
      <c r="A24" s="2938" t="s">
        <v>3405</v>
      </c>
      <c r="B24" s="2938">
        <v>407</v>
      </c>
      <c r="C24" s="2940">
        <v>118.27</v>
      </c>
      <c r="D24" s="2938" t="s">
        <v>27</v>
      </c>
      <c r="E24" s="1631">
        <f t="shared" ca="1" si="1"/>
        <v>43927</v>
      </c>
      <c r="F24" s="1631">
        <f t="shared" ca="1" si="0"/>
        <v>520</v>
      </c>
      <c r="I24" s="2951" t="s">
        <v>3400</v>
      </c>
    </row>
    <row r="25" spans="1:13">
      <c r="A25" s="2938" t="s">
        <v>3405</v>
      </c>
      <c r="B25" s="2938">
        <v>408</v>
      </c>
      <c r="C25" s="2940">
        <v>118.27</v>
      </c>
      <c r="D25" s="2938" t="s">
        <v>27</v>
      </c>
      <c r="E25" s="1631">
        <f t="shared" ca="1" si="1"/>
        <v>43927</v>
      </c>
      <c r="F25" s="1631">
        <f t="shared" ca="1" si="0"/>
        <v>520</v>
      </c>
      <c r="J25" s="3021"/>
      <c r="K25" s="3021" t="s">
        <v>27</v>
      </c>
      <c r="L25" s="3021" t="s">
        <v>1377</v>
      </c>
      <c r="M25" s="3021" t="s">
        <v>3070</v>
      </c>
    </row>
    <row r="26" spans="1:13">
      <c r="A26" s="2938" t="s">
        <v>3405</v>
      </c>
      <c r="B26" s="2938">
        <v>409</v>
      </c>
      <c r="C26" s="2940">
        <v>193.73</v>
      </c>
      <c r="D26" s="2938" t="s">
        <v>27</v>
      </c>
      <c r="E26" s="1631">
        <f t="shared" ca="1" si="1"/>
        <v>43927</v>
      </c>
      <c r="F26" s="1631">
        <f t="shared" ca="1" si="0"/>
        <v>851</v>
      </c>
      <c r="J26" s="3021" t="s">
        <v>3396</v>
      </c>
      <c r="K26" s="3021">
        <f ca="1">'结果表（办公）'!H118</f>
        <v>100361</v>
      </c>
      <c r="L26" s="3021">
        <f ca="1">'结果表（商业）'!H118</f>
        <v>2197</v>
      </c>
      <c r="M26" s="3021">
        <f ca="1">'结果表（地下车库）'!H118</f>
        <v>4302</v>
      </c>
    </row>
    <row r="27" spans="1:13">
      <c r="A27" s="2938" t="s">
        <v>3405</v>
      </c>
      <c r="B27" s="2938">
        <v>410</v>
      </c>
      <c r="C27" s="2940">
        <v>95.94</v>
      </c>
      <c r="D27" s="2938" t="s">
        <v>27</v>
      </c>
      <c r="E27" s="1631">
        <f t="shared" ca="1" si="1"/>
        <v>43927</v>
      </c>
      <c r="F27" s="1631">
        <f t="shared" ca="1" si="0"/>
        <v>421</v>
      </c>
    </row>
    <row r="28" spans="1:13">
      <c r="A28" s="2938" t="s">
        <v>3405</v>
      </c>
      <c r="B28" s="2938">
        <v>411</v>
      </c>
      <c r="C28" s="2940">
        <v>94.08</v>
      </c>
      <c r="D28" s="2938" t="s">
        <v>27</v>
      </c>
      <c r="E28" s="1631">
        <f t="shared" ca="1" si="1"/>
        <v>43927</v>
      </c>
      <c r="F28" s="1631">
        <f t="shared" ca="1" si="0"/>
        <v>413</v>
      </c>
    </row>
    <row r="29" spans="1:13">
      <c r="A29" s="2938" t="s">
        <v>3405</v>
      </c>
      <c r="B29" s="2938">
        <v>413</v>
      </c>
      <c r="C29" s="2940">
        <v>94.87</v>
      </c>
      <c r="D29" s="2938" t="s">
        <v>27</v>
      </c>
      <c r="E29" s="1631">
        <f t="shared" ca="1" si="1"/>
        <v>43927</v>
      </c>
      <c r="F29" s="1631">
        <f t="shared" ca="1" si="0"/>
        <v>417</v>
      </c>
    </row>
    <row r="30" spans="1:13">
      <c r="A30" s="2938" t="s">
        <v>3405</v>
      </c>
      <c r="B30" s="2938">
        <v>608</v>
      </c>
      <c r="C30" s="2940">
        <v>118.94</v>
      </c>
      <c r="D30" s="2938" t="s">
        <v>27</v>
      </c>
      <c r="E30" s="1631">
        <f t="shared" ca="1" si="1"/>
        <v>43927</v>
      </c>
      <c r="F30" s="1631">
        <f t="shared" ca="1" si="0"/>
        <v>522</v>
      </c>
      <c r="I30" s="2951" t="s">
        <v>3402</v>
      </c>
    </row>
    <row r="31" spans="1:13">
      <c r="A31" s="2938" t="s">
        <v>3405</v>
      </c>
      <c r="B31" s="2938">
        <v>804</v>
      </c>
      <c r="C31" s="2940">
        <v>118.94</v>
      </c>
      <c r="D31" s="2938" t="s">
        <v>27</v>
      </c>
      <c r="E31" s="1631">
        <f t="shared" ca="1" si="1"/>
        <v>43927</v>
      </c>
      <c r="F31" s="1631">
        <f t="shared" ca="1" si="0"/>
        <v>522</v>
      </c>
      <c r="I31" s="1631" t="e">
        <f>ROUND('结果表（商业）'!G109*10000/('数据-汇总表'!E11+0.5*'数据-汇总表'!F11),0)</f>
        <v>#VALUE!</v>
      </c>
    </row>
    <row r="32" spans="1:13">
      <c r="A32" s="2938" t="s">
        <v>3405</v>
      </c>
      <c r="B32" s="2938">
        <v>805</v>
      </c>
      <c r="C32" s="2940">
        <v>118.54</v>
      </c>
      <c r="D32" s="2938" t="s">
        <v>27</v>
      </c>
      <c r="E32" s="1631">
        <f t="shared" ca="1" si="1"/>
        <v>43927</v>
      </c>
      <c r="F32" s="1631">
        <f t="shared" ca="1" si="0"/>
        <v>521</v>
      </c>
      <c r="I32" s="2951" t="s">
        <v>3403</v>
      </c>
    </row>
    <row r="33" spans="1:9">
      <c r="A33" s="2938" t="s">
        <v>3405</v>
      </c>
      <c r="B33" s="2938">
        <v>806</v>
      </c>
      <c r="C33" s="2940">
        <v>120.18</v>
      </c>
      <c r="D33" s="2938" t="s">
        <v>27</v>
      </c>
      <c r="E33" s="1631">
        <f t="shared" ca="1" si="1"/>
        <v>43927</v>
      </c>
      <c r="F33" s="1631">
        <f t="shared" ca="1" si="0"/>
        <v>528</v>
      </c>
      <c r="I33" s="1631" t="e">
        <f>ROUND(I31*0.5,0)</f>
        <v>#VALUE!</v>
      </c>
    </row>
    <row r="34" spans="1:9">
      <c r="A34" s="2938" t="s">
        <v>3405</v>
      </c>
      <c r="B34" s="2938">
        <v>808</v>
      </c>
      <c r="C34" s="2940">
        <v>118.94</v>
      </c>
      <c r="D34" s="2938" t="s">
        <v>27</v>
      </c>
      <c r="E34" s="1631">
        <f t="shared" ca="1" si="1"/>
        <v>43927</v>
      </c>
      <c r="F34" s="1631">
        <f t="shared" ca="1" si="0"/>
        <v>522</v>
      </c>
    </row>
    <row r="35" spans="1:9">
      <c r="A35" s="2938" t="s">
        <v>3405</v>
      </c>
      <c r="B35" s="2938">
        <v>810</v>
      </c>
      <c r="C35" s="2940">
        <v>97.38</v>
      </c>
      <c r="D35" s="2938" t="s">
        <v>27</v>
      </c>
      <c r="E35" s="1631">
        <f t="shared" ca="1" si="1"/>
        <v>43927</v>
      </c>
      <c r="F35" s="1631">
        <f t="shared" ca="1" si="0"/>
        <v>428</v>
      </c>
    </row>
    <row r="36" spans="1:9">
      <c r="A36" s="2938" t="s">
        <v>3405</v>
      </c>
      <c r="B36" s="2938">
        <v>812</v>
      </c>
      <c r="C36" s="2940">
        <v>97.58</v>
      </c>
      <c r="D36" s="2938" t="s">
        <v>27</v>
      </c>
      <c r="E36" s="1631">
        <f t="shared" ca="1" si="1"/>
        <v>43927</v>
      </c>
      <c r="F36" s="1631">
        <f t="shared" ca="1" si="0"/>
        <v>429</v>
      </c>
    </row>
    <row r="37" spans="1:9">
      <c r="A37" s="2938" t="s">
        <v>3405</v>
      </c>
      <c r="B37" s="2938">
        <v>1001</v>
      </c>
      <c r="C37" s="2940">
        <v>96.55</v>
      </c>
      <c r="D37" s="2938" t="s">
        <v>27</v>
      </c>
      <c r="E37" s="1631">
        <f t="shared" ca="1" si="1"/>
        <v>43927</v>
      </c>
      <c r="F37" s="1631">
        <f t="shared" ca="1" si="0"/>
        <v>424</v>
      </c>
    </row>
    <row r="38" spans="1:9">
      <c r="A38" s="2938" t="s">
        <v>3405</v>
      </c>
      <c r="B38" s="2938">
        <v>1003</v>
      </c>
      <c r="C38" s="2940">
        <v>118.94</v>
      </c>
      <c r="D38" s="2938" t="s">
        <v>27</v>
      </c>
      <c r="E38" s="1631">
        <f t="shared" ca="1" si="1"/>
        <v>43927</v>
      </c>
      <c r="F38" s="1631">
        <f t="shared" ca="1" si="0"/>
        <v>522</v>
      </c>
    </row>
    <row r="39" spans="1:9">
      <c r="A39" s="2938" t="s">
        <v>3405</v>
      </c>
      <c r="B39" s="2938">
        <v>1004</v>
      </c>
      <c r="C39" s="2940">
        <v>118.94</v>
      </c>
      <c r="D39" s="2938" t="s">
        <v>27</v>
      </c>
      <c r="E39" s="1631">
        <f t="shared" ca="1" si="1"/>
        <v>43927</v>
      </c>
      <c r="F39" s="1631">
        <f t="shared" ca="1" si="0"/>
        <v>522</v>
      </c>
    </row>
    <row r="40" spans="1:9">
      <c r="A40" s="2938" t="s">
        <v>3405</v>
      </c>
      <c r="B40" s="2938">
        <v>1005</v>
      </c>
      <c r="C40" s="2940">
        <v>118.54</v>
      </c>
      <c r="D40" s="2938" t="s">
        <v>27</v>
      </c>
      <c r="E40" s="1631">
        <f t="shared" ca="1" si="1"/>
        <v>43927</v>
      </c>
      <c r="F40" s="1631">
        <f t="shared" ca="1" si="0"/>
        <v>521</v>
      </c>
    </row>
    <row r="41" spans="1:9">
      <c r="A41" s="2938" t="s">
        <v>3405</v>
      </c>
      <c r="B41" s="2938">
        <v>1008</v>
      </c>
      <c r="C41" s="2940">
        <v>118.94</v>
      </c>
      <c r="D41" s="2938" t="s">
        <v>27</v>
      </c>
      <c r="E41" s="1631">
        <f t="shared" ca="1" si="1"/>
        <v>43927</v>
      </c>
      <c r="F41" s="1631">
        <f t="shared" ca="1" si="0"/>
        <v>522</v>
      </c>
    </row>
    <row r="42" spans="1:9">
      <c r="A42" s="2938" t="s">
        <v>3405</v>
      </c>
      <c r="B42" s="2938">
        <v>1010</v>
      </c>
      <c r="C42" s="2940">
        <v>97.38</v>
      </c>
      <c r="D42" s="2938" t="s">
        <v>27</v>
      </c>
      <c r="E42" s="1631">
        <f t="shared" ca="1" si="1"/>
        <v>43927</v>
      </c>
      <c r="F42" s="1631">
        <f t="shared" ca="1" si="0"/>
        <v>428</v>
      </c>
    </row>
    <row r="43" spans="1:9">
      <c r="A43" s="2938" t="s">
        <v>3405</v>
      </c>
      <c r="B43" s="2938">
        <v>1011</v>
      </c>
      <c r="C43" s="2940">
        <v>95.38</v>
      </c>
      <c r="D43" s="2938" t="s">
        <v>27</v>
      </c>
      <c r="E43" s="1631">
        <f t="shared" ca="1" si="1"/>
        <v>43927</v>
      </c>
      <c r="F43" s="1631">
        <f t="shared" ca="1" si="0"/>
        <v>419</v>
      </c>
    </row>
    <row r="44" spans="1:9">
      <c r="A44" s="2938" t="s">
        <v>3405</v>
      </c>
      <c r="B44" s="2938">
        <v>1012</v>
      </c>
      <c r="C44" s="2940">
        <v>97.59</v>
      </c>
      <c r="D44" s="2938" t="s">
        <v>27</v>
      </c>
      <c r="E44" s="1631">
        <f t="shared" ca="1" si="1"/>
        <v>43927</v>
      </c>
      <c r="F44" s="1631">
        <f t="shared" ca="1" si="0"/>
        <v>429</v>
      </c>
    </row>
    <row r="45" spans="1:9">
      <c r="A45" s="2938" t="s">
        <v>3405</v>
      </c>
      <c r="B45" s="2938">
        <v>1013</v>
      </c>
      <c r="C45" s="2940">
        <v>95.5</v>
      </c>
      <c r="D45" s="2938" t="s">
        <v>27</v>
      </c>
      <c r="E45" s="1631">
        <f t="shared" ca="1" si="1"/>
        <v>43927</v>
      </c>
      <c r="F45" s="1631">
        <f t="shared" ca="1" si="0"/>
        <v>420</v>
      </c>
    </row>
    <row r="46" spans="1:9">
      <c r="A46" s="2938" t="s">
        <v>3405</v>
      </c>
      <c r="B46" s="2938">
        <v>1204</v>
      </c>
      <c r="C46" s="2940">
        <v>118.94</v>
      </c>
      <c r="D46" s="2938" t="s">
        <v>27</v>
      </c>
      <c r="E46" s="1631">
        <f t="shared" ca="1" si="1"/>
        <v>43927</v>
      </c>
      <c r="F46" s="1631">
        <f t="shared" ca="1" si="0"/>
        <v>522</v>
      </c>
    </row>
    <row r="47" spans="1:9">
      <c r="A47" s="2938" t="s">
        <v>3405</v>
      </c>
      <c r="B47" s="2938">
        <v>1205</v>
      </c>
      <c r="C47" s="2940">
        <v>118.54</v>
      </c>
      <c r="D47" s="2938" t="s">
        <v>27</v>
      </c>
      <c r="E47" s="1631">
        <f t="shared" ca="1" si="1"/>
        <v>43927</v>
      </c>
      <c r="F47" s="1631">
        <f t="shared" ca="1" si="0"/>
        <v>521</v>
      </c>
    </row>
    <row r="48" spans="1:9">
      <c r="A48" s="2938" t="s">
        <v>3405</v>
      </c>
      <c r="B48" s="2938">
        <v>1206</v>
      </c>
      <c r="C48" s="2940">
        <v>120.18</v>
      </c>
      <c r="D48" s="2938" t="s">
        <v>27</v>
      </c>
      <c r="E48" s="1631">
        <f t="shared" ca="1" si="1"/>
        <v>43927</v>
      </c>
      <c r="F48" s="1631">
        <f t="shared" ca="1" si="0"/>
        <v>528</v>
      </c>
    </row>
    <row r="49" spans="1:6">
      <c r="A49" s="2938" t="s">
        <v>3405</v>
      </c>
      <c r="B49" s="2938">
        <v>1208</v>
      </c>
      <c r="C49" s="2940">
        <v>118.94</v>
      </c>
      <c r="D49" s="2938" t="s">
        <v>27</v>
      </c>
      <c r="E49" s="1631">
        <f t="shared" ca="1" si="1"/>
        <v>43927</v>
      </c>
      <c r="F49" s="1631">
        <f t="shared" ca="1" si="0"/>
        <v>522</v>
      </c>
    </row>
    <row r="50" spans="1:6">
      <c r="A50" s="2938" t="s">
        <v>3405</v>
      </c>
      <c r="B50" s="2938">
        <v>1209</v>
      </c>
      <c r="C50" s="2940">
        <v>195.02</v>
      </c>
      <c r="D50" s="2938" t="s">
        <v>27</v>
      </c>
      <c r="E50" s="1631">
        <f t="shared" ca="1" si="1"/>
        <v>43927</v>
      </c>
      <c r="F50" s="1631">
        <f t="shared" ca="1" si="0"/>
        <v>857</v>
      </c>
    </row>
    <row r="51" spans="1:6">
      <c r="A51" s="2938" t="s">
        <v>3405</v>
      </c>
      <c r="B51" s="2938">
        <v>1210</v>
      </c>
      <c r="C51" s="2940">
        <v>97.38</v>
      </c>
      <c r="D51" s="2938" t="s">
        <v>27</v>
      </c>
      <c r="E51" s="1631">
        <f t="shared" ca="1" si="1"/>
        <v>43927</v>
      </c>
      <c r="F51" s="1631">
        <f t="shared" ca="1" si="0"/>
        <v>428</v>
      </c>
    </row>
    <row r="52" spans="1:6">
      <c r="A52" s="2938" t="s">
        <v>3405</v>
      </c>
      <c r="B52" s="2938">
        <v>1211</v>
      </c>
      <c r="C52" s="2940">
        <v>95.38</v>
      </c>
      <c r="D52" s="2938" t="s">
        <v>27</v>
      </c>
      <c r="E52" s="1631">
        <f t="shared" ca="1" si="1"/>
        <v>43927</v>
      </c>
      <c r="F52" s="1631">
        <f t="shared" ca="1" si="0"/>
        <v>419</v>
      </c>
    </row>
    <row r="53" spans="1:6">
      <c r="A53" s="2938" t="s">
        <v>3405</v>
      </c>
      <c r="B53" s="2938">
        <v>1212</v>
      </c>
      <c r="C53" s="2940">
        <v>97.59</v>
      </c>
      <c r="D53" s="2938" t="s">
        <v>27</v>
      </c>
      <c r="E53" s="1631">
        <f t="shared" ca="1" si="1"/>
        <v>43927</v>
      </c>
      <c r="F53" s="1631">
        <f t="shared" ca="1" si="0"/>
        <v>429</v>
      </c>
    </row>
    <row r="54" spans="1:6">
      <c r="A54" s="2938" t="s">
        <v>3405</v>
      </c>
      <c r="B54" s="2938">
        <v>1213</v>
      </c>
      <c r="C54" s="2940">
        <v>95.5</v>
      </c>
      <c r="D54" s="2938" t="s">
        <v>27</v>
      </c>
      <c r="E54" s="1631">
        <f t="shared" ca="1" si="1"/>
        <v>43927</v>
      </c>
      <c r="F54" s="1631">
        <f t="shared" ca="1" si="0"/>
        <v>420</v>
      </c>
    </row>
    <row r="55" spans="1:6">
      <c r="A55" s="2938" t="s">
        <v>3405</v>
      </c>
      <c r="B55" s="2938">
        <v>1405</v>
      </c>
      <c r="C55" s="2940">
        <v>118.54</v>
      </c>
      <c r="D55" s="2938" t="s">
        <v>27</v>
      </c>
      <c r="E55" s="1631">
        <f t="shared" ca="1" si="1"/>
        <v>43927</v>
      </c>
      <c r="F55" s="1631">
        <f t="shared" ca="1" si="0"/>
        <v>521</v>
      </c>
    </row>
    <row r="56" spans="1:6">
      <c r="A56" s="2938" t="s">
        <v>3405</v>
      </c>
      <c r="B56" s="2938">
        <v>1406</v>
      </c>
      <c r="C56" s="2940">
        <v>120.18</v>
      </c>
      <c r="D56" s="2938" t="s">
        <v>27</v>
      </c>
      <c r="E56" s="1631">
        <f t="shared" ca="1" si="1"/>
        <v>43927</v>
      </c>
      <c r="F56" s="1631">
        <f t="shared" ca="1" si="0"/>
        <v>528</v>
      </c>
    </row>
    <row r="57" spans="1:6">
      <c r="A57" s="2938" t="s">
        <v>3405</v>
      </c>
      <c r="B57" s="2938">
        <v>1408</v>
      </c>
      <c r="C57" s="2940">
        <v>118.94</v>
      </c>
      <c r="D57" s="2938" t="s">
        <v>27</v>
      </c>
      <c r="E57" s="1631">
        <f t="shared" ca="1" si="1"/>
        <v>43927</v>
      </c>
      <c r="F57" s="1631">
        <f t="shared" ca="1" si="0"/>
        <v>522</v>
      </c>
    </row>
    <row r="58" spans="1:6">
      <c r="A58" s="2938" t="s">
        <v>3405</v>
      </c>
      <c r="B58" s="2938">
        <v>1410</v>
      </c>
      <c r="C58" s="2940">
        <v>97.38</v>
      </c>
      <c r="D58" s="2938" t="s">
        <v>27</v>
      </c>
      <c r="E58" s="1631">
        <f t="shared" ca="1" si="1"/>
        <v>43927</v>
      </c>
      <c r="F58" s="1631">
        <f t="shared" ca="1" si="0"/>
        <v>428</v>
      </c>
    </row>
    <row r="59" spans="1:6">
      <c r="A59" s="2938" t="s">
        <v>3405</v>
      </c>
      <c r="B59" s="2938">
        <v>1411</v>
      </c>
      <c r="C59" s="2940">
        <v>95.38</v>
      </c>
      <c r="D59" s="2938" t="s">
        <v>27</v>
      </c>
      <c r="E59" s="1631">
        <f t="shared" ca="1" si="1"/>
        <v>43927</v>
      </c>
      <c r="F59" s="1631">
        <f t="shared" ca="1" si="0"/>
        <v>419</v>
      </c>
    </row>
    <row r="60" spans="1:6">
      <c r="A60" s="2938" t="s">
        <v>3405</v>
      </c>
      <c r="B60" s="2938">
        <v>1412</v>
      </c>
      <c r="C60" s="2940">
        <v>97.59</v>
      </c>
      <c r="D60" s="2938" t="s">
        <v>27</v>
      </c>
      <c r="E60" s="1631">
        <f t="shared" ca="1" si="1"/>
        <v>43927</v>
      </c>
      <c r="F60" s="1631">
        <f t="shared" ca="1" si="0"/>
        <v>429</v>
      </c>
    </row>
    <row r="61" spans="1:6">
      <c r="A61" s="2938" t="s">
        <v>3405</v>
      </c>
      <c r="B61" s="2938">
        <v>1413</v>
      </c>
      <c r="C61" s="2940">
        <v>95.5</v>
      </c>
      <c r="D61" s="2938" t="s">
        <v>27</v>
      </c>
      <c r="E61" s="1631">
        <f t="shared" ca="1" si="1"/>
        <v>43927</v>
      </c>
      <c r="F61" s="1631">
        <f t="shared" ca="1" si="0"/>
        <v>420</v>
      </c>
    </row>
    <row r="62" spans="1:6">
      <c r="A62" s="2938" t="s">
        <v>3405</v>
      </c>
      <c r="B62" s="2938">
        <v>1601</v>
      </c>
      <c r="C62" s="2940">
        <v>96.55</v>
      </c>
      <c r="D62" s="2938" t="s">
        <v>27</v>
      </c>
      <c r="E62" s="1631">
        <f t="shared" ca="1" si="1"/>
        <v>43927</v>
      </c>
      <c r="F62" s="1631">
        <f t="shared" ca="1" si="0"/>
        <v>424</v>
      </c>
    </row>
    <row r="63" spans="1:6">
      <c r="A63" s="2938" t="s">
        <v>3405</v>
      </c>
      <c r="B63" s="2938">
        <v>1608</v>
      </c>
      <c r="C63" s="2940">
        <v>118.94</v>
      </c>
      <c r="D63" s="2938" t="s">
        <v>27</v>
      </c>
      <c r="E63" s="1631">
        <f t="shared" ca="1" si="1"/>
        <v>43927</v>
      </c>
      <c r="F63" s="1631">
        <f t="shared" ca="1" si="0"/>
        <v>522</v>
      </c>
    </row>
    <row r="64" spans="1:6">
      <c r="A64" s="2938" t="s">
        <v>3405</v>
      </c>
      <c r="B64" s="2938">
        <v>1609</v>
      </c>
      <c r="C64" s="2940">
        <v>195.02</v>
      </c>
      <c r="D64" s="2938" t="s">
        <v>27</v>
      </c>
      <c r="E64" s="1631">
        <f t="shared" ca="1" si="1"/>
        <v>43927</v>
      </c>
      <c r="F64" s="1631">
        <f t="shared" ca="1" si="0"/>
        <v>857</v>
      </c>
    </row>
    <row r="65" spans="1:6">
      <c r="A65" s="2938" t="s">
        <v>3405</v>
      </c>
      <c r="B65" s="2938">
        <v>1610</v>
      </c>
      <c r="C65" s="2940">
        <v>97.38</v>
      </c>
      <c r="D65" s="2938" t="s">
        <v>27</v>
      </c>
      <c r="E65" s="1631">
        <f t="shared" ca="1" si="1"/>
        <v>43927</v>
      </c>
      <c r="F65" s="1631">
        <f t="shared" ca="1" si="0"/>
        <v>428</v>
      </c>
    </row>
    <row r="66" spans="1:6">
      <c r="A66" s="2938" t="s">
        <v>3405</v>
      </c>
      <c r="B66" s="2938">
        <v>1611</v>
      </c>
      <c r="C66" s="2940">
        <v>95.38</v>
      </c>
      <c r="D66" s="2938" t="s">
        <v>27</v>
      </c>
      <c r="E66" s="1631">
        <f t="shared" ca="1" si="1"/>
        <v>43927</v>
      </c>
      <c r="F66" s="1631">
        <f t="shared" ca="1" si="0"/>
        <v>419</v>
      </c>
    </row>
    <row r="67" spans="1:6">
      <c r="A67" s="2938" t="s">
        <v>3405</v>
      </c>
      <c r="B67" s="2938">
        <v>1802</v>
      </c>
      <c r="C67" s="2940">
        <v>120.09</v>
      </c>
      <c r="D67" s="2938" t="s">
        <v>27</v>
      </c>
      <c r="E67" s="1631">
        <f t="shared" ca="1" si="1"/>
        <v>43927</v>
      </c>
      <c r="F67" s="1631">
        <f t="shared" ca="1" si="0"/>
        <v>528</v>
      </c>
    </row>
    <row r="68" spans="1:6">
      <c r="A68" s="2938" t="s">
        <v>3405</v>
      </c>
      <c r="B68" s="2938">
        <v>1805</v>
      </c>
      <c r="C68" s="2940">
        <v>118.54</v>
      </c>
      <c r="D68" s="2938" t="s">
        <v>27</v>
      </c>
      <c r="E68" s="1631">
        <f t="shared" ca="1" si="1"/>
        <v>43927</v>
      </c>
      <c r="F68" s="1631">
        <f t="shared" ref="F68:F117" ca="1" si="2">ROUND(E68*C68/10000,0)</f>
        <v>521</v>
      </c>
    </row>
    <row r="69" spans="1:6">
      <c r="A69" s="2938" t="s">
        <v>3405</v>
      </c>
      <c r="B69" s="2938">
        <v>1806</v>
      </c>
      <c r="C69" s="2940">
        <v>120.18</v>
      </c>
      <c r="D69" s="2938" t="s">
        <v>27</v>
      </c>
      <c r="E69" s="1631">
        <f t="shared" ref="E69:E74" ca="1" si="3">E68</f>
        <v>43927</v>
      </c>
      <c r="F69" s="1631">
        <f t="shared" ca="1" si="2"/>
        <v>528</v>
      </c>
    </row>
    <row r="70" spans="1:6">
      <c r="A70" s="2938" t="s">
        <v>3405</v>
      </c>
      <c r="B70" s="2938">
        <v>1807</v>
      </c>
      <c r="C70" s="2940">
        <v>118.94</v>
      </c>
      <c r="D70" s="2938" t="s">
        <v>27</v>
      </c>
      <c r="E70" s="1631">
        <f t="shared" ca="1" si="3"/>
        <v>43927</v>
      </c>
      <c r="F70" s="1631">
        <f t="shared" ca="1" si="2"/>
        <v>522</v>
      </c>
    </row>
    <row r="71" spans="1:6">
      <c r="A71" s="2938" t="s">
        <v>3405</v>
      </c>
      <c r="B71" s="2938">
        <v>1808</v>
      </c>
      <c r="C71" s="2940">
        <v>118.94</v>
      </c>
      <c r="D71" s="2938" t="s">
        <v>27</v>
      </c>
      <c r="E71" s="1631">
        <f t="shared" ca="1" si="3"/>
        <v>43927</v>
      </c>
      <c r="F71" s="1631">
        <f t="shared" ca="1" si="2"/>
        <v>522</v>
      </c>
    </row>
    <row r="72" spans="1:6">
      <c r="A72" s="2938" t="s">
        <v>3405</v>
      </c>
      <c r="B72" s="2938">
        <v>1809</v>
      </c>
      <c r="C72" s="2940">
        <v>195.02</v>
      </c>
      <c r="D72" s="2938" t="s">
        <v>27</v>
      </c>
      <c r="E72" s="1631">
        <f t="shared" ca="1" si="3"/>
        <v>43927</v>
      </c>
      <c r="F72" s="1631">
        <f t="shared" ca="1" si="2"/>
        <v>857</v>
      </c>
    </row>
    <row r="73" spans="1:6">
      <c r="A73" s="2938" t="s">
        <v>3405</v>
      </c>
      <c r="B73" s="2938">
        <v>1810</v>
      </c>
      <c r="C73" s="2940">
        <v>97.38</v>
      </c>
      <c r="D73" s="2938" t="s">
        <v>27</v>
      </c>
      <c r="E73" s="1631">
        <f t="shared" ca="1" si="3"/>
        <v>43927</v>
      </c>
      <c r="F73" s="1631">
        <f t="shared" ca="1" si="2"/>
        <v>428</v>
      </c>
    </row>
    <row r="74" spans="1:6">
      <c r="A74" s="2938" t="s">
        <v>3405</v>
      </c>
      <c r="B74" s="2938">
        <v>1811</v>
      </c>
      <c r="C74" s="2940">
        <v>95.38</v>
      </c>
      <c r="D74" s="2938" t="s">
        <v>27</v>
      </c>
      <c r="E74" s="1631">
        <f t="shared" ca="1" si="3"/>
        <v>43927</v>
      </c>
      <c r="F74" s="1631">
        <f t="shared" ca="1" si="2"/>
        <v>419</v>
      </c>
    </row>
    <row r="75" spans="1:6">
      <c r="A75" s="3362" t="s">
        <v>40</v>
      </c>
      <c r="B75" s="3362"/>
      <c r="C75" s="3028">
        <f>SUM(C3:C74)</f>
        <v>8032.1200000000017</v>
      </c>
      <c r="D75" s="3028" t="s">
        <v>27</v>
      </c>
      <c r="F75" s="1631">
        <f ca="1">SUM(F3:F74)</f>
        <v>35288</v>
      </c>
    </row>
    <row r="76" spans="1:6">
      <c r="A76" s="3032" t="s">
        <v>3406</v>
      </c>
      <c r="B76" s="2938" t="s">
        <v>3407</v>
      </c>
      <c r="C76" s="2940">
        <v>187.63</v>
      </c>
      <c r="D76" s="2938" t="s">
        <v>27</v>
      </c>
      <c r="E76" s="1631">
        <f ca="1">E74</f>
        <v>43927</v>
      </c>
      <c r="F76" s="1631">
        <f t="shared" ca="1" si="2"/>
        <v>824</v>
      </c>
    </row>
    <row r="77" spans="1:6">
      <c r="A77" s="3032" t="s">
        <v>3406</v>
      </c>
      <c r="B77" s="2938" t="s">
        <v>3408</v>
      </c>
      <c r="C77" s="2940">
        <v>175.73</v>
      </c>
      <c r="D77" s="2938" t="s">
        <v>27</v>
      </c>
      <c r="E77" s="1631">
        <f ca="1">E76</f>
        <v>43927</v>
      </c>
      <c r="F77" s="1631">
        <f t="shared" ca="1" si="2"/>
        <v>772</v>
      </c>
    </row>
    <row r="78" spans="1:6">
      <c r="A78" s="3032" t="s">
        <v>3406</v>
      </c>
      <c r="B78" s="2938" t="s">
        <v>3409</v>
      </c>
      <c r="C78" s="2940">
        <v>187.54</v>
      </c>
      <c r="D78" s="2938" t="s">
        <v>27</v>
      </c>
      <c r="E78" s="1631">
        <f t="shared" ref="E78:E117" ca="1" si="4">E77</f>
        <v>43927</v>
      </c>
      <c r="F78" s="1631">
        <f t="shared" ca="1" si="2"/>
        <v>824</v>
      </c>
    </row>
    <row r="79" spans="1:6">
      <c r="A79" s="3032" t="s">
        <v>3406</v>
      </c>
      <c r="B79" s="2938" t="s">
        <v>3410</v>
      </c>
      <c r="C79" s="2940">
        <v>187.54</v>
      </c>
      <c r="D79" s="2938" t="s">
        <v>27</v>
      </c>
      <c r="E79" s="1631">
        <f t="shared" ca="1" si="4"/>
        <v>43927</v>
      </c>
      <c r="F79" s="1631">
        <f t="shared" ca="1" si="2"/>
        <v>824</v>
      </c>
    </row>
    <row r="80" spans="1:6">
      <c r="A80" s="3032" t="s">
        <v>3406</v>
      </c>
      <c r="B80" s="2938" t="s">
        <v>3411</v>
      </c>
      <c r="C80" s="2940">
        <v>203.31</v>
      </c>
      <c r="D80" s="2938" t="s">
        <v>27</v>
      </c>
      <c r="E80" s="1631">
        <f t="shared" ca="1" si="4"/>
        <v>43927</v>
      </c>
      <c r="F80" s="1631">
        <f t="shared" ca="1" si="2"/>
        <v>893</v>
      </c>
    </row>
    <row r="81" spans="1:6">
      <c r="A81" s="3032" t="s">
        <v>3406</v>
      </c>
      <c r="B81" s="2938" t="s">
        <v>3412</v>
      </c>
      <c r="C81" s="2940">
        <v>203.31</v>
      </c>
      <c r="D81" s="2938" t="s">
        <v>27</v>
      </c>
      <c r="E81" s="1631">
        <f t="shared" ca="1" si="4"/>
        <v>43927</v>
      </c>
      <c r="F81" s="1631">
        <f t="shared" ca="1" si="2"/>
        <v>893</v>
      </c>
    </row>
    <row r="82" spans="1:6">
      <c r="A82" s="3032" t="s">
        <v>3406</v>
      </c>
      <c r="B82" s="2938" t="s">
        <v>3413</v>
      </c>
      <c r="C82" s="2940">
        <v>203.31</v>
      </c>
      <c r="D82" s="2938" t="s">
        <v>27</v>
      </c>
      <c r="E82" s="1631">
        <f t="shared" ca="1" si="4"/>
        <v>43927</v>
      </c>
      <c r="F82" s="1631">
        <f t="shared" ca="1" si="2"/>
        <v>893</v>
      </c>
    </row>
    <row r="83" spans="1:6">
      <c r="A83" s="3032" t="s">
        <v>3406</v>
      </c>
      <c r="B83" s="2938" t="s">
        <v>3414</v>
      </c>
      <c r="C83" s="2940">
        <v>203.31</v>
      </c>
      <c r="D83" s="2938" t="s">
        <v>27</v>
      </c>
      <c r="E83" s="1631">
        <f t="shared" ca="1" si="4"/>
        <v>43927</v>
      </c>
      <c r="F83" s="1631">
        <f t="shared" ca="1" si="2"/>
        <v>893</v>
      </c>
    </row>
    <row r="84" spans="1:6">
      <c r="A84" s="3032" t="s">
        <v>3406</v>
      </c>
      <c r="B84" s="2938" t="s">
        <v>3415</v>
      </c>
      <c r="C84" s="2940">
        <v>203.93</v>
      </c>
      <c r="D84" s="2938" t="s">
        <v>27</v>
      </c>
      <c r="E84" s="1631">
        <f t="shared" ca="1" si="4"/>
        <v>43927</v>
      </c>
      <c r="F84" s="1631">
        <f t="shared" ca="1" si="2"/>
        <v>896</v>
      </c>
    </row>
    <row r="85" spans="1:6">
      <c r="A85" s="3032" t="s">
        <v>3406</v>
      </c>
      <c r="B85" s="2938" t="s">
        <v>3416</v>
      </c>
      <c r="C85" s="2940">
        <v>203.93</v>
      </c>
      <c r="D85" s="2938" t="s">
        <v>27</v>
      </c>
      <c r="E85" s="1631">
        <f t="shared" ca="1" si="4"/>
        <v>43927</v>
      </c>
      <c r="F85" s="1631">
        <f t="shared" ca="1" si="2"/>
        <v>896</v>
      </c>
    </row>
    <row r="86" spans="1:6">
      <c r="A86" s="3032" t="s">
        <v>3406</v>
      </c>
      <c r="B86" s="2938" t="s">
        <v>3417</v>
      </c>
      <c r="C86" s="2940">
        <v>203.93</v>
      </c>
      <c r="D86" s="2938" t="s">
        <v>27</v>
      </c>
      <c r="E86" s="1631">
        <f t="shared" ca="1" si="4"/>
        <v>43927</v>
      </c>
      <c r="F86" s="1631">
        <f t="shared" ca="1" si="2"/>
        <v>896</v>
      </c>
    </row>
    <row r="87" spans="1:6">
      <c r="A87" s="3032" t="s">
        <v>3406</v>
      </c>
      <c r="B87" s="2938" t="s">
        <v>3418</v>
      </c>
      <c r="C87" s="2940">
        <v>203.93</v>
      </c>
      <c r="D87" s="2938" t="s">
        <v>27</v>
      </c>
      <c r="E87" s="1631">
        <f t="shared" ca="1" si="4"/>
        <v>43927</v>
      </c>
      <c r="F87" s="1631">
        <f t="shared" ca="1" si="2"/>
        <v>896</v>
      </c>
    </row>
    <row r="88" spans="1:6">
      <c r="A88" s="3032" t="s">
        <v>3406</v>
      </c>
      <c r="B88" s="2938" t="s">
        <v>3419</v>
      </c>
      <c r="C88" s="2940">
        <v>203.93</v>
      </c>
      <c r="D88" s="2938" t="s">
        <v>27</v>
      </c>
      <c r="E88" s="1631">
        <f t="shared" ca="1" si="4"/>
        <v>43927</v>
      </c>
      <c r="F88" s="1631">
        <f t="shared" ca="1" si="2"/>
        <v>896</v>
      </c>
    </row>
    <row r="89" spans="1:6">
      <c r="A89" s="3032" t="s">
        <v>3406</v>
      </c>
      <c r="B89" s="2938" t="s">
        <v>3420</v>
      </c>
      <c r="C89" s="2940">
        <v>203.93</v>
      </c>
      <c r="D89" s="2938" t="s">
        <v>27</v>
      </c>
      <c r="E89" s="1631">
        <f t="shared" ca="1" si="4"/>
        <v>43927</v>
      </c>
      <c r="F89" s="1631">
        <f t="shared" ca="1" si="2"/>
        <v>896</v>
      </c>
    </row>
    <row r="90" spans="1:6">
      <c r="A90" s="3032" t="s">
        <v>3406</v>
      </c>
      <c r="B90" s="2938" t="s">
        <v>3421</v>
      </c>
      <c r="C90" s="2940">
        <v>203.93</v>
      </c>
      <c r="D90" s="2938" t="s">
        <v>27</v>
      </c>
      <c r="E90" s="1631">
        <f t="shared" ca="1" si="4"/>
        <v>43927</v>
      </c>
      <c r="F90" s="1631">
        <f t="shared" ca="1" si="2"/>
        <v>896</v>
      </c>
    </row>
    <row r="91" spans="1:6">
      <c r="A91" s="3032" t="s">
        <v>3406</v>
      </c>
      <c r="B91" s="2938" t="s">
        <v>3422</v>
      </c>
      <c r="C91" s="2940">
        <v>203.93</v>
      </c>
      <c r="D91" s="2938" t="s">
        <v>27</v>
      </c>
      <c r="E91" s="1631">
        <f t="shared" ca="1" si="4"/>
        <v>43927</v>
      </c>
      <c r="F91" s="1631">
        <f t="shared" ca="1" si="2"/>
        <v>896</v>
      </c>
    </row>
    <row r="92" spans="1:6">
      <c r="A92" s="3032" t="s">
        <v>3406</v>
      </c>
      <c r="B92" s="2938" t="s">
        <v>3423</v>
      </c>
      <c r="C92" s="2940">
        <v>203.93</v>
      </c>
      <c r="D92" s="2938" t="s">
        <v>27</v>
      </c>
      <c r="E92" s="1631">
        <f t="shared" ca="1" si="4"/>
        <v>43927</v>
      </c>
      <c r="F92" s="1631">
        <f t="shared" ca="1" si="2"/>
        <v>896</v>
      </c>
    </row>
    <row r="93" spans="1:6">
      <c r="A93" s="3032" t="s">
        <v>3406</v>
      </c>
      <c r="B93" s="2938" t="s">
        <v>3424</v>
      </c>
      <c r="C93" s="2940">
        <v>203.93</v>
      </c>
      <c r="D93" s="2938" t="s">
        <v>27</v>
      </c>
      <c r="E93" s="1631">
        <f t="shared" ca="1" si="4"/>
        <v>43927</v>
      </c>
      <c r="F93" s="1631">
        <f t="shared" ca="1" si="2"/>
        <v>896</v>
      </c>
    </row>
    <row r="94" spans="1:6">
      <c r="A94" s="3032" t="s">
        <v>3406</v>
      </c>
      <c r="B94" s="2938" t="s">
        <v>3425</v>
      </c>
      <c r="C94" s="2940">
        <v>203.93</v>
      </c>
      <c r="D94" s="2938" t="s">
        <v>27</v>
      </c>
      <c r="E94" s="1631">
        <f t="shared" ca="1" si="4"/>
        <v>43927</v>
      </c>
      <c r="F94" s="1631">
        <f t="shared" ca="1" si="2"/>
        <v>896</v>
      </c>
    </row>
    <row r="95" spans="1:6">
      <c r="A95" s="3032" t="s">
        <v>3406</v>
      </c>
      <c r="B95" s="2938" t="s">
        <v>3426</v>
      </c>
      <c r="C95" s="2940">
        <v>203.93</v>
      </c>
      <c r="D95" s="2938" t="s">
        <v>27</v>
      </c>
      <c r="E95" s="1631">
        <f t="shared" ca="1" si="4"/>
        <v>43927</v>
      </c>
      <c r="F95" s="1631">
        <f t="shared" ca="1" si="2"/>
        <v>896</v>
      </c>
    </row>
    <row r="96" spans="1:6">
      <c r="A96" s="3032" t="s">
        <v>3406</v>
      </c>
      <c r="B96" s="2938" t="s">
        <v>3427</v>
      </c>
      <c r="C96" s="2940">
        <v>203.93</v>
      </c>
      <c r="D96" s="2938" t="s">
        <v>27</v>
      </c>
      <c r="E96" s="1631">
        <f t="shared" ca="1" si="4"/>
        <v>43927</v>
      </c>
      <c r="F96" s="1631">
        <f t="shared" ca="1" si="2"/>
        <v>896</v>
      </c>
    </row>
    <row r="97" spans="1:6">
      <c r="A97" s="3032" t="s">
        <v>3406</v>
      </c>
      <c r="B97" s="2938" t="s">
        <v>3428</v>
      </c>
      <c r="C97" s="2940">
        <v>203.93</v>
      </c>
      <c r="D97" s="2938" t="s">
        <v>27</v>
      </c>
      <c r="E97" s="1631">
        <f t="shared" ca="1" si="4"/>
        <v>43927</v>
      </c>
      <c r="F97" s="1631">
        <f t="shared" ca="1" si="2"/>
        <v>896</v>
      </c>
    </row>
    <row r="98" spans="1:6">
      <c r="A98" s="3032" t="s">
        <v>3406</v>
      </c>
      <c r="B98" s="2938" t="s">
        <v>3429</v>
      </c>
      <c r="C98" s="2940">
        <v>203.93</v>
      </c>
      <c r="D98" s="2938" t="s">
        <v>27</v>
      </c>
      <c r="E98" s="1631">
        <f t="shared" ca="1" si="4"/>
        <v>43927</v>
      </c>
      <c r="F98" s="1631">
        <f t="shared" ca="1" si="2"/>
        <v>896</v>
      </c>
    </row>
    <row r="99" spans="1:6">
      <c r="A99" s="3032" t="s">
        <v>3406</v>
      </c>
      <c r="B99" s="2938" t="s">
        <v>3430</v>
      </c>
      <c r="C99" s="2940">
        <v>203.93</v>
      </c>
      <c r="D99" s="2938" t="s">
        <v>27</v>
      </c>
      <c r="E99" s="1631">
        <f t="shared" ca="1" si="4"/>
        <v>43927</v>
      </c>
      <c r="F99" s="1631">
        <f t="shared" ca="1" si="2"/>
        <v>896</v>
      </c>
    </row>
    <row r="100" spans="1:6">
      <c r="A100" s="3032" t="s">
        <v>3406</v>
      </c>
      <c r="B100" s="2938" t="s">
        <v>3431</v>
      </c>
      <c r="C100" s="2940">
        <v>203.93</v>
      </c>
      <c r="D100" s="2938" t="s">
        <v>27</v>
      </c>
      <c r="E100" s="1631">
        <f t="shared" ca="1" si="4"/>
        <v>43927</v>
      </c>
      <c r="F100" s="1631">
        <f t="shared" ca="1" si="2"/>
        <v>896</v>
      </c>
    </row>
    <row r="101" spans="1:6">
      <c r="A101" s="3032" t="s">
        <v>3406</v>
      </c>
      <c r="B101" s="2938" t="s">
        <v>3432</v>
      </c>
      <c r="C101" s="2940">
        <v>203.93</v>
      </c>
      <c r="D101" s="2938" t="s">
        <v>27</v>
      </c>
      <c r="E101" s="1631">
        <f t="shared" ca="1" si="4"/>
        <v>43927</v>
      </c>
      <c r="F101" s="1631">
        <f t="shared" ca="1" si="2"/>
        <v>896</v>
      </c>
    </row>
    <row r="102" spans="1:6">
      <c r="A102" s="3032" t="s">
        <v>3406</v>
      </c>
      <c r="B102" s="2938" t="s">
        <v>3433</v>
      </c>
      <c r="C102" s="2940">
        <v>203.93</v>
      </c>
      <c r="D102" s="2938" t="s">
        <v>27</v>
      </c>
      <c r="E102" s="1631">
        <f t="shared" ca="1" si="4"/>
        <v>43927</v>
      </c>
      <c r="F102" s="1631">
        <f t="shared" ca="1" si="2"/>
        <v>896</v>
      </c>
    </row>
    <row r="103" spans="1:6">
      <c r="A103" s="3032" t="s">
        <v>3406</v>
      </c>
      <c r="B103" s="2938" t="s">
        <v>3434</v>
      </c>
      <c r="C103" s="2940">
        <v>203.93</v>
      </c>
      <c r="D103" s="2938" t="s">
        <v>27</v>
      </c>
      <c r="E103" s="1631">
        <f t="shared" ca="1" si="4"/>
        <v>43927</v>
      </c>
      <c r="F103" s="1631">
        <f t="shared" ca="1" si="2"/>
        <v>896</v>
      </c>
    </row>
    <row r="104" spans="1:6">
      <c r="A104" s="3032" t="s">
        <v>3406</v>
      </c>
      <c r="B104" s="2938" t="s">
        <v>3435</v>
      </c>
      <c r="C104" s="2940">
        <v>203.93</v>
      </c>
      <c r="D104" s="2938" t="s">
        <v>27</v>
      </c>
      <c r="E104" s="1631">
        <f t="shared" ca="1" si="4"/>
        <v>43927</v>
      </c>
      <c r="F104" s="1631">
        <f t="shared" ca="1" si="2"/>
        <v>896</v>
      </c>
    </row>
    <row r="105" spans="1:6">
      <c r="A105" s="3032" t="s">
        <v>3406</v>
      </c>
      <c r="B105" s="2938" t="s">
        <v>3436</v>
      </c>
      <c r="C105" s="2940">
        <v>203.93</v>
      </c>
      <c r="D105" s="2938" t="s">
        <v>27</v>
      </c>
      <c r="E105" s="1631">
        <f t="shared" ca="1" si="4"/>
        <v>43927</v>
      </c>
      <c r="F105" s="1631">
        <f t="shared" ca="1" si="2"/>
        <v>896</v>
      </c>
    </row>
    <row r="106" spans="1:6">
      <c r="A106" s="3032" t="s">
        <v>3406</v>
      </c>
      <c r="B106" s="2938" t="s">
        <v>3437</v>
      </c>
      <c r="C106" s="2940">
        <v>203.93</v>
      </c>
      <c r="D106" s="2938" t="s">
        <v>27</v>
      </c>
      <c r="E106" s="1631">
        <f t="shared" ca="1" si="4"/>
        <v>43927</v>
      </c>
      <c r="F106" s="1631">
        <f t="shared" ca="1" si="2"/>
        <v>896</v>
      </c>
    </row>
    <row r="107" spans="1:6">
      <c r="A107" s="3032" t="s">
        <v>3406</v>
      </c>
      <c r="B107" s="2938" t="s">
        <v>3438</v>
      </c>
      <c r="C107" s="2940">
        <v>203.93</v>
      </c>
      <c r="D107" s="2938" t="s">
        <v>27</v>
      </c>
      <c r="E107" s="1631">
        <f t="shared" ca="1" si="4"/>
        <v>43927</v>
      </c>
      <c r="F107" s="1631">
        <f t="shared" ca="1" si="2"/>
        <v>896</v>
      </c>
    </row>
    <row r="108" spans="1:6">
      <c r="A108" s="3032" t="s">
        <v>3406</v>
      </c>
      <c r="B108" s="2938" t="s">
        <v>3439</v>
      </c>
      <c r="C108" s="2940">
        <v>203.93</v>
      </c>
      <c r="D108" s="2938" t="s">
        <v>27</v>
      </c>
      <c r="E108" s="1631">
        <f t="shared" ca="1" si="4"/>
        <v>43927</v>
      </c>
      <c r="F108" s="1631">
        <f t="shared" ca="1" si="2"/>
        <v>896</v>
      </c>
    </row>
    <row r="109" spans="1:6">
      <c r="A109" s="3032" t="s">
        <v>3406</v>
      </c>
      <c r="B109" s="2938" t="s">
        <v>3440</v>
      </c>
      <c r="C109" s="2940">
        <v>203.93</v>
      </c>
      <c r="D109" s="2938" t="s">
        <v>27</v>
      </c>
      <c r="E109" s="1631">
        <f t="shared" ca="1" si="4"/>
        <v>43927</v>
      </c>
      <c r="F109" s="1631">
        <f t="shared" ca="1" si="2"/>
        <v>896</v>
      </c>
    </row>
    <row r="110" spans="1:6">
      <c r="A110" s="3032" t="s">
        <v>3406</v>
      </c>
      <c r="B110" s="2938" t="s">
        <v>3441</v>
      </c>
      <c r="C110" s="2940">
        <v>203.93</v>
      </c>
      <c r="D110" s="2938" t="s">
        <v>27</v>
      </c>
      <c r="E110" s="1631">
        <f t="shared" ca="1" si="4"/>
        <v>43927</v>
      </c>
      <c r="F110" s="1631">
        <f t="shared" ca="1" si="2"/>
        <v>896</v>
      </c>
    </row>
    <row r="111" spans="1:6">
      <c r="A111" s="3032" t="s">
        <v>3406</v>
      </c>
      <c r="B111" s="2938" t="s">
        <v>3442</v>
      </c>
      <c r="C111" s="2940">
        <v>203.93</v>
      </c>
      <c r="D111" s="2938" t="s">
        <v>27</v>
      </c>
      <c r="E111" s="1631">
        <f t="shared" ca="1" si="4"/>
        <v>43927</v>
      </c>
      <c r="F111" s="1631">
        <f t="shared" ca="1" si="2"/>
        <v>896</v>
      </c>
    </row>
    <row r="112" spans="1:6">
      <c r="A112" s="3032" t="s">
        <v>3406</v>
      </c>
      <c r="B112" s="2938" t="s">
        <v>3443</v>
      </c>
      <c r="C112" s="2940">
        <v>203.93</v>
      </c>
      <c r="D112" s="2938" t="s">
        <v>27</v>
      </c>
      <c r="E112" s="1631">
        <f t="shared" ca="1" si="4"/>
        <v>43927</v>
      </c>
      <c r="F112" s="1631">
        <f t="shared" ca="1" si="2"/>
        <v>896</v>
      </c>
    </row>
    <row r="113" spans="1:6">
      <c r="A113" s="3032" t="s">
        <v>3406</v>
      </c>
      <c r="B113" s="2938" t="s">
        <v>3444</v>
      </c>
      <c r="C113" s="2940">
        <v>203.93</v>
      </c>
      <c r="D113" s="2938" t="s">
        <v>27</v>
      </c>
      <c r="E113" s="1631">
        <f t="shared" ca="1" si="4"/>
        <v>43927</v>
      </c>
      <c r="F113" s="1631">
        <f t="shared" ca="1" si="2"/>
        <v>896</v>
      </c>
    </row>
    <row r="114" spans="1:6">
      <c r="A114" s="3032" t="s">
        <v>3406</v>
      </c>
      <c r="B114" s="2938" t="s">
        <v>3445</v>
      </c>
      <c r="C114" s="2940">
        <v>203.93</v>
      </c>
      <c r="D114" s="2938" t="s">
        <v>27</v>
      </c>
      <c r="E114" s="1631">
        <f t="shared" ca="1" si="4"/>
        <v>43927</v>
      </c>
      <c r="F114" s="1631">
        <f t="shared" ca="1" si="2"/>
        <v>896</v>
      </c>
    </row>
    <row r="115" spans="1:6">
      <c r="A115" s="3032" t="s">
        <v>3406</v>
      </c>
      <c r="B115" s="2938" t="s">
        <v>3446</v>
      </c>
      <c r="C115" s="2940">
        <v>203.93</v>
      </c>
      <c r="D115" s="2938" t="s">
        <v>27</v>
      </c>
      <c r="E115" s="1631">
        <f t="shared" ca="1" si="4"/>
        <v>43927</v>
      </c>
      <c r="F115" s="1631">
        <f t="shared" ca="1" si="2"/>
        <v>896</v>
      </c>
    </row>
    <row r="116" spans="1:6">
      <c r="A116" s="3032" t="s">
        <v>3406</v>
      </c>
      <c r="B116" s="2938" t="s">
        <v>3447</v>
      </c>
      <c r="C116" s="2940">
        <v>203.93</v>
      </c>
      <c r="D116" s="2938" t="s">
        <v>27</v>
      </c>
      <c r="E116" s="1631">
        <f t="shared" ca="1" si="4"/>
        <v>43927</v>
      </c>
      <c r="F116" s="1631">
        <f t="shared" ca="1" si="2"/>
        <v>896</v>
      </c>
    </row>
    <row r="117" spans="1:6">
      <c r="A117" s="3032" t="s">
        <v>3406</v>
      </c>
      <c r="B117" s="2938" t="s">
        <v>3448</v>
      </c>
      <c r="C117" s="2940">
        <v>203.93</v>
      </c>
      <c r="D117" s="2938" t="s">
        <v>27</v>
      </c>
      <c r="E117" s="1631">
        <f t="shared" ca="1" si="4"/>
        <v>43927</v>
      </c>
      <c r="F117" s="1631">
        <f t="shared" ca="1" si="2"/>
        <v>896</v>
      </c>
    </row>
    <row r="118" spans="1:6">
      <c r="A118" s="3357" t="s">
        <v>40</v>
      </c>
      <c r="B118" s="3358"/>
      <c r="C118" s="3028">
        <f>SUM(C76:C117)</f>
        <v>8485.3000000000047</v>
      </c>
      <c r="D118" s="3028" t="s">
        <v>27</v>
      </c>
      <c r="F118" s="1631">
        <f ca="1">SUM(F76:F117)</f>
        <v>37280</v>
      </c>
    </row>
    <row r="119" spans="1:6">
      <c r="A119" s="3363" t="s">
        <v>3133</v>
      </c>
      <c r="B119" s="3363"/>
      <c r="C119" s="3029">
        <f>C118+C75</f>
        <v>16517.420000000006</v>
      </c>
      <c r="D119" s="2942" t="s">
        <v>3134</v>
      </c>
      <c r="F119" s="1631">
        <f ca="1">F118+F75</f>
        <v>72568</v>
      </c>
    </row>
    <row r="120" spans="1:6">
      <c r="A120" s="3356" t="s">
        <v>3449</v>
      </c>
      <c r="B120" s="3356"/>
      <c r="C120" s="3356"/>
      <c r="D120" s="3356"/>
    </row>
    <row r="121" spans="1:6">
      <c r="A121" s="3031" t="s">
        <v>3071</v>
      </c>
      <c r="B121" s="3031" t="s">
        <v>3072</v>
      </c>
      <c r="C121" s="3031" t="s">
        <v>3073</v>
      </c>
      <c r="D121" s="3031" t="s">
        <v>1375</v>
      </c>
    </row>
    <row r="122" spans="1:6">
      <c r="A122" s="2938" t="s">
        <v>3450</v>
      </c>
      <c r="B122" s="2944">
        <v>-115</v>
      </c>
      <c r="C122" s="2940">
        <v>72.650000000000006</v>
      </c>
      <c r="D122" s="2944" t="s">
        <v>1377</v>
      </c>
      <c r="E122" s="1631">
        <f ca="1">'结果表（商业）'!I118</f>
        <v>24066</v>
      </c>
      <c r="F122" s="1631">
        <f ca="1">ROUND(C122*E122/10000,0)</f>
        <v>175</v>
      </c>
    </row>
    <row r="123" spans="1:6">
      <c r="A123" s="2938" t="s">
        <v>3450</v>
      </c>
      <c r="B123" s="2944">
        <v>-116</v>
      </c>
      <c r="C123" s="2940">
        <v>200.53</v>
      </c>
      <c r="D123" s="2944" t="s">
        <v>1377</v>
      </c>
      <c r="E123" s="1631">
        <f ca="1">E122</f>
        <v>24066</v>
      </c>
      <c r="F123" s="1631">
        <f ca="1">ROUND(C123*E123/10000,0)</f>
        <v>483</v>
      </c>
    </row>
    <row r="124" spans="1:6">
      <c r="A124" s="3362" t="s">
        <v>40</v>
      </c>
      <c r="B124" s="3362"/>
      <c r="C124" s="3028">
        <f>SUM(C122:C123)</f>
        <v>273.18</v>
      </c>
      <c r="D124" s="3028" t="s">
        <v>1377</v>
      </c>
      <c r="F124" s="1631">
        <f ca="1">F122+F123</f>
        <v>658</v>
      </c>
    </row>
    <row r="125" spans="1:6">
      <c r="A125" s="3364" t="s">
        <v>3450</v>
      </c>
      <c r="B125" s="2941" t="s">
        <v>3074</v>
      </c>
      <c r="C125" s="2940">
        <v>16.73</v>
      </c>
      <c r="D125" s="2947" t="s">
        <v>48</v>
      </c>
      <c r="E125" s="1631">
        <f ca="1">'结果表（地下车库）'!I118</f>
        <v>10281</v>
      </c>
      <c r="F125" s="1631">
        <f ca="1">ROUND(C125*E125/10000,2)</f>
        <v>17.2</v>
      </c>
    </row>
    <row r="126" spans="1:6">
      <c r="A126" s="3364"/>
      <c r="B126" s="2941" t="s">
        <v>3075</v>
      </c>
      <c r="C126" s="2940">
        <v>18.3</v>
      </c>
      <c r="D126" s="2947" t="s">
        <v>48</v>
      </c>
      <c r="E126" s="1631">
        <f ca="1">E125</f>
        <v>10281</v>
      </c>
      <c r="F126" s="1631">
        <f t="shared" ref="F126:F176" ca="1" si="5">ROUND(C126*E126/10000,2)</f>
        <v>18.809999999999999</v>
      </c>
    </row>
    <row r="127" spans="1:6">
      <c r="A127" s="3364"/>
      <c r="B127" s="2941" t="s">
        <v>3076</v>
      </c>
      <c r="C127" s="2940">
        <v>18.3</v>
      </c>
      <c r="D127" s="2947" t="s">
        <v>48</v>
      </c>
      <c r="E127" s="1631">
        <f t="shared" ref="E127:E176" ca="1" si="6">E126</f>
        <v>10281</v>
      </c>
      <c r="F127" s="1631">
        <f t="shared" ca="1" si="5"/>
        <v>18.809999999999999</v>
      </c>
    </row>
    <row r="128" spans="1:6">
      <c r="A128" s="3364"/>
      <c r="B128" s="2941" t="s">
        <v>3077</v>
      </c>
      <c r="C128" s="2940">
        <v>18.3</v>
      </c>
      <c r="D128" s="2947" t="s">
        <v>48</v>
      </c>
      <c r="E128" s="1631">
        <f t="shared" ca="1" si="6"/>
        <v>10281</v>
      </c>
      <c r="F128" s="1631">
        <f t="shared" ca="1" si="5"/>
        <v>18.809999999999999</v>
      </c>
    </row>
    <row r="129" spans="1:6">
      <c r="A129" s="3364"/>
      <c r="B129" s="2941" t="s">
        <v>3078</v>
      </c>
      <c r="C129" s="2940">
        <v>54.91</v>
      </c>
      <c r="D129" s="2947" t="s">
        <v>48</v>
      </c>
      <c r="E129" s="1631">
        <f t="shared" ca="1" si="6"/>
        <v>10281</v>
      </c>
      <c r="F129" s="1631">
        <f t="shared" ca="1" si="5"/>
        <v>56.45</v>
      </c>
    </row>
    <row r="130" spans="1:6">
      <c r="A130" s="3364"/>
      <c r="B130" s="2941" t="s">
        <v>3079</v>
      </c>
      <c r="C130" s="2940">
        <v>16.73</v>
      </c>
      <c r="D130" s="2947" t="s">
        <v>48</v>
      </c>
      <c r="E130" s="1631">
        <f t="shared" ca="1" si="6"/>
        <v>10281</v>
      </c>
      <c r="F130" s="1631">
        <f t="shared" ca="1" si="5"/>
        <v>17.2</v>
      </c>
    </row>
    <row r="131" spans="1:6">
      <c r="A131" s="3364"/>
      <c r="B131" s="2941" t="s">
        <v>3080</v>
      </c>
      <c r="C131" s="2940">
        <v>16.73</v>
      </c>
      <c r="D131" s="2947" t="s">
        <v>48</v>
      </c>
      <c r="E131" s="1631">
        <f t="shared" ca="1" si="6"/>
        <v>10281</v>
      </c>
      <c r="F131" s="1631">
        <f t="shared" ca="1" si="5"/>
        <v>17.2</v>
      </c>
    </row>
    <row r="132" spans="1:6">
      <c r="A132" s="3364"/>
      <c r="B132" s="2941" t="s">
        <v>3081</v>
      </c>
      <c r="C132" s="2940">
        <v>16.73</v>
      </c>
      <c r="D132" s="2947" t="s">
        <v>48</v>
      </c>
      <c r="E132" s="1631">
        <f t="shared" ca="1" si="6"/>
        <v>10281</v>
      </c>
      <c r="F132" s="1631">
        <f t="shared" ca="1" si="5"/>
        <v>17.2</v>
      </c>
    </row>
    <row r="133" spans="1:6">
      <c r="A133" s="3364"/>
      <c r="B133" s="2941" t="s">
        <v>3082</v>
      </c>
      <c r="C133" s="2940">
        <v>16.73</v>
      </c>
      <c r="D133" s="2947" t="s">
        <v>48</v>
      </c>
      <c r="E133" s="1631">
        <f t="shared" ca="1" si="6"/>
        <v>10281</v>
      </c>
      <c r="F133" s="1631">
        <f t="shared" ca="1" si="5"/>
        <v>17.2</v>
      </c>
    </row>
    <row r="134" spans="1:6">
      <c r="A134" s="3364"/>
      <c r="B134" s="2941" t="s">
        <v>3083</v>
      </c>
      <c r="C134" s="2940">
        <v>13.02</v>
      </c>
      <c r="D134" s="2947" t="s">
        <v>48</v>
      </c>
      <c r="E134" s="1631">
        <f t="shared" ca="1" si="6"/>
        <v>10281</v>
      </c>
      <c r="F134" s="1631">
        <f t="shared" ca="1" si="5"/>
        <v>13.39</v>
      </c>
    </row>
    <row r="135" spans="1:6">
      <c r="A135" s="3364"/>
      <c r="B135" s="2941" t="s">
        <v>3084</v>
      </c>
      <c r="C135" s="2940">
        <v>13.02</v>
      </c>
      <c r="D135" s="2947" t="s">
        <v>48</v>
      </c>
      <c r="E135" s="1631">
        <f t="shared" ca="1" si="6"/>
        <v>10281</v>
      </c>
      <c r="F135" s="1631">
        <f t="shared" ca="1" si="5"/>
        <v>13.39</v>
      </c>
    </row>
    <row r="136" spans="1:6">
      <c r="A136" s="3364"/>
      <c r="B136" s="2941" t="s">
        <v>3085</v>
      </c>
      <c r="C136" s="2940">
        <v>16.73</v>
      </c>
      <c r="D136" s="2947" t="s">
        <v>48</v>
      </c>
      <c r="E136" s="1631">
        <f t="shared" ca="1" si="6"/>
        <v>10281</v>
      </c>
      <c r="F136" s="1631">
        <f t="shared" ca="1" si="5"/>
        <v>17.2</v>
      </c>
    </row>
    <row r="137" spans="1:6">
      <c r="A137" s="3364"/>
      <c r="B137" s="2941" t="s">
        <v>3086</v>
      </c>
      <c r="C137" s="2940">
        <v>16.73</v>
      </c>
      <c r="D137" s="2947" t="s">
        <v>48</v>
      </c>
      <c r="E137" s="1631">
        <f t="shared" ca="1" si="6"/>
        <v>10281</v>
      </c>
      <c r="F137" s="1631">
        <f t="shared" ca="1" si="5"/>
        <v>17.2</v>
      </c>
    </row>
    <row r="138" spans="1:6">
      <c r="A138" s="3364"/>
      <c r="B138" s="2941" t="s">
        <v>3087</v>
      </c>
      <c r="C138" s="2940">
        <v>13.02</v>
      </c>
      <c r="D138" s="2947" t="s">
        <v>48</v>
      </c>
      <c r="E138" s="1631">
        <f t="shared" ca="1" si="6"/>
        <v>10281</v>
      </c>
      <c r="F138" s="1631">
        <f t="shared" ca="1" si="5"/>
        <v>13.39</v>
      </c>
    </row>
    <row r="139" spans="1:6">
      <c r="A139" s="3364"/>
      <c r="B139" s="2941" t="s">
        <v>3088</v>
      </c>
      <c r="C139" s="2940">
        <v>54.91</v>
      </c>
      <c r="D139" s="2947" t="s">
        <v>48</v>
      </c>
      <c r="E139" s="1631">
        <f t="shared" ca="1" si="6"/>
        <v>10281</v>
      </c>
      <c r="F139" s="1631">
        <f t="shared" ca="1" si="5"/>
        <v>56.45</v>
      </c>
    </row>
    <row r="140" spans="1:6">
      <c r="A140" s="3364"/>
      <c r="B140" s="2941" t="s">
        <v>3089</v>
      </c>
      <c r="C140" s="2940">
        <v>54.91</v>
      </c>
      <c r="D140" s="2947" t="s">
        <v>48</v>
      </c>
      <c r="E140" s="1631">
        <f t="shared" ca="1" si="6"/>
        <v>10281</v>
      </c>
      <c r="F140" s="1631">
        <f t="shared" ca="1" si="5"/>
        <v>56.45</v>
      </c>
    </row>
    <row r="141" spans="1:6">
      <c r="A141" s="3364"/>
      <c r="B141" s="2941" t="s">
        <v>3090</v>
      </c>
      <c r="C141" s="2940">
        <v>54.91</v>
      </c>
      <c r="D141" s="2947" t="s">
        <v>48</v>
      </c>
      <c r="E141" s="1631">
        <f t="shared" ca="1" si="6"/>
        <v>10281</v>
      </c>
      <c r="F141" s="1631">
        <f t="shared" ca="1" si="5"/>
        <v>56.45</v>
      </c>
    </row>
    <row r="142" spans="1:6">
      <c r="A142" s="3364"/>
      <c r="B142" s="2941" t="s">
        <v>3091</v>
      </c>
      <c r="C142" s="2940">
        <v>18.3</v>
      </c>
      <c r="D142" s="2947" t="s">
        <v>48</v>
      </c>
      <c r="E142" s="1631">
        <f t="shared" ca="1" si="6"/>
        <v>10281</v>
      </c>
      <c r="F142" s="1631">
        <f t="shared" ca="1" si="5"/>
        <v>18.809999999999999</v>
      </c>
    </row>
    <row r="143" spans="1:6">
      <c r="A143" s="3364"/>
      <c r="B143" s="2941" t="s">
        <v>3092</v>
      </c>
      <c r="C143" s="2940">
        <v>18.3</v>
      </c>
      <c r="D143" s="2947" t="s">
        <v>48</v>
      </c>
      <c r="E143" s="1631">
        <f t="shared" ca="1" si="6"/>
        <v>10281</v>
      </c>
      <c r="F143" s="1631">
        <f t="shared" ca="1" si="5"/>
        <v>18.809999999999999</v>
      </c>
    </row>
    <row r="144" spans="1:6">
      <c r="A144" s="3364"/>
      <c r="B144" s="2941" t="s">
        <v>3093</v>
      </c>
      <c r="C144" s="2940">
        <v>54.91</v>
      </c>
      <c r="D144" s="2947" t="s">
        <v>48</v>
      </c>
      <c r="E144" s="1631">
        <f t="shared" ca="1" si="6"/>
        <v>10281</v>
      </c>
      <c r="F144" s="1631">
        <f t="shared" ca="1" si="5"/>
        <v>56.45</v>
      </c>
    </row>
    <row r="145" spans="1:6">
      <c r="A145" s="3364"/>
      <c r="B145" s="2941" t="s">
        <v>3094</v>
      </c>
      <c r="C145" s="2940">
        <v>54.91</v>
      </c>
      <c r="D145" s="2947" t="s">
        <v>48</v>
      </c>
      <c r="E145" s="1631">
        <f t="shared" ca="1" si="6"/>
        <v>10281</v>
      </c>
      <c r="F145" s="1631">
        <f t="shared" ca="1" si="5"/>
        <v>56.45</v>
      </c>
    </row>
    <row r="146" spans="1:6">
      <c r="A146" s="3364"/>
      <c r="B146" s="2941" t="s">
        <v>3095</v>
      </c>
      <c r="C146" s="2940">
        <v>54.91</v>
      </c>
      <c r="D146" s="2947" t="s">
        <v>48</v>
      </c>
      <c r="E146" s="1631">
        <f t="shared" ca="1" si="6"/>
        <v>10281</v>
      </c>
      <c r="F146" s="1631">
        <f t="shared" ca="1" si="5"/>
        <v>56.45</v>
      </c>
    </row>
    <row r="147" spans="1:6">
      <c r="A147" s="3364"/>
      <c r="B147" s="2941" t="s">
        <v>3096</v>
      </c>
      <c r="C147" s="2940">
        <v>18.3</v>
      </c>
      <c r="D147" s="2947" t="s">
        <v>48</v>
      </c>
      <c r="E147" s="1631">
        <f t="shared" ca="1" si="6"/>
        <v>10281</v>
      </c>
      <c r="F147" s="1631">
        <f t="shared" ca="1" si="5"/>
        <v>18.809999999999999</v>
      </c>
    </row>
    <row r="148" spans="1:6">
      <c r="A148" s="3364"/>
      <c r="B148" s="2941" t="s">
        <v>3097</v>
      </c>
      <c r="C148" s="2940">
        <v>54.91</v>
      </c>
      <c r="D148" s="2947" t="s">
        <v>48</v>
      </c>
      <c r="E148" s="1631">
        <f t="shared" ca="1" si="6"/>
        <v>10281</v>
      </c>
      <c r="F148" s="1631">
        <f t="shared" ca="1" si="5"/>
        <v>56.45</v>
      </c>
    </row>
    <row r="149" spans="1:6">
      <c r="A149" s="3364"/>
      <c r="B149" s="2941" t="s">
        <v>3098</v>
      </c>
      <c r="C149" s="2940">
        <v>54.91</v>
      </c>
      <c r="D149" s="2947" t="s">
        <v>48</v>
      </c>
      <c r="E149" s="1631">
        <f t="shared" ca="1" si="6"/>
        <v>10281</v>
      </c>
      <c r="F149" s="1631">
        <f t="shared" ca="1" si="5"/>
        <v>56.45</v>
      </c>
    </row>
    <row r="150" spans="1:6">
      <c r="A150" s="3364"/>
      <c r="B150" s="2941" t="s">
        <v>3099</v>
      </c>
      <c r="C150" s="2940">
        <v>18.3</v>
      </c>
      <c r="D150" s="2947" t="s">
        <v>48</v>
      </c>
      <c r="E150" s="1631">
        <f t="shared" ca="1" si="6"/>
        <v>10281</v>
      </c>
      <c r="F150" s="1631">
        <f t="shared" ca="1" si="5"/>
        <v>18.809999999999999</v>
      </c>
    </row>
    <row r="151" spans="1:6">
      <c r="A151" s="3364"/>
      <c r="B151" s="2941" t="s">
        <v>3100</v>
      </c>
      <c r="C151" s="2940">
        <v>18.3</v>
      </c>
      <c r="D151" s="2947" t="s">
        <v>48</v>
      </c>
      <c r="E151" s="1631">
        <f t="shared" ca="1" si="6"/>
        <v>10281</v>
      </c>
      <c r="F151" s="1631">
        <f t="shared" ca="1" si="5"/>
        <v>18.809999999999999</v>
      </c>
    </row>
    <row r="152" spans="1:6">
      <c r="A152" s="3364"/>
      <c r="B152" s="2941" t="s">
        <v>3101</v>
      </c>
      <c r="C152" s="2940">
        <v>54.91</v>
      </c>
      <c r="D152" s="2947" t="s">
        <v>48</v>
      </c>
      <c r="E152" s="1631">
        <f t="shared" ca="1" si="6"/>
        <v>10281</v>
      </c>
      <c r="F152" s="1631">
        <f t="shared" ca="1" si="5"/>
        <v>56.45</v>
      </c>
    </row>
    <row r="153" spans="1:6">
      <c r="A153" s="3364"/>
      <c r="B153" s="2941" t="s">
        <v>3102</v>
      </c>
      <c r="C153" s="2940">
        <v>54.91</v>
      </c>
      <c r="D153" s="2947" t="s">
        <v>48</v>
      </c>
      <c r="E153" s="1631">
        <f t="shared" ca="1" si="6"/>
        <v>10281</v>
      </c>
      <c r="F153" s="1631">
        <f t="shared" ca="1" si="5"/>
        <v>56.45</v>
      </c>
    </row>
    <row r="154" spans="1:6">
      <c r="A154" s="3364"/>
      <c r="B154" s="2941" t="s">
        <v>3103</v>
      </c>
      <c r="C154" s="2940">
        <v>54.91</v>
      </c>
      <c r="D154" s="2947" t="s">
        <v>48</v>
      </c>
      <c r="E154" s="1631">
        <f t="shared" ca="1" si="6"/>
        <v>10281</v>
      </c>
      <c r="F154" s="1631">
        <f t="shared" ca="1" si="5"/>
        <v>56.45</v>
      </c>
    </row>
    <row r="155" spans="1:6">
      <c r="A155" s="3364"/>
      <c r="B155" s="2941" t="s">
        <v>3104</v>
      </c>
      <c r="C155" s="2940">
        <v>54.91</v>
      </c>
      <c r="D155" s="2947" t="s">
        <v>48</v>
      </c>
      <c r="E155" s="1631">
        <f t="shared" ca="1" si="6"/>
        <v>10281</v>
      </c>
      <c r="F155" s="1631">
        <f t="shared" ca="1" si="5"/>
        <v>56.45</v>
      </c>
    </row>
    <row r="156" spans="1:6">
      <c r="A156" s="3364"/>
      <c r="B156" s="2941" t="s">
        <v>3105</v>
      </c>
      <c r="C156" s="2940">
        <v>54.91</v>
      </c>
      <c r="D156" s="2947" t="s">
        <v>48</v>
      </c>
      <c r="E156" s="1631">
        <f t="shared" ca="1" si="6"/>
        <v>10281</v>
      </c>
      <c r="F156" s="1631">
        <f t="shared" ca="1" si="5"/>
        <v>56.45</v>
      </c>
    </row>
    <row r="157" spans="1:6">
      <c r="A157" s="3364"/>
      <c r="B157" s="2941" t="s">
        <v>3106</v>
      </c>
      <c r="C157" s="2940">
        <v>18.3</v>
      </c>
      <c r="D157" s="2947" t="s">
        <v>48</v>
      </c>
      <c r="E157" s="1631">
        <f t="shared" ca="1" si="6"/>
        <v>10281</v>
      </c>
      <c r="F157" s="1631">
        <f t="shared" ca="1" si="5"/>
        <v>18.809999999999999</v>
      </c>
    </row>
    <row r="158" spans="1:6">
      <c r="A158" s="3364"/>
      <c r="B158" s="2941" t="s">
        <v>3107</v>
      </c>
      <c r="C158" s="2940">
        <v>18.3</v>
      </c>
      <c r="D158" s="2947" t="s">
        <v>48</v>
      </c>
      <c r="E158" s="1631">
        <f t="shared" ca="1" si="6"/>
        <v>10281</v>
      </c>
      <c r="F158" s="1631">
        <f t="shared" ca="1" si="5"/>
        <v>18.809999999999999</v>
      </c>
    </row>
    <row r="159" spans="1:6">
      <c r="A159" s="3364"/>
      <c r="B159" s="2941" t="s">
        <v>3108</v>
      </c>
      <c r="C159" s="2940">
        <v>18.3</v>
      </c>
      <c r="D159" s="2947" t="s">
        <v>48</v>
      </c>
      <c r="E159" s="1631">
        <f t="shared" ca="1" si="6"/>
        <v>10281</v>
      </c>
      <c r="F159" s="1631">
        <f t="shared" ca="1" si="5"/>
        <v>18.809999999999999</v>
      </c>
    </row>
    <row r="160" spans="1:6">
      <c r="A160" s="3364"/>
      <c r="B160" s="2941" t="s">
        <v>3109</v>
      </c>
      <c r="C160" s="2940">
        <v>54.91</v>
      </c>
      <c r="D160" s="2947" t="s">
        <v>48</v>
      </c>
      <c r="E160" s="1631">
        <f t="shared" ca="1" si="6"/>
        <v>10281</v>
      </c>
      <c r="F160" s="1631">
        <f t="shared" ca="1" si="5"/>
        <v>56.45</v>
      </c>
    </row>
    <row r="161" spans="1:6">
      <c r="A161" s="3364"/>
      <c r="B161" s="2941" t="s">
        <v>3110</v>
      </c>
      <c r="C161" s="2940">
        <v>54.91</v>
      </c>
      <c r="D161" s="2947" t="s">
        <v>48</v>
      </c>
      <c r="E161" s="1631">
        <f t="shared" ca="1" si="6"/>
        <v>10281</v>
      </c>
      <c r="F161" s="1631">
        <f t="shared" ca="1" si="5"/>
        <v>56.45</v>
      </c>
    </row>
    <row r="162" spans="1:6">
      <c r="A162" s="3364"/>
      <c r="B162" s="2941" t="s">
        <v>3111</v>
      </c>
      <c r="C162" s="2940">
        <v>18.3</v>
      </c>
      <c r="D162" s="2947" t="s">
        <v>48</v>
      </c>
      <c r="E162" s="1631">
        <f t="shared" ca="1" si="6"/>
        <v>10281</v>
      </c>
      <c r="F162" s="1631">
        <f t="shared" ca="1" si="5"/>
        <v>18.809999999999999</v>
      </c>
    </row>
    <row r="163" spans="1:6">
      <c r="A163" s="3364"/>
      <c r="B163" s="2941" t="s">
        <v>3112</v>
      </c>
      <c r="C163" s="2940">
        <v>54.91</v>
      </c>
      <c r="D163" s="2947" t="s">
        <v>48</v>
      </c>
      <c r="E163" s="1631">
        <f t="shared" ca="1" si="6"/>
        <v>10281</v>
      </c>
      <c r="F163" s="1631">
        <f t="shared" ca="1" si="5"/>
        <v>56.45</v>
      </c>
    </row>
    <row r="164" spans="1:6">
      <c r="A164" s="3364"/>
      <c r="B164" s="2941" t="s">
        <v>3113</v>
      </c>
      <c r="C164" s="2940">
        <v>54.91</v>
      </c>
      <c r="D164" s="2947" t="s">
        <v>48</v>
      </c>
      <c r="E164" s="1631">
        <f t="shared" ca="1" si="6"/>
        <v>10281</v>
      </c>
      <c r="F164" s="1631">
        <f t="shared" ca="1" si="5"/>
        <v>56.45</v>
      </c>
    </row>
    <row r="165" spans="1:6">
      <c r="A165" s="3364"/>
      <c r="B165" s="2941" t="s">
        <v>3114</v>
      </c>
      <c r="C165" s="2940">
        <v>54.91</v>
      </c>
      <c r="D165" s="2947" t="s">
        <v>48</v>
      </c>
      <c r="E165" s="1631">
        <f t="shared" ca="1" si="6"/>
        <v>10281</v>
      </c>
      <c r="F165" s="1631">
        <f t="shared" ca="1" si="5"/>
        <v>56.45</v>
      </c>
    </row>
    <row r="166" spans="1:6">
      <c r="A166" s="3364"/>
      <c r="B166" s="2941" t="s">
        <v>3115</v>
      </c>
      <c r="C166" s="2940">
        <v>18.3</v>
      </c>
      <c r="D166" s="2947" t="s">
        <v>48</v>
      </c>
      <c r="E166" s="1631">
        <f t="shared" ca="1" si="6"/>
        <v>10281</v>
      </c>
      <c r="F166" s="1631">
        <f t="shared" ca="1" si="5"/>
        <v>18.809999999999999</v>
      </c>
    </row>
    <row r="167" spans="1:6">
      <c r="A167" s="3364"/>
      <c r="B167" s="2941" t="s">
        <v>3116</v>
      </c>
      <c r="C167" s="2940">
        <v>54.91</v>
      </c>
      <c r="D167" s="2947" t="s">
        <v>48</v>
      </c>
      <c r="E167" s="1631">
        <f t="shared" ca="1" si="6"/>
        <v>10281</v>
      </c>
      <c r="F167" s="1631">
        <f t="shared" ca="1" si="5"/>
        <v>56.45</v>
      </c>
    </row>
    <row r="168" spans="1:6">
      <c r="A168" s="3364"/>
      <c r="B168" s="2941" t="s">
        <v>3117</v>
      </c>
      <c r="C168" s="2940">
        <v>54.91</v>
      </c>
      <c r="D168" s="2947" t="s">
        <v>48</v>
      </c>
      <c r="E168" s="1631">
        <f t="shared" ca="1" si="6"/>
        <v>10281</v>
      </c>
      <c r="F168" s="1631">
        <f t="shared" ca="1" si="5"/>
        <v>56.45</v>
      </c>
    </row>
    <row r="169" spans="1:6">
      <c r="A169" s="3364"/>
      <c r="B169" s="2941" t="s">
        <v>3118</v>
      </c>
      <c r="C169" s="2940">
        <v>54.91</v>
      </c>
      <c r="D169" s="2947" t="s">
        <v>48</v>
      </c>
      <c r="E169" s="1631">
        <f t="shared" ca="1" si="6"/>
        <v>10281</v>
      </c>
      <c r="F169" s="1631">
        <f t="shared" ca="1" si="5"/>
        <v>56.45</v>
      </c>
    </row>
    <row r="170" spans="1:6">
      <c r="A170" s="3364"/>
      <c r="B170" s="2941" t="s">
        <v>3119</v>
      </c>
      <c r="C170" s="2940">
        <v>54.91</v>
      </c>
      <c r="D170" s="2947" t="s">
        <v>48</v>
      </c>
      <c r="E170" s="1631">
        <f t="shared" ca="1" si="6"/>
        <v>10281</v>
      </c>
      <c r="F170" s="1631">
        <f t="shared" ca="1" si="5"/>
        <v>56.45</v>
      </c>
    </row>
    <row r="171" spans="1:6">
      <c r="A171" s="3364"/>
      <c r="B171" s="2941" t="s">
        <v>3120</v>
      </c>
      <c r="C171" s="2940">
        <v>54.91</v>
      </c>
      <c r="D171" s="2947" t="s">
        <v>48</v>
      </c>
      <c r="E171" s="1631">
        <f t="shared" ca="1" si="6"/>
        <v>10281</v>
      </c>
      <c r="F171" s="1631">
        <f t="shared" ca="1" si="5"/>
        <v>56.45</v>
      </c>
    </row>
    <row r="172" spans="1:6">
      <c r="A172" s="3364"/>
      <c r="B172" s="2941" t="s">
        <v>3121</v>
      </c>
      <c r="C172" s="2940">
        <v>18.3</v>
      </c>
      <c r="D172" s="2947" t="s">
        <v>48</v>
      </c>
      <c r="E172" s="1631">
        <f t="shared" ca="1" si="6"/>
        <v>10281</v>
      </c>
      <c r="F172" s="1631">
        <f t="shared" ca="1" si="5"/>
        <v>18.809999999999999</v>
      </c>
    </row>
    <row r="173" spans="1:6">
      <c r="A173" s="3364"/>
      <c r="B173" s="2941" t="s">
        <v>3122</v>
      </c>
      <c r="C173" s="2940">
        <v>18.3</v>
      </c>
      <c r="D173" s="2947" t="s">
        <v>48</v>
      </c>
      <c r="E173" s="1631">
        <f t="shared" ca="1" si="6"/>
        <v>10281</v>
      </c>
      <c r="F173" s="1631">
        <f t="shared" ca="1" si="5"/>
        <v>18.809999999999999</v>
      </c>
    </row>
    <row r="174" spans="1:6">
      <c r="A174" s="3364"/>
      <c r="B174" s="2941" t="s">
        <v>3123</v>
      </c>
      <c r="C174" s="2940">
        <v>18.3</v>
      </c>
      <c r="D174" s="2947" t="s">
        <v>48</v>
      </c>
      <c r="E174" s="1631">
        <f t="shared" ca="1" si="6"/>
        <v>10281</v>
      </c>
      <c r="F174" s="1631">
        <f t="shared" ca="1" si="5"/>
        <v>18.809999999999999</v>
      </c>
    </row>
    <row r="175" spans="1:6">
      <c r="A175" s="3364"/>
      <c r="B175" s="2941" t="s">
        <v>3124</v>
      </c>
      <c r="C175" s="2940">
        <v>179.22</v>
      </c>
      <c r="D175" s="2947" t="s">
        <v>48</v>
      </c>
      <c r="E175" s="1631">
        <f t="shared" ca="1" si="6"/>
        <v>10281</v>
      </c>
      <c r="F175" s="1631">
        <f t="shared" ca="1" si="5"/>
        <v>184.26</v>
      </c>
    </row>
    <row r="176" spans="1:6">
      <c r="A176" s="3364"/>
      <c r="B176" s="2941" t="s">
        <v>3125</v>
      </c>
      <c r="C176" s="2940">
        <v>159.38999999999999</v>
      </c>
      <c r="D176" s="2947" t="s">
        <v>48</v>
      </c>
      <c r="E176" s="1631">
        <f t="shared" ca="1" si="6"/>
        <v>10281</v>
      </c>
      <c r="F176" s="1631">
        <f t="shared" ca="1" si="5"/>
        <v>163.87</v>
      </c>
    </row>
    <row r="177" spans="1:6">
      <c r="A177" s="3362" t="s">
        <v>40</v>
      </c>
      <c r="B177" s="3362"/>
      <c r="C177" s="3028">
        <f>SUM(C125:C176)</f>
        <v>2105.42</v>
      </c>
      <c r="D177" s="2948" t="s">
        <v>48</v>
      </c>
      <c r="F177" s="1631">
        <f ca="1">SUM(F125:F176)</f>
        <v>2164.46</v>
      </c>
    </row>
    <row r="178" spans="1:6">
      <c r="A178" s="3363" t="s">
        <v>3133</v>
      </c>
      <c r="B178" s="3363"/>
      <c r="C178" s="3029">
        <f>C177+C124</f>
        <v>2378.6</v>
      </c>
      <c r="D178" s="2942" t="s">
        <v>3451</v>
      </c>
      <c r="F178" s="1631">
        <f ca="1">F124+F177</f>
        <v>2822.46</v>
      </c>
    </row>
    <row r="179" spans="1:6">
      <c r="A179" s="3356" t="s">
        <v>3452</v>
      </c>
      <c r="B179" s="3356"/>
      <c r="C179" s="3356"/>
      <c r="D179" s="3356"/>
    </row>
    <row r="180" spans="1:6">
      <c r="A180" s="3031" t="s">
        <v>3071</v>
      </c>
      <c r="B180" s="3031" t="s">
        <v>3072</v>
      </c>
      <c r="C180" s="3031" t="s">
        <v>3073</v>
      </c>
      <c r="D180" s="3031" t="s">
        <v>1375</v>
      </c>
    </row>
    <row r="181" spans="1:6">
      <c r="A181" s="2938" t="s">
        <v>3453</v>
      </c>
      <c r="B181" s="2939">
        <v>101</v>
      </c>
      <c r="C181" s="2940">
        <v>25.95</v>
      </c>
      <c r="D181" s="2944" t="s">
        <v>3454</v>
      </c>
      <c r="E181" s="1631">
        <f ca="1">'结果表（商业）'!I118</f>
        <v>24066</v>
      </c>
      <c r="F181" s="1631">
        <f ca="1">ROUND(E181*C181/10000,0)</f>
        <v>62</v>
      </c>
    </row>
    <row r="182" spans="1:6">
      <c r="A182" s="2938" t="s">
        <v>3453</v>
      </c>
      <c r="B182" s="2939">
        <v>102</v>
      </c>
      <c r="C182" s="2940">
        <v>41.24</v>
      </c>
      <c r="D182" s="2944" t="s">
        <v>3454</v>
      </c>
      <c r="E182" s="1631">
        <f ca="1">E181</f>
        <v>24066</v>
      </c>
      <c r="F182" s="1631">
        <f t="shared" ref="F182:F204" ca="1" si="7">ROUND(E182*C182/10000,0)</f>
        <v>99</v>
      </c>
    </row>
    <row r="183" spans="1:6">
      <c r="A183" s="2938" t="s">
        <v>3453</v>
      </c>
      <c r="B183" s="2938">
        <v>111</v>
      </c>
      <c r="C183" s="2940">
        <v>41.18</v>
      </c>
      <c r="D183" s="2944" t="s">
        <v>3138</v>
      </c>
      <c r="E183" s="1631">
        <f t="shared" ref="E183:E187" ca="1" si="8">E182</f>
        <v>24066</v>
      </c>
      <c r="F183" s="1631">
        <f t="shared" ca="1" si="7"/>
        <v>99</v>
      </c>
    </row>
    <row r="184" spans="1:6">
      <c r="A184" s="2938" t="s">
        <v>3453</v>
      </c>
      <c r="B184" s="2938">
        <v>112</v>
      </c>
      <c r="C184" s="2940">
        <v>40.869999999999997</v>
      </c>
      <c r="D184" s="2944" t="s">
        <v>3138</v>
      </c>
      <c r="E184" s="1631">
        <f t="shared" ca="1" si="8"/>
        <v>24066</v>
      </c>
      <c r="F184" s="1631">
        <f t="shared" ca="1" si="7"/>
        <v>98</v>
      </c>
    </row>
    <row r="185" spans="1:6">
      <c r="A185" s="2938" t="s">
        <v>3453</v>
      </c>
      <c r="B185" s="2938">
        <v>113</v>
      </c>
      <c r="C185" s="2940">
        <v>40.869999999999997</v>
      </c>
      <c r="D185" s="2944" t="s">
        <v>3138</v>
      </c>
      <c r="E185" s="1631">
        <f t="shared" ca="1" si="8"/>
        <v>24066</v>
      </c>
      <c r="F185" s="1631">
        <f t="shared" ca="1" si="7"/>
        <v>98</v>
      </c>
    </row>
    <row r="186" spans="1:6">
      <c r="A186" s="2938" t="s">
        <v>3453</v>
      </c>
      <c r="B186" s="2938">
        <v>114</v>
      </c>
      <c r="C186" s="2940">
        <v>41.18</v>
      </c>
      <c r="D186" s="2944" t="s">
        <v>3454</v>
      </c>
      <c r="E186" s="1631">
        <f t="shared" ca="1" si="8"/>
        <v>24066</v>
      </c>
      <c r="F186" s="1631">
        <f t="shared" ca="1" si="7"/>
        <v>99</v>
      </c>
    </row>
    <row r="187" spans="1:6">
      <c r="A187" s="2938" t="s">
        <v>3453</v>
      </c>
      <c r="B187" s="2938">
        <v>115</v>
      </c>
      <c r="C187" s="2940">
        <v>25.95</v>
      </c>
      <c r="D187" s="2944" t="s">
        <v>3454</v>
      </c>
      <c r="E187" s="1631">
        <f t="shared" ca="1" si="8"/>
        <v>24066</v>
      </c>
      <c r="F187" s="1631">
        <f t="shared" ca="1" si="7"/>
        <v>62</v>
      </c>
    </row>
    <row r="188" spans="1:6">
      <c r="A188" s="3357" t="s">
        <v>40</v>
      </c>
      <c r="B188" s="3358"/>
      <c r="C188" s="3030">
        <f>SUM(C181:C187)</f>
        <v>257.24</v>
      </c>
      <c r="D188" s="3030" t="s">
        <v>3455</v>
      </c>
      <c r="F188" s="1631">
        <f ca="1">SUM(F181:F187)</f>
        <v>617</v>
      </c>
    </row>
    <row r="189" spans="1:6">
      <c r="A189" s="2938" t="s">
        <v>3453</v>
      </c>
      <c r="B189" s="2938">
        <v>103</v>
      </c>
      <c r="C189" s="2940">
        <v>84.2</v>
      </c>
      <c r="D189" s="2944" t="s">
        <v>27</v>
      </c>
      <c r="E189" s="1631">
        <f ca="1">'结果表（办公）'!I118</f>
        <v>43927</v>
      </c>
      <c r="F189" s="1631">
        <f t="shared" ca="1" si="7"/>
        <v>370</v>
      </c>
    </row>
    <row r="190" spans="1:6">
      <c r="A190" s="2938" t="s">
        <v>3453</v>
      </c>
      <c r="B190" s="2938">
        <v>104</v>
      </c>
      <c r="C190" s="2940">
        <v>46.99</v>
      </c>
      <c r="D190" s="2944" t="s">
        <v>27</v>
      </c>
      <c r="E190" s="1631">
        <f ca="1">E189</f>
        <v>43927</v>
      </c>
      <c r="F190" s="1631">
        <f t="shared" ca="1" si="7"/>
        <v>206</v>
      </c>
    </row>
    <row r="191" spans="1:6">
      <c r="A191" s="2938" t="s">
        <v>3453</v>
      </c>
      <c r="B191" s="2938">
        <v>105</v>
      </c>
      <c r="C191" s="2940">
        <v>46.99</v>
      </c>
      <c r="D191" s="2944" t="s">
        <v>27</v>
      </c>
      <c r="E191" s="1631">
        <f t="shared" ref="E191:E204" ca="1" si="9">E190</f>
        <v>43927</v>
      </c>
      <c r="F191" s="1631">
        <f t="shared" ca="1" si="7"/>
        <v>206</v>
      </c>
    </row>
    <row r="192" spans="1:6">
      <c r="A192" s="2938" t="s">
        <v>3453</v>
      </c>
      <c r="B192" s="2938">
        <v>106</v>
      </c>
      <c r="C192" s="2940">
        <v>47.07</v>
      </c>
      <c r="D192" s="2944" t="s">
        <v>27</v>
      </c>
      <c r="E192" s="1631">
        <f t="shared" ca="1" si="9"/>
        <v>43927</v>
      </c>
      <c r="F192" s="1631">
        <f t="shared" ca="1" si="7"/>
        <v>207</v>
      </c>
    </row>
    <row r="193" spans="1:6">
      <c r="A193" s="2938" t="s">
        <v>3453</v>
      </c>
      <c r="B193" s="2938">
        <v>107</v>
      </c>
      <c r="C193" s="2940">
        <v>59.02</v>
      </c>
      <c r="D193" s="2944" t="s">
        <v>27</v>
      </c>
      <c r="E193" s="1631">
        <f t="shared" ca="1" si="9"/>
        <v>43927</v>
      </c>
      <c r="F193" s="1631">
        <f t="shared" ca="1" si="7"/>
        <v>259</v>
      </c>
    </row>
    <row r="194" spans="1:6">
      <c r="A194" s="2938" t="s">
        <v>3453</v>
      </c>
      <c r="B194" s="2938">
        <v>108</v>
      </c>
      <c r="C194" s="2940">
        <v>58.94</v>
      </c>
      <c r="D194" s="2944" t="s">
        <v>27</v>
      </c>
      <c r="E194" s="1631">
        <f t="shared" ca="1" si="9"/>
        <v>43927</v>
      </c>
      <c r="F194" s="1631">
        <f t="shared" ca="1" si="7"/>
        <v>259</v>
      </c>
    </row>
    <row r="195" spans="1:6">
      <c r="A195" s="2938" t="s">
        <v>3453</v>
      </c>
      <c r="B195" s="2938">
        <v>109</v>
      </c>
      <c r="C195" s="2940">
        <v>58.94</v>
      </c>
      <c r="D195" s="2944" t="s">
        <v>27</v>
      </c>
      <c r="E195" s="1631">
        <f t="shared" ca="1" si="9"/>
        <v>43927</v>
      </c>
      <c r="F195" s="1631">
        <f t="shared" ca="1" si="7"/>
        <v>259</v>
      </c>
    </row>
    <row r="196" spans="1:6">
      <c r="A196" s="2938" t="s">
        <v>3453</v>
      </c>
      <c r="B196" s="2938">
        <v>110</v>
      </c>
      <c r="C196" s="2940">
        <v>92.53</v>
      </c>
      <c r="D196" s="2944" t="s">
        <v>27</v>
      </c>
      <c r="E196" s="1631">
        <f t="shared" ca="1" si="9"/>
        <v>43927</v>
      </c>
      <c r="F196" s="1631">
        <f t="shared" ca="1" si="7"/>
        <v>406</v>
      </c>
    </row>
    <row r="197" spans="1:6">
      <c r="A197" s="2938" t="s">
        <v>3453</v>
      </c>
      <c r="B197" s="2938">
        <v>212</v>
      </c>
      <c r="C197" s="2940">
        <v>91.58</v>
      </c>
      <c r="D197" s="2938" t="s">
        <v>27</v>
      </c>
      <c r="E197" s="1631">
        <f t="shared" ca="1" si="9"/>
        <v>43927</v>
      </c>
      <c r="F197" s="1631">
        <f t="shared" ca="1" si="7"/>
        <v>402</v>
      </c>
    </row>
    <row r="198" spans="1:6">
      <c r="A198" s="2938" t="s">
        <v>3453</v>
      </c>
      <c r="B198" s="2938">
        <v>214</v>
      </c>
      <c r="C198" s="2940">
        <v>52.79</v>
      </c>
      <c r="D198" s="2938" t="s">
        <v>27</v>
      </c>
      <c r="E198" s="1631">
        <f t="shared" ca="1" si="9"/>
        <v>43927</v>
      </c>
      <c r="F198" s="1631">
        <f t="shared" ca="1" si="7"/>
        <v>232</v>
      </c>
    </row>
    <row r="199" spans="1:6">
      <c r="A199" s="2938" t="s">
        <v>3453</v>
      </c>
      <c r="B199" s="2938">
        <v>312</v>
      </c>
      <c r="C199" s="2940">
        <v>91.58</v>
      </c>
      <c r="D199" s="2938" t="s">
        <v>27</v>
      </c>
      <c r="E199" s="1631">
        <f t="shared" ca="1" si="9"/>
        <v>43927</v>
      </c>
      <c r="F199" s="1631">
        <f t="shared" ca="1" si="7"/>
        <v>402</v>
      </c>
    </row>
    <row r="200" spans="1:6">
      <c r="A200" s="2938" t="s">
        <v>3453</v>
      </c>
      <c r="B200" s="2938">
        <v>503</v>
      </c>
      <c r="C200" s="2940">
        <v>84.01</v>
      </c>
      <c r="D200" s="2938" t="s">
        <v>27</v>
      </c>
      <c r="E200" s="1631">
        <f t="shared" ca="1" si="9"/>
        <v>43927</v>
      </c>
      <c r="F200" s="1631">
        <f t="shared" ca="1" si="7"/>
        <v>369</v>
      </c>
    </row>
    <row r="201" spans="1:6">
      <c r="A201" s="2938" t="s">
        <v>3453</v>
      </c>
      <c r="B201" s="2938">
        <v>510</v>
      </c>
      <c r="C201" s="2940">
        <v>58.57</v>
      </c>
      <c r="D201" s="2938" t="s">
        <v>27</v>
      </c>
      <c r="E201" s="1631">
        <f t="shared" ca="1" si="9"/>
        <v>43927</v>
      </c>
      <c r="F201" s="1631">
        <f t="shared" ca="1" si="7"/>
        <v>257</v>
      </c>
    </row>
    <row r="202" spans="1:6">
      <c r="A202" s="2938" t="s">
        <v>3453</v>
      </c>
      <c r="B202" s="2938">
        <v>1206</v>
      </c>
      <c r="C202" s="2940">
        <v>46.81</v>
      </c>
      <c r="D202" s="2938" t="s">
        <v>27</v>
      </c>
      <c r="E202" s="1631">
        <f t="shared" ca="1" si="9"/>
        <v>43927</v>
      </c>
      <c r="F202" s="1631">
        <f t="shared" ca="1" si="7"/>
        <v>206</v>
      </c>
    </row>
    <row r="203" spans="1:6">
      <c r="A203" s="2938" t="s">
        <v>3453</v>
      </c>
      <c r="B203" s="2938">
        <v>1405</v>
      </c>
      <c r="C203" s="2940">
        <v>46.81</v>
      </c>
      <c r="D203" s="2938" t="s">
        <v>27</v>
      </c>
      <c r="E203" s="1631">
        <f t="shared" ca="1" si="9"/>
        <v>43927</v>
      </c>
      <c r="F203" s="1631">
        <f t="shared" ca="1" si="7"/>
        <v>206</v>
      </c>
    </row>
    <row r="204" spans="1:6">
      <c r="A204" s="2938" t="s">
        <v>3453</v>
      </c>
      <c r="B204" s="2938">
        <v>1417</v>
      </c>
      <c r="C204" s="2940">
        <v>33.619999999999997</v>
      </c>
      <c r="D204" s="2938" t="s">
        <v>27</v>
      </c>
      <c r="E204" s="1631">
        <f t="shared" ca="1" si="9"/>
        <v>43927</v>
      </c>
      <c r="F204" s="1631">
        <f t="shared" ca="1" si="7"/>
        <v>148</v>
      </c>
    </row>
    <row r="205" spans="1:6">
      <c r="A205" s="3357" t="s">
        <v>40</v>
      </c>
      <c r="B205" s="3358"/>
      <c r="C205" s="3028">
        <f>SUM(C189:C204)</f>
        <v>1000.4499999999999</v>
      </c>
      <c r="D205" s="3028" t="s">
        <v>27</v>
      </c>
      <c r="F205" s="1631">
        <f ca="1">SUM(F189:F204)</f>
        <v>4394</v>
      </c>
    </row>
    <row r="206" spans="1:6">
      <c r="A206" s="3357" t="s">
        <v>3456</v>
      </c>
      <c r="B206" s="3358"/>
      <c r="C206" s="3028">
        <f>C188+C205</f>
        <v>1257.69</v>
      </c>
      <c r="D206" s="3028" t="s">
        <v>3134</v>
      </c>
      <c r="F206" s="1631">
        <f ca="1">F188+F205</f>
        <v>5011</v>
      </c>
    </row>
    <row r="207" spans="1:6">
      <c r="A207" s="2938" t="s">
        <v>3457</v>
      </c>
      <c r="B207" s="2938">
        <v>102</v>
      </c>
      <c r="C207" s="2940">
        <v>191.5</v>
      </c>
      <c r="D207" s="2938" t="s">
        <v>27</v>
      </c>
      <c r="E207" s="1631">
        <f ca="1">E204</f>
        <v>43927</v>
      </c>
      <c r="F207" s="1631">
        <f ca="1">ROUND(E207*C207/10000,0)</f>
        <v>841</v>
      </c>
    </row>
    <row r="208" spans="1:6">
      <c r="A208" s="2938" t="s">
        <v>3457</v>
      </c>
      <c r="B208" s="2938">
        <v>103</v>
      </c>
      <c r="C208" s="2940">
        <v>116.55</v>
      </c>
      <c r="D208" s="2938" t="s">
        <v>27</v>
      </c>
      <c r="E208" s="1631">
        <f ca="1">E207</f>
        <v>43927</v>
      </c>
      <c r="F208" s="1631">
        <f t="shared" ref="F208:F247" ca="1" si="10">ROUND(E208*C208/10000,0)</f>
        <v>512</v>
      </c>
    </row>
    <row r="209" spans="1:6">
      <c r="A209" s="2938" t="s">
        <v>3457</v>
      </c>
      <c r="B209" s="2938">
        <v>104</v>
      </c>
      <c r="C209" s="2940">
        <v>117.12</v>
      </c>
      <c r="D209" s="2938" t="s">
        <v>27</v>
      </c>
      <c r="E209" s="1631">
        <f t="shared" ref="E209:E247" ca="1" si="11">E208</f>
        <v>43927</v>
      </c>
      <c r="F209" s="1631">
        <f t="shared" ca="1" si="10"/>
        <v>514</v>
      </c>
    </row>
    <row r="210" spans="1:6">
      <c r="A210" s="2938" t="s">
        <v>3457</v>
      </c>
      <c r="B210" s="2938">
        <v>105</v>
      </c>
      <c r="C210" s="2940">
        <v>117.12</v>
      </c>
      <c r="D210" s="2938" t="s">
        <v>27</v>
      </c>
      <c r="E210" s="1631">
        <f t="shared" ca="1" si="11"/>
        <v>43927</v>
      </c>
      <c r="F210" s="1631">
        <f t="shared" ca="1" si="10"/>
        <v>514</v>
      </c>
    </row>
    <row r="211" spans="1:6">
      <c r="A211" s="2938" t="s">
        <v>3457</v>
      </c>
      <c r="B211" s="2938">
        <v>106</v>
      </c>
      <c r="C211" s="2940">
        <v>117.12</v>
      </c>
      <c r="D211" s="2938" t="s">
        <v>27</v>
      </c>
      <c r="E211" s="1631">
        <f t="shared" ca="1" si="11"/>
        <v>43927</v>
      </c>
      <c r="F211" s="1631">
        <f t="shared" ca="1" si="10"/>
        <v>514</v>
      </c>
    </row>
    <row r="212" spans="1:6">
      <c r="A212" s="2938" t="s">
        <v>3457</v>
      </c>
      <c r="B212" s="2938">
        <v>107</v>
      </c>
      <c r="C212" s="2940">
        <v>128.72999999999999</v>
      </c>
      <c r="D212" s="2938" t="s">
        <v>27</v>
      </c>
      <c r="E212" s="1631">
        <f t="shared" ca="1" si="11"/>
        <v>43927</v>
      </c>
      <c r="F212" s="1631">
        <f t="shared" ca="1" si="10"/>
        <v>565</v>
      </c>
    </row>
    <row r="213" spans="1:6">
      <c r="A213" s="2938" t="s">
        <v>3457</v>
      </c>
      <c r="B213" s="2938">
        <v>201</v>
      </c>
      <c r="C213" s="2940">
        <v>46.13</v>
      </c>
      <c r="D213" s="2938" t="s">
        <v>27</v>
      </c>
      <c r="E213" s="1631">
        <f t="shared" ca="1" si="11"/>
        <v>43927</v>
      </c>
      <c r="F213" s="1631">
        <f t="shared" ca="1" si="10"/>
        <v>203</v>
      </c>
    </row>
    <row r="214" spans="1:6">
      <c r="A214" s="2938" t="s">
        <v>3457</v>
      </c>
      <c r="B214" s="2938">
        <v>202</v>
      </c>
      <c r="C214" s="2940">
        <v>57.78</v>
      </c>
      <c r="D214" s="2938" t="s">
        <v>27</v>
      </c>
      <c r="E214" s="1631">
        <f t="shared" ca="1" si="11"/>
        <v>43927</v>
      </c>
      <c r="F214" s="1631">
        <f t="shared" ca="1" si="10"/>
        <v>254</v>
      </c>
    </row>
    <row r="215" spans="1:6">
      <c r="A215" s="2938" t="s">
        <v>3457</v>
      </c>
      <c r="B215" s="2938">
        <v>203</v>
      </c>
      <c r="C215" s="2940">
        <v>57.78</v>
      </c>
      <c r="D215" s="2938" t="s">
        <v>27</v>
      </c>
      <c r="E215" s="1631">
        <f t="shared" ca="1" si="11"/>
        <v>43927</v>
      </c>
      <c r="F215" s="1631">
        <f t="shared" ca="1" si="10"/>
        <v>254</v>
      </c>
    </row>
    <row r="216" spans="1:6">
      <c r="A216" s="2938" t="s">
        <v>3457</v>
      </c>
      <c r="B216" s="2938">
        <v>204</v>
      </c>
      <c r="C216" s="2940">
        <v>46.12</v>
      </c>
      <c r="D216" s="2938" t="s">
        <v>27</v>
      </c>
      <c r="E216" s="1631">
        <f t="shared" ca="1" si="11"/>
        <v>43927</v>
      </c>
      <c r="F216" s="1631">
        <f t="shared" ca="1" si="10"/>
        <v>203</v>
      </c>
    </row>
    <row r="217" spans="1:6">
      <c r="A217" s="2938" t="s">
        <v>3457</v>
      </c>
      <c r="B217" s="2938">
        <v>301</v>
      </c>
      <c r="C217" s="2940">
        <v>92.92</v>
      </c>
      <c r="D217" s="2938" t="s">
        <v>27</v>
      </c>
      <c r="E217" s="1631">
        <f t="shared" ca="1" si="11"/>
        <v>43927</v>
      </c>
      <c r="F217" s="1631">
        <f t="shared" ca="1" si="10"/>
        <v>408</v>
      </c>
    </row>
    <row r="218" spans="1:6">
      <c r="A218" s="2938" t="s">
        <v>3457</v>
      </c>
      <c r="B218" s="2938">
        <v>304</v>
      </c>
      <c r="C218" s="2940">
        <v>116.34</v>
      </c>
      <c r="D218" s="2938" t="s">
        <v>27</v>
      </c>
      <c r="E218" s="1631">
        <f t="shared" ca="1" si="11"/>
        <v>43927</v>
      </c>
      <c r="F218" s="1631">
        <f t="shared" ca="1" si="10"/>
        <v>511</v>
      </c>
    </row>
    <row r="219" spans="1:6">
      <c r="A219" s="2938" t="s">
        <v>3457</v>
      </c>
      <c r="B219" s="2938">
        <v>305</v>
      </c>
      <c r="C219" s="2940">
        <v>116.34</v>
      </c>
      <c r="D219" s="2938" t="s">
        <v>27</v>
      </c>
      <c r="E219" s="1631">
        <f t="shared" ca="1" si="11"/>
        <v>43927</v>
      </c>
      <c r="F219" s="1631">
        <f t="shared" ca="1" si="10"/>
        <v>511</v>
      </c>
    </row>
    <row r="220" spans="1:6">
      <c r="A220" s="2938" t="s">
        <v>3457</v>
      </c>
      <c r="B220" s="2938">
        <v>306</v>
      </c>
      <c r="C220" s="2940">
        <v>116.34</v>
      </c>
      <c r="D220" s="2938" t="s">
        <v>27</v>
      </c>
      <c r="E220" s="1631">
        <f t="shared" ca="1" si="11"/>
        <v>43927</v>
      </c>
      <c r="F220" s="1631">
        <f t="shared" ca="1" si="10"/>
        <v>511</v>
      </c>
    </row>
    <row r="221" spans="1:6">
      <c r="A221" s="2938" t="s">
        <v>3457</v>
      </c>
      <c r="B221" s="2938">
        <v>307</v>
      </c>
      <c r="C221" s="2940">
        <v>116.34</v>
      </c>
      <c r="D221" s="2938" t="s">
        <v>27</v>
      </c>
      <c r="E221" s="1631">
        <f t="shared" ca="1" si="11"/>
        <v>43927</v>
      </c>
      <c r="F221" s="1631">
        <f t="shared" ca="1" si="10"/>
        <v>511</v>
      </c>
    </row>
    <row r="222" spans="1:6">
      <c r="A222" s="2938" t="s">
        <v>3457</v>
      </c>
      <c r="B222" s="2938">
        <v>308</v>
      </c>
      <c r="C222" s="2940">
        <v>116.34</v>
      </c>
      <c r="D222" s="2938" t="s">
        <v>27</v>
      </c>
      <c r="E222" s="1631">
        <f t="shared" ca="1" si="11"/>
        <v>43927</v>
      </c>
      <c r="F222" s="1631">
        <f t="shared" ca="1" si="10"/>
        <v>511</v>
      </c>
    </row>
    <row r="223" spans="1:6">
      <c r="A223" s="2938" t="s">
        <v>3457</v>
      </c>
      <c r="B223" s="2938">
        <v>311</v>
      </c>
      <c r="C223" s="2940">
        <v>93.24</v>
      </c>
      <c r="D223" s="2938" t="s">
        <v>27</v>
      </c>
      <c r="E223" s="1631">
        <f t="shared" ca="1" si="11"/>
        <v>43927</v>
      </c>
      <c r="F223" s="1631">
        <f t="shared" ca="1" si="10"/>
        <v>410</v>
      </c>
    </row>
    <row r="224" spans="1:6">
      <c r="A224" s="2938" t="s">
        <v>3457</v>
      </c>
      <c r="B224" s="2938">
        <v>312</v>
      </c>
      <c r="C224" s="2940">
        <v>93.24</v>
      </c>
      <c r="D224" s="2938" t="s">
        <v>27</v>
      </c>
      <c r="E224" s="1631">
        <f t="shared" ca="1" si="11"/>
        <v>43927</v>
      </c>
      <c r="F224" s="1631">
        <f t="shared" ca="1" si="10"/>
        <v>410</v>
      </c>
    </row>
    <row r="225" spans="1:6">
      <c r="A225" s="2938" t="s">
        <v>3457</v>
      </c>
      <c r="B225" s="2938">
        <v>501</v>
      </c>
      <c r="C225" s="2940">
        <v>94.12</v>
      </c>
      <c r="D225" s="2938" t="s">
        <v>27</v>
      </c>
      <c r="E225" s="1631">
        <f t="shared" ca="1" si="11"/>
        <v>43927</v>
      </c>
      <c r="F225" s="1631">
        <f t="shared" ca="1" si="10"/>
        <v>413</v>
      </c>
    </row>
    <row r="226" spans="1:6">
      <c r="A226" s="2938" t="s">
        <v>3457</v>
      </c>
      <c r="B226" s="2938">
        <v>503</v>
      </c>
      <c r="C226" s="2940">
        <v>117.07</v>
      </c>
      <c r="D226" s="2938" t="s">
        <v>27</v>
      </c>
      <c r="E226" s="1631">
        <f t="shared" ca="1" si="11"/>
        <v>43927</v>
      </c>
      <c r="F226" s="1631">
        <f t="shared" ca="1" si="10"/>
        <v>514</v>
      </c>
    </row>
    <row r="227" spans="1:6">
      <c r="A227" s="2938" t="s">
        <v>3457</v>
      </c>
      <c r="B227" s="2938">
        <v>505</v>
      </c>
      <c r="C227" s="2940">
        <v>117.18</v>
      </c>
      <c r="D227" s="2938" t="s">
        <v>27</v>
      </c>
      <c r="E227" s="1631">
        <f t="shared" ca="1" si="11"/>
        <v>43927</v>
      </c>
      <c r="F227" s="1631">
        <f t="shared" ca="1" si="10"/>
        <v>515</v>
      </c>
    </row>
    <row r="228" spans="1:6">
      <c r="A228" s="2938" t="s">
        <v>3457</v>
      </c>
      <c r="B228" s="2938">
        <v>507</v>
      </c>
      <c r="C228" s="2940">
        <v>117.18</v>
      </c>
      <c r="D228" s="2938" t="s">
        <v>27</v>
      </c>
      <c r="E228" s="1631">
        <f t="shared" ca="1" si="11"/>
        <v>43927</v>
      </c>
      <c r="F228" s="1631">
        <f t="shared" ca="1" si="10"/>
        <v>515</v>
      </c>
    </row>
    <row r="229" spans="1:6">
      <c r="A229" s="2938" t="s">
        <v>3457</v>
      </c>
      <c r="B229" s="2938">
        <v>508</v>
      </c>
      <c r="C229" s="2940">
        <v>117.18</v>
      </c>
      <c r="D229" s="2938" t="s">
        <v>27</v>
      </c>
      <c r="E229" s="1631">
        <f t="shared" ca="1" si="11"/>
        <v>43927</v>
      </c>
      <c r="F229" s="1631">
        <f t="shared" ca="1" si="10"/>
        <v>515</v>
      </c>
    </row>
    <row r="230" spans="1:6">
      <c r="A230" s="2938" t="s">
        <v>3457</v>
      </c>
      <c r="B230" s="2938">
        <v>511</v>
      </c>
      <c r="C230" s="2940">
        <v>94.04</v>
      </c>
      <c r="D230" s="2938" t="s">
        <v>27</v>
      </c>
      <c r="E230" s="1631">
        <f t="shared" ca="1" si="11"/>
        <v>43927</v>
      </c>
      <c r="F230" s="1631">
        <f t="shared" ca="1" si="10"/>
        <v>413</v>
      </c>
    </row>
    <row r="231" spans="1:6">
      <c r="A231" s="2938" t="s">
        <v>3457</v>
      </c>
      <c r="B231" s="2938">
        <v>512</v>
      </c>
      <c r="C231" s="2940">
        <v>94.02</v>
      </c>
      <c r="D231" s="2938" t="s">
        <v>27</v>
      </c>
      <c r="E231" s="1631">
        <f t="shared" ca="1" si="11"/>
        <v>43927</v>
      </c>
      <c r="F231" s="1631">
        <f t="shared" ca="1" si="10"/>
        <v>413</v>
      </c>
    </row>
    <row r="232" spans="1:6">
      <c r="A232" s="2938" t="s">
        <v>3457</v>
      </c>
      <c r="B232" s="2938">
        <v>701</v>
      </c>
      <c r="C232" s="2940">
        <v>94.12</v>
      </c>
      <c r="D232" s="2938" t="s">
        <v>27</v>
      </c>
      <c r="E232" s="1631">
        <f t="shared" ca="1" si="11"/>
        <v>43927</v>
      </c>
      <c r="F232" s="1631">
        <f t="shared" ca="1" si="10"/>
        <v>413</v>
      </c>
    </row>
    <row r="233" spans="1:6">
      <c r="A233" s="2938" t="s">
        <v>3457</v>
      </c>
      <c r="B233" s="2938">
        <v>706</v>
      </c>
      <c r="C233" s="2940">
        <v>117.18</v>
      </c>
      <c r="D233" s="2938" t="s">
        <v>27</v>
      </c>
      <c r="E233" s="1631">
        <f t="shared" ca="1" si="11"/>
        <v>43927</v>
      </c>
      <c r="F233" s="1631">
        <f t="shared" ca="1" si="10"/>
        <v>515</v>
      </c>
    </row>
    <row r="234" spans="1:6">
      <c r="A234" s="2938" t="s">
        <v>3457</v>
      </c>
      <c r="B234" s="2938">
        <v>707</v>
      </c>
      <c r="C234" s="2940">
        <v>117.18</v>
      </c>
      <c r="D234" s="2938" t="s">
        <v>27</v>
      </c>
      <c r="E234" s="1631">
        <f t="shared" ca="1" si="11"/>
        <v>43927</v>
      </c>
      <c r="F234" s="1631">
        <f t="shared" ca="1" si="10"/>
        <v>515</v>
      </c>
    </row>
    <row r="235" spans="1:6">
      <c r="A235" s="2938" t="s">
        <v>3457</v>
      </c>
      <c r="B235" s="2938">
        <v>708</v>
      </c>
      <c r="C235" s="2940">
        <v>117.18</v>
      </c>
      <c r="D235" s="2938" t="s">
        <v>27</v>
      </c>
      <c r="E235" s="1631">
        <f t="shared" ca="1" si="11"/>
        <v>43927</v>
      </c>
      <c r="F235" s="1631">
        <f t="shared" ca="1" si="10"/>
        <v>515</v>
      </c>
    </row>
    <row r="236" spans="1:6">
      <c r="A236" s="2938" t="s">
        <v>3457</v>
      </c>
      <c r="B236" s="2938">
        <v>711</v>
      </c>
      <c r="C236" s="2940">
        <v>94.04</v>
      </c>
      <c r="D236" s="2938" t="s">
        <v>27</v>
      </c>
      <c r="E236" s="1631">
        <f t="shared" ca="1" si="11"/>
        <v>43927</v>
      </c>
      <c r="F236" s="1631">
        <f t="shared" ca="1" si="10"/>
        <v>413</v>
      </c>
    </row>
    <row r="237" spans="1:6">
      <c r="A237" s="2938" t="s">
        <v>3457</v>
      </c>
      <c r="B237" s="2938">
        <v>902</v>
      </c>
      <c r="C237" s="2940">
        <v>190.76</v>
      </c>
      <c r="D237" s="2938" t="s">
        <v>27</v>
      </c>
      <c r="E237" s="1631">
        <f t="shared" ca="1" si="11"/>
        <v>43927</v>
      </c>
      <c r="F237" s="1631">
        <f t="shared" ca="1" si="10"/>
        <v>838</v>
      </c>
    </row>
    <row r="238" spans="1:6">
      <c r="A238" s="2938" t="s">
        <v>3457</v>
      </c>
      <c r="B238" s="2938">
        <v>908</v>
      </c>
      <c r="C238" s="2940">
        <v>117.18</v>
      </c>
      <c r="D238" s="2938" t="s">
        <v>27</v>
      </c>
      <c r="E238" s="1631">
        <f t="shared" ca="1" si="11"/>
        <v>43927</v>
      </c>
      <c r="F238" s="1631">
        <f t="shared" ca="1" si="10"/>
        <v>515</v>
      </c>
    </row>
    <row r="239" spans="1:6">
      <c r="A239" s="2938" t="s">
        <v>3457</v>
      </c>
      <c r="B239" s="2938">
        <v>910</v>
      </c>
      <c r="C239" s="2940">
        <v>94.12</v>
      </c>
      <c r="D239" s="2938" t="s">
        <v>27</v>
      </c>
      <c r="E239" s="1631">
        <f t="shared" ca="1" si="11"/>
        <v>43927</v>
      </c>
      <c r="F239" s="1631">
        <f t="shared" ca="1" si="10"/>
        <v>413</v>
      </c>
    </row>
    <row r="240" spans="1:6">
      <c r="A240" s="2938" t="s">
        <v>3457</v>
      </c>
      <c r="B240" s="2938">
        <v>911</v>
      </c>
      <c r="C240" s="2940">
        <v>94.04</v>
      </c>
      <c r="D240" s="2938" t="s">
        <v>27</v>
      </c>
      <c r="E240" s="1631">
        <f t="shared" ca="1" si="11"/>
        <v>43927</v>
      </c>
      <c r="F240" s="1631">
        <f t="shared" ca="1" si="10"/>
        <v>413</v>
      </c>
    </row>
    <row r="241" spans="1:6">
      <c r="A241" s="2938" t="s">
        <v>3457</v>
      </c>
      <c r="B241" s="2938">
        <v>912</v>
      </c>
      <c r="C241" s="2940">
        <v>94.02</v>
      </c>
      <c r="D241" s="2938" t="s">
        <v>27</v>
      </c>
      <c r="E241" s="1631">
        <f t="shared" ca="1" si="11"/>
        <v>43927</v>
      </c>
      <c r="F241" s="1631">
        <f t="shared" ca="1" si="10"/>
        <v>413</v>
      </c>
    </row>
    <row r="242" spans="1:6">
      <c r="A242" s="2938" t="s">
        <v>3457</v>
      </c>
      <c r="B242" s="2938">
        <v>1101</v>
      </c>
      <c r="C242" s="2940">
        <v>94.12</v>
      </c>
      <c r="D242" s="2938" t="s">
        <v>27</v>
      </c>
      <c r="E242" s="1631">
        <f t="shared" ca="1" si="11"/>
        <v>43927</v>
      </c>
      <c r="F242" s="1631">
        <f t="shared" ca="1" si="10"/>
        <v>413</v>
      </c>
    </row>
    <row r="243" spans="1:6">
      <c r="A243" s="2938" t="s">
        <v>3457</v>
      </c>
      <c r="B243" s="2938">
        <v>1301</v>
      </c>
      <c r="C243" s="2940">
        <v>94.12</v>
      </c>
      <c r="D243" s="2938" t="s">
        <v>27</v>
      </c>
      <c r="E243" s="1631">
        <f t="shared" ca="1" si="11"/>
        <v>43927</v>
      </c>
      <c r="F243" s="1631">
        <f t="shared" ca="1" si="10"/>
        <v>413</v>
      </c>
    </row>
    <row r="244" spans="1:6">
      <c r="A244" s="2938" t="s">
        <v>3457</v>
      </c>
      <c r="B244" s="2938">
        <v>1307</v>
      </c>
      <c r="C244" s="2940">
        <v>117.18</v>
      </c>
      <c r="D244" s="2938" t="s">
        <v>27</v>
      </c>
      <c r="E244" s="1631">
        <f t="shared" ca="1" si="11"/>
        <v>43927</v>
      </c>
      <c r="F244" s="1631">
        <f t="shared" ca="1" si="10"/>
        <v>515</v>
      </c>
    </row>
    <row r="245" spans="1:6">
      <c r="A245" s="2938" t="s">
        <v>3457</v>
      </c>
      <c r="B245" s="2938">
        <v>1308</v>
      </c>
      <c r="C245" s="2940">
        <v>117.18</v>
      </c>
      <c r="D245" s="2938" t="s">
        <v>27</v>
      </c>
      <c r="E245" s="1631">
        <f t="shared" ca="1" si="11"/>
        <v>43927</v>
      </c>
      <c r="F245" s="1631">
        <f t="shared" ca="1" si="10"/>
        <v>515</v>
      </c>
    </row>
    <row r="246" spans="1:6">
      <c r="A246" s="2938" t="s">
        <v>3457</v>
      </c>
      <c r="B246" s="2938">
        <v>1311</v>
      </c>
      <c r="C246" s="2940">
        <v>94.04</v>
      </c>
      <c r="D246" s="2938" t="s">
        <v>27</v>
      </c>
      <c r="E246" s="1631">
        <f t="shared" ca="1" si="11"/>
        <v>43927</v>
      </c>
      <c r="F246" s="1631">
        <f t="shared" ca="1" si="10"/>
        <v>413</v>
      </c>
    </row>
    <row r="247" spans="1:6">
      <c r="A247" s="2938" t="s">
        <v>3457</v>
      </c>
      <c r="B247" s="2938">
        <v>1312</v>
      </c>
      <c r="C247" s="2940">
        <v>94.02</v>
      </c>
      <c r="D247" s="2938" t="s">
        <v>27</v>
      </c>
      <c r="E247" s="1631">
        <f t="shared" ca="1" si="11"/>
        <v>43927</v>
      </c>
      <c r="F247" s="1631">
        <f t="shared" ca="1" si="10"/>
        <v>413</v>
      </c>
    </row>
    <row r="248" spans="1:6">
      <c r="A248" s="3357" t="s">
        <v>3133</v>
      </c>
      <c r="B248" s="3358"/>
      <c r="C248" s="3028">
        <f>SUM(C207:C247)</f>
        <v>4348.3199999999979</v>
      </c>
      <c r="D248" s="3028" t="s">
        <v>27</v>
      </c>
      <c r="F248" s="1631">
        <f ca="1">SUM(F207:F247)</f>
        <v>19100</v>
      </c>
    </row>
    <row r="249" spans="1:6">
      <c r="A249" s="2938" t="s">
        <v>3458</v>
      </c>
      <c r="B249" s="2938">
        <v>102</v>
      </c>
      <c r="C249" s="2940">
        <v>47.31</v>
      </c>
      <c r="D249" s="2944" t="s">
        <v>3455</v>
      </c>
      <c r="E249" s="1631">
        <f ca="1">'结果表（商业）'!I118</f>
        <v>24066</v>
      </c>
      <c r="F249" s="1631">
        <f ca="1">ROUND(E249*C249/10000,0)</f>
        <v>114</v>
      </c>
    </row>
    <row r="250" spans="1:6">
      <c r="A250" s="2938" t="s">
        <v>3458</v>
      </c>
      <c r="B250" s="2938">
        <v>103</v>
      </c>
      <c r="C250" s="2940">
        <v>30.08</v>
      </c>
      <c r="D250" s="2944" t="s">
        <v>3459</v>
      </c>
      <c r="E250" s="1631">
        <f ca="1">E249</f>
        <v>24066</v>
      </c>
      <c r="F250" s="1631">
        <f t="shared" ref="F250:F251" ca="1" si="12">ROUND(E250*C250/10000,0)</f>
        <v>72</v>
      </c>
    </row>
    <row r="251" spans="1:6">
      <c r="A251" s="2938" t="s">
        <v>3458</v>
      </c>
      <c r="B251" s="2938">
        <v>104</v>
      </c>
      <c r="C251" s="2940">
        <v>31.77</v>
      </c>
      <c r="D251" s="2944" t="s">
        <v>3455</v>
      </c>
      <c r="E251" s="1631">
        <f ca="1">E250</f>
        <v>24066</v>
      </c>
      <c r="F251" s="1631">
        <f t="shared" ca="1" si="12"/>
        <v>76</v>
      </c>
    </row>
    <row r="252" spans="1:6">
      <c r="A252" s="3357" t="s">
        <v>40</v>
      </c>
      <c r="B252" s="3358"/>
      <c r="C252" s="3028">
        <f>SUM(C249:C251)</f>
        <v>109.16</v>
      </c>
      <c r="D252" s="3028" t="s">
        <v>3455</v>
      </c>
      <c r="F252" s="1631">
        <f ca="1">SUM(F249:F251)</f>
        <v>262</v>
      </c>
    </row>
    <row r="253" spans="1:6">
      <c r="A253" s="2938" t="s">
        <v>3458</v>
      </c>
      <c r="B253" s="2938">
        <v>101</v>
      </c>
      <c r="C253" s="2940">
        <v>64.38</v>
      </c>
      <c r="D253" s="2938" t="s">
        <v>27</v>
      </c>
      <c r="E253" s="1631">
        <f ca="1">'结果表（办公）'!I118</f>
        <v>43927</v>
      </c>
      <c r="F253" s="1631">
        <f ca="1">ROUND(E253*C253/10000,0)</f>
        <v>283</v>
      </c>
    </row>
    <row r="254" spans="1:6">
      <c r="A254" s="2938" t="s">
        <v>3458</v>
      </c>
      <c r="B254" s="2938">
        <v>111</v>
      </c>
      <c r="C254" s="2940">
        <v>64.52</v>
      </c>
      <c r="D254" s="2944" t="s">
        <v>27</v>
      </c>
      <c r="E254" s="1631">
        <f ca="1">E253</f>
        <v>43927</v>
      </c>
      <c r="F254" s="1631">
        <f t="shared" ref="F254:F276" ca="1" si="13">ROUND(E254*C254/10000,0)</f>
        <v>283</v>
      </c>
    </row>
    <row r="255" spans="1:6">
      <c r="A255" s="2938" t="s">
        <v>3458</v>
      </c>
      <c r="B255" s="2938">
        <v>112</v>
      </c>
      <c r="C255" s="2940">
        <v>40.909999999999997</v>
      </c>
      <c r="D255" s="2938" t="s">
        <v>27</v>
      </c>
      <c r="E255" s="1631">
        <f t="shared" ref="E255:E276" ca="1" si="14">E254</f>
        <v>43927</v>
      </c>
      <c r="F255" s="1631">
        <f t="shared" ca="1" si="13"/>
        <v>180</v>
      </c>
    </row>
    <row r="256" spans="1:6">
      <c r="A256" s="2938" t="s">
        <v>3458</v>
      </c>
      <c r="B256" s="2938">
        <v>113</v>
      </c>
      <c r="C256" s="2940">
        <v>41.11</v>
      </c>
      <c r="D256" s="2938" t="s">
        <v>27</v>
      </c>
      <c r="E256" s="1631">
        <f t="shared" ca="1" si="14"/>
        <v>43927</v>
      </c>
      <c r="F256" s="1631">
        <f t="shared" ca="1" si="13"/>
        <v>181</v>
      </c>
    </row>
    <row r="257" spans="1:6">
      <c r="A257" s="2938" t="s">
        <v>3458</v>
      </c>
      <c r="B257" s="2938">
        <v>204</v>
      </c>
      <c r="C257" s="2940">
        <v>21.43</v>
      </c>
      <c r="D257" s="2938" t="s">
        <v>27</v>
      </c>
      <c r="E257" s="1631">
        <f t="shared" ca="1" si="14"/>
        <v>43927</v>
      </c>
      <c r="F257" s="1631">
        <f t="shared" ca="1" si="13"/>
        <v>94</v>
      </c>
    </row>
    <row r="258" spans="1:6">
      <c r="A258" s="2938" t="s">
        <v>3458</v>
      </c>
      <c r="B258" s="2938">
        <v>205</v>
      </c>
      <c r="C258" s="2940">
        <v>21.43</v>
      </c>
      <c r="D258" s="2938" t="s">
        <v>27</v>
      </c>
      <c r="E258" s="1631">
        <f t="shared" ca="1" si="14"/>
        <v>43927</v>
      </c>
      <c r="F258" s="1631">
        <f t="shared" ca="1" si="13"/>
        <v>94</v>
      </c>
    </row>
    <row r="259" spans="1:6">
      <c r="A259" s="2938" t="s">
        <v>3458</v>
      </c>
      <c r="B259" s="2938">
        <v>410</v>
      </c>
      <c r="C259" s="2940">
        <v>21.5</v>
      </c>
      <c r="D259" s="2938" t="s">
        <v>27</v>
      </c>
      <c r="E259" s="1631">
        <f t="shared" ca="1" si="14"/>
        <v>43927</v>
      </c>
      <c r="F259" s="1631">
        <f t="shared" ca="1" si="13"/>
        <v>94</v>
      </c>
    </row>
    <row r="260" spans="1:6">
      <c r="A260" s="2938" t="s">
        <v>3458</v>
      </c>
      <c r="B260" s="2938">
        <v>415</v>
      </c>
      <c r="C260" s="2940">
        <v>40.56</v>
      </c>
      <c r="D260" s="2938" t="s">
        <v>27</v>
      </c>
      <c r="E260" s="1631">
        <f t="shared" ca="1" si="14"/>
        <v>43927</v>
      </c>
      <c r="F260" s="1631">
        <f t="shared" ca="1" si="13"/>
        <v>178</v>
      </c>
    </row>
    <row r="261" spans="1:6">
      <c r="A261" s="2938" t="s">
        <v>3458</v>
      </c>
      <c r="B261" s="2938">
        <v>513</v>
      </c>
      <c r="C261" s="2940">
        <v>21.5</v>
      </c>
      <c r="D261" s="2938" t="s">
        <v>27</v>
      </c>
      <c r="E261" s="1631">
        <f t="shared" ca="1" si="14"/>
        <v>43927</v>
      </c>
      <c r="F261" s="1631">
        <f t="shared" ca="1" si="13"/>
        <v>94</v>
      </c>
    </row>
    <row r="262" spans="1:6">
      <c r="A262" s="2938" t="s">
        <v>3458</v>
      </c>
      <c r="B262" s="2938">
        <v>514</v>
      </c>
      <c r="C262" s="2940">
        <v>21.36</v>
      </c>
      <c r="D262" s="2938" t="s">
        <v>27</v>
      </c>
      <c r="E262" s="1631">
        <f t="shared" ca="1" si="14"/>
        <v>43927</v>
      </c>
      <c r="F262" s="1631">
        <f t="shared" ca="1" si="13"/>
        <v>94</v>
      </c>
    </row>
    <row r="263" spans="1:6">
      <c r="A263" s="2938" t="s">
        <v>3458</v>
      </c>
      <c r="B263" s="2938">
        <v>702</v>
      </c>
      <c r="C263" s="2940">
        <v>64.34</v>
      </c>
      <c r="D263" s="2938" t="s">
        <v>27</v>
      </c>
      <c r="E263" s="1631">
        <f t="shared" ca="1" si="14"/>
        <v>43927</v>
      </c>
      <c r="F263" s="1631">
        <f t="shared" ca="1" si="13"/>
        <v>283</v>
      </c>
    </row>
    <row r="264" spans="1:6">
      <c r="A264" s="2938" t="s">
        <v>3458</v>
      </c>
      <c r="B264" s="2938">
        <v>710</v>
      </c>
      <c r="C264" s="2940">
        <v>21.5</v>
      </c>
      <c r="D264" s="2938" t="s">
        <v>27</v>
      </c>
      <c r="E264" s="1631">
        <f t="shared" ca="1" si="14"/>
        <v>43927</v>
      </c>
      <c r="F264" s="1631">
        <f t="shared" ca="1" si="13"/>
        <v>94</v>
      </c>
    </row>
    <row r="265" spans="1:6">
      <c r="A265" s="2938" t="s">
        <v>3458</v>
      </c>
      <c r="B265" s="2938">
        <v>814</v>
      </c>
      <c r="C265" s="2940">
        <v>21.36</v>
      </c>
      <c r="D265" s="2938" t="s">
        <v>27</v>
      </c>
      <c r="E265" s="1631">
        <f t="shared" ca="1" si="14"/>
        <v>43927</v>
      </c>
      <c r="F265" s="1631">
        <f t="shared" ca="1" si="13"/>
        <v>94</v>
      </c>
    </row>
    <row r="266" spans="1:6">
      <c r="A266" s="2938" t="s">
        <v>3458</v>
      </c>
      <c r="B266" s="2938">
        <v>911</v>
      </c>
      <c r="C266" s="2940">
        <v>64.44</v>
      </c>
      <c r="D266" s="2938" t="s">
        <v>27</v>
      </c>
      <c r="E266" s="1631">
        <f t="shared" ca="1" si="14"/>
        <v>43927</v>
      </c>
      <c r="F266" s="1631">
        <f t="shared" ca="1" si="13"/>
        <v>283</v>
      </c>
    </row>
    <row r="267" spans="1:6">
      <c r="A267" s="2938" t="s">
        <v>3458</v>
      </c>
      <c r="B267" s="2938">
        <v>918</v>
      </c>
      <c r="C267" s="2940">
        <v>21.36</v>
      </c>
      <c r="D267" s="2938" t="s">
        <v>27</v>
      </c>
      <c r="E267" s="1631">
        <f t="shared" ca="1" si="14"/>
        <v>43927</v>
      </c>
      <c r="F267" s="1631">
        <f t="shared" ca="1" si="13"/>
        <v>94</v>
      </c>
    </row>
    <row r="268" spans="1:6">
      <c r="A268" s="2938" t="s">
        <v>3458</v>
      </c>
      <c r="B268" s="2938">
        <v>1017</v>
      </c>
      <c r="C268" s="2940">
        <v>21.5</v>
      </c>
      <c r="D268" s="2938" t="s">
        <v>27</v>
      </c>
      <c r="E268" s="1631">
        <f t="shared" ca="1" si="14"/>
        <v>43927</v>
      </c>
      <c r="F268" s="1631">
        <f t="shared" ca="1" si="13"/>
        <v>94</v>
      </c>
    </row>
    <row r="269" spans="1:6">
      <c r="A269" s="2938" t="s">
        <v>3458</v>
      </c>
      <c r="B269" s="2938">
        <v>1111</v>
      </c>
      <c r="C269" s="2940">
        <v>64.44</v>
      </c>
      <c r="D269" s="2938" t="s">
        <v>27</v>
      </c>
      <c r="E269" s="1631">
        <f t="shared" ca="1" si="14"/>
        <v>43927</v>
      </c>
      <c r="F269" s="1631">
        <f t="shared" ca="1" si="13"/>
        <v>283</v>
      </c>
    </row>
    <row r="270" spans="1:6">
      <c r="A270" s="2938" t="s">
        <v>3458</v>
      </c>
      <c r="B270" s="2938">
        <v>1112</v>
      </c>
      <c r="C270" s="2940">
        <v>64.44</v>
      </c>
      <c r="D270" s="2938" t="s">
        <v>27</v>
      </c>
      <c r="E270" s="1631">
        <f t="shared" ca="1" si="14"/>
        <v>43927</v>
      </c>
      <c r="F270" s="1631">
        <f t="shared" ca="1" si="13"/>
        <v>283</v>
      </c>
    </row>
    <row r="271" spans="1:6">
      <c r="A271" s="2938" t="s">
        <v>3458</v>
      </c>
      <c r="B271" s="2938">
        <v>1114</v>
      </c>
      <c r="C271" s="2940">
        <v>21.36</v>
      </c>
      <c r="D271" s="2938" t="s">
        <v>27</v>
      </c>
      <c r="E271" s="1631">
        <f t="shared" ca="1" si="14"/>
        <v>43927</v>
      </c>
      <c r="F271" s="1631">
        <f t="shared" ca="1" si="13"/>
        <v>94</v>
      </c>
    </row>
    <row r="272" spans="1:6">
      <c r="A272" s="2938" t="s">
        <v>3458</v>
      </c>
      <c r="B272" s="2938">
        <v>1202</v>
      </c>
      <c r="C272" s="2940">
        <v>64.34</v>
      </c>
      <c r="D272" s="2938" t="s">
        <v>27</v>
      </c>
      <c r="E272" s="1631">
        <f t="shared" ca="1" si="14"/>
        <v>43927</v>
      </c>
      <c r="F272" s="1631">
        <f t="shared" ca="1" si="13"/>
        <v>283</v>
      </c>
    </row>
    <row r="273" spans="1:6">
      <c r="A273" s="2938" t="s">
        <v>3458</v>
      </c>
      <c r="B273" s="2938">
        <v>1302</v>
      </c>
      <c r="C273" s="2940">
        <v>64.34</v>
      </c>
      <c r="D273" s="2938" t="s">
        <v>27</v>
      </c>
      <c r="E273" s="1631">
        <f t="shared" ca="1" si="14"/>
        <v>43927</v>
      </c>
      <c r="F273" s="1631">
        <f t="shared" ca="1" si="13"/>
        <v>283</v>
      </c>
    </row>
    <row r="274" spans="1:6">
      <c r="A274" s="2938" t="s">
        <v>3458</v>
      </c>
      <c r="B274" s="2938">
        <v>1311</v>
      </c>
      <c r="C274" s="2940">
        <v>64.44</v>
      </c>
      <c r="D274" s="2938" t="s">
        <v>27</v>
      </c>
      <c r="E274" s="1631">
        <f t="shared" ca="1" si="14"/>
        <v>43927</v>
      </c>
      <c r="F274" s="1631">
        <f t="shared" ca="1" si="13"/>
        <v>283</v>
      </c>
    </row>
    <row r="275" spans="1:6">
      <c r="A275" s="2938" t="s">
        <v>3458</v>
      </c>
      <c r="B275" s="2938">
        <v>1313</v>
      </c>
      <c r="C275" s="2940">
        <v>21.5</v>
      </c>
      <c r="D275" s="2938" t="s">
        <v>27</v>
      </c>
      <c r="E275" s="1631">
        <f t="shared" ca="1" si="14"/>
        <v>43927</v>
      </c>
      <c r="F275" s="1631">
        <f t="shared" ca="1" si="13"/>
        <v>94</v>
      </c>
    </row>
    <row r="276" spans="1:6">
      <c r="A276" s="2938" t="s">
        <v>3458</v>
      </c>
      <c r="B276" s="2938">
        <v>1314</v>
      </c>
      <c r="C276" s="2940">
        <v>21.36</v>
      </c>
      <c r="D276" s="2938" t="s">
        <v>27</v>
      </c>
      <c r="E276" s="1631">
        <f t="shared" ca="1" si="14"/>
        <v>43927</v>
      </c>
      <c r="F276" s="1631">
        <f t="shared" ca="1" si="13"/>
        <v>94</v>
      </c>
    </row>
    <row r="277" spans="1:6" s="3021" customFormat="1">
      <c r="A277" s="3022" t="s">
        <v>3458</v>
      </c>
      <c r="B277" s="3022">
        <v>1417</v>
      </c>
      <c r="C277" s="3023">
        <v>21.5</v>
      </c>
      <c r="D277" s="3022" t="s">
        <v>27</v>
      </c>
      <c r="E277" s="1631">
        <f ca="1">ROUND(F277*10000/C277,0)</f>
        <v>39535</v>
      </c>
      <c r="F277" s="1631">
        <f ca="1">K26-K21</f>
        <v>85</v>
      </c>
    </row>
    <row r="278" spans="1:6">
      <c r="A278" s="3362" t="s">
        <v>40</v>
      </c>
      <c r="B278" s="3362"/>
      <c r="C278" s="3028">
        <f>SUM(C253:C277)</f>
        <v>980.92</v>
      </c>
      <c r="D278" s="3028" t="s">
        <v>27</v>
      </c>
      <c r="F278" s="1631">
        <f ca="1">SUM(F253:F277)</f>
        <v>4299</v>
      </c>
    </row>
    <row r="279" spans="1:6">
      <c r="A279" s="3365" t="s">
        <v>3456</v>
      </c>
      <c r="B279" s="3365"/>
      <c r="C279" s="3030">
        <f>C252+C278</f>
        <v>1090.08</v>
      </c>
      <c r="D279" s="2943" t="s">
        <v>3134</v>
      </c>
      <c r="F279" s="1631">
        <f ca="1">F252+F278</f>
        <v>4561</v>
      </c>
    </row>
    <row r="280" spans="1:6">
      <c r="A280" s="3363" t="s">
        <v>3460</v>
      </c>
      <c r="B280" s="3363"/>
      <c r="C280" s="3029">
        <f>C206+C248+C279</f>
        <v>6696.0899999999983</v>
      </c>
      <c r="D280" s="2942" t="s">
        <v>3461</v>
      </c>
      <c r="F280" s="1631">
        <f ca="1">F206+F248+F279</f>
        <v>28672</v>
      </c>
    </row>
    <row r="281" spans="1:6">
      <c r="A281" s="3356" t="s">
        <v>3462</v>
      </c>
      <c r="B281" s="3356"/>
      <c r="C281" s="3356"/>
      <c r="D281" s="3356"/>
    </row>
    <row r="282" spans="1:6">
      <c r="A282" s="3031" t="s">
        <v>3071</v>
      </c>
      <c r="B282" s="3031" t="s">
        <v>3072</v>
      </c>
      <c r="C282" s="3031" t="s">
        <v>3073</v>
      </c>
      <c r="D282" s="3031" t="s">
        <v>1375</v>
      </c>
    </row>
    <row r="283" spans="1:6">
      <c r="A283" s="2938" t="s">
        <v>3463</v>
      </c>
      <c r="B283" s="2944">
        <v>-108</v>
      </c>
      <c r="C283" s="2940">
        <v>76.180000000000007</v>
      </c>
      <c r="D283" s="2944" t="s">
        <v>1377</v>
      </c>
      <c r="E283" s="1631">
        <f ca="1">'结果表（商业）'!I118</f>
        <v>24066</v>
      </c>
      <c r="F283" s="1631">
        <f ca="1">ROUND(E283*C283/10000,0)</f>
        <v>183</v>
      </c>
    </row>
    <row r="284" spans="1:6" s="3021" customFormat="1">
      <c r="A284" s="3022" t="s">
        <v>3463</v>
      </c>
      <c r="B284" s="3022">
        <v>-114</v>
      </c>
      <c r="C284" s="3023">
        <v>197.15</v>
      </c>
      <c r="D284" s="3022" t="s">
        <v>1377</v>
      </c>
      <c r="E284" s="3021">
        <f ca="1">ROUND(F284*10000/C284,0)</f>
        <v>23992</v>
      </c>
      <c r="F284" s="3021">
        <f ca="1">L26-L21</f>
        <v>473</v>
      </c>
    </row>
    <row r="285" spans="1:6">
      <c r="A285" s="3357" t="s">
        <v>40</v>
      </c>
      <c r="B285" s="3358"/>
      <c r="C285" s="3028">
        <f>SUM(C283:C284)</f>
        <v>273.33000000000004</v>
      </c>
      <c r="D285" s="3028" t="s">
        <v>1377</v>
      </c>
      <c r="F285" s="1631">
        <f ca="1">F283+F284</f>
        <v>656</v>
      </c>
    </row>
    <row r="286" spans="1:6">
      <c r="A286" s="3359" t="s">
        <v>3463</v>
      </c>
      <c r="B286" s="2941" t="s">
        <v>3464</v>
      </c>
      <c r="C286" s="2940">
        <v>16.010000000000002</v>
      </c>
      <c r="D286" s="2945" t="s">
        <v>48</v>
      </c>
      <c r="E286" s="1631">
        <f ca="1">'结果表（地下车库）'!I118</f>
        <v>10281</v>
      </c>
      <c r="F286" s="1631">
        <f ca="1">ROUND(E286*C286/10000,2)</f>
        <v>16.46</v>
      </c>
    </row>
    <row r="287" spans="1:6">
      <c r="A287" s="3360"/>
      <c r="B287" s="2941" t="s">
        <v>3465</v>
      </c>
      <c r="C287" s="2940">
        <v>16.010000000000002</v>
      </c>
      <c r="D287" s="2945" t="s">
        <v>48</v>
      </c>
      <c r="E287" s="1631">
        <f ca="1">E286</f>
        <v>10281</v>
      </c>
      <c r="F287" s="1631">
        <f t="shared" ref="F287:F346" ca="1" si="15">ROUND(E287*C287/10000,2)</f>
        <v>16.46</v>
      </c>
    </row>
    <row r="288" spans="1:6">
      <c r="A288" s="3360"/>
      <c r="B288" s="2941" t="s">
        <v>3466</v>
      </c>
      <c r="C288" s="2940">
        <v>16.010000000000002</v>
      </c>
      <c r="D288" s="2945" t="s">
        <v>48</v>
      </c>
      <c r="E288" s="1631">
        <f t="shared" ref="E288:E346" ca="1" si="16">E287</f>
        <v>10281</v>
      </c>
      <c r="F288" s="1631">
        <f t="shared" ca="1" si="15"/>
        <v>16.46</v>
      </c>
    </row>
    <row r="289" spans="1:6">
      <c r="A289" s="3360"/>
      <c r="B289" s="2941" t="s">
        <v>3467</v>
      </c>
      <c r="C289" s="2940">
        <v>16.010000000000002</v>
      </c>
      <c r="D289" s="2945" t="s">
        <v>48</v>
      </c>
      <c r="E289" s="1631">
        <f t="shared" ca="1" si="16"/>
        <v>10281</v>
      </c>
      <c r="F289" s="1631">
        <f t="shared" ca="1" si="15"/>
        <v>16.46</v>
      </c>
    </row>
    <row r="290" spans="1:6">
      <c r="A290" s="3360"/>
      <c r="B290" s="2941" t="s">
        <v>3468</v>
      </c>
      <c r="C290" s="2940">
        <v>16.010000000000002</v>
      </c>
      <c r="D290" s="2945" t="s">
        <v>48</v>
      </c>
      <c r="E290" s="1631">
        <f t="shared" ca="1" si="16"/>
        <v>10281</v>
      </c>
      <c r="F290" s="1631">
        <f t="shared" ca="1" si="15"/>
        <v>16.46</v>
      </c>
    </row>
    <row r="291" spans="1:6">
      <c r="A291" s="3360"/>
      <c r="B291" s="2941" t="s">
        <v>3469</v>
      </c>
      <c r="C291" s="2940">
        <v>16.010000000000002</v>
      </c>
      <c r="D291" s="2945" t="s">
        <v>48</v>
      </c>
      <c r="E291" s="1631">
        <f t="shared" ca="1" si="16"/>
        <v>10281</v>
      </c>
      <c r="F291" s="1631">
        <f t="shared" ca="1" si="15"/>
        <v>16.46</v>
      </c>
    </row>
    <row r="292" spans="1:6">
      <c r="A292" s="3360"/>
      <c r="B292" s="2941" t="s">
        <v>3074</v>
      </c>
      <c r="C292" s="2940">
        <v>16.010000000000002</v>
      </c>
      <c r="D292" s="2945" t="s">
        <v>48</v>
      </c>
      <c r="E292" s="1631">
        <f t="shared" ca="1" si="16"/>
        <v>10281</v>
      </c>
      <c r="F292" s="1631">
        <f t="shared" ca="1" si="15"/>
        <v>16.46</v>
      </c>
    </row>
    <row r="293" spans="1:6">
      <c r="A293" s="3360"/>
      <c r="B293" s="2941" t="s">
        <v>3078</v>
      </c>
      <c r="C293" s="2940">
        <v>16.010000000000002</v>
      </c>
      <c r="D293" s="2945" t="s">
        <v>48</v>
      </c>
      <c r="E293" s="1631">
        <f t="shared" ca="1" si="16"/>
        <v>10281</v>
      </c>
      <c r="F293" s="1631">
        <f t="shared" ca="1" si="15"/>
        <v>16.46</v>
      </c>
    </row>
    <row r="294" spans="1:6">
      <c r="A294" s="3360"/>
      <c r="B294" s="2941" t="s">
        <v>3079</v>
      </c>
      <c r="C294" s="2940">
        <v>16.010000000000002</v>
      </c>
      <c r="D294" s="2945" t="s">
        <v>48</v>
      </c>
      <c r="E294" s="1631">
        <f t="shared" ca="1" si="16"/>
        <v>10281</v>
      </c>
      <c r="F294" s="1631">
        <f t="shared" ca="1" si="15"/>
        <v>16.46</v>
      </c>
    </row>
    <row r="295" spans="1:6">
      <c r="A295" s="3360"/>
      <c r="B295" s="2941" t="s">
        <v>3080</v>
      </c>
      <c r="C295" s="2940">
        <v>11.39</v>
      </c>
      <c r="D295" s="2945" t="s">
        <v>48</v>
      </c>
      <c r="E295" s="1631">
        <f t="shared" ca="1" si="16"/>
        <v>10281</v>
      </c>
      <c r="F295" s="1631">
        <f t="shared" ca="1" si="15"/>
        <v>11.71</v>
      </c>
    </row>
    <row r="296" spans="1:6">
      <c r="A296" s="3360"/>
      <c r="B296" s="2941" t="s">
        <v>3081</v>
      </c>
      <c r="C296" s="2940">
        <v>11.39</v>
      </c>
      <c r="D296" s="2945" t="s">
        <v>48</v>
      </c>
      <c r="E296" s="1631">
        <f t="shared" ca="1" si="16"/>
        <v>10281</v>
      </c>
      <c r="F296" s="1631">
        <f t="shared" ca="1" si="15"/>
        <v>11.71</v>
      </c>
    </row>
    <row r="297" spans="1:6">
      <c r="A297" s="3360"/>
      <c r="B297" s="2941" t="s">
        <v>3082</v>
      </c>
      <c r="C297" s="2940">
        <v>11.39</v>
      </c>
      <c r="D297" s="2945" t="s">
        <v>48</v>
      </c>
      <c r="E297" s="1631">
        <f t="shared" ca="1" si="16"/>
        <v>10281</v>
      </c>
      <c r="F297" s="1631">
        <f t="shared" ca="1" si="15"/>
        <v>11.71</v>
      </c>
    </row>
    <row r="298" spans="1:6">
      <c r="A298" s="3360"/>
      <c r="B298" s="2941" t="s">
        <v>3083</v>
      </c>
      <c r="C298" s="2940">
        <v>32.03</v>
      </c>
      <c r="D298" s="2945" t="s">
        <v>48</v>
      </c>
      <c r="E298" s="1631">
        <f t="shared" ca="1" si="16"/>
        <v>10281</v>
      </c>
      <c r="F298" s="1631">
        <f t="shared" ca="1" si="15"/>
        <v>32.93</v>
      </c>
    </row>
    <row r="299" spans="1:6">
      <c r="A299" s="3360"/>
      <c r="B299" s="2941" t="s">
        <v>3084</v>
      </c>
      <c r="C299" s="2940">
        <v>48.04</v>
      </c>
      <c r="D299" s="2945" t="s">
        <v>48</v>
      </c>
      <c r="E299" s="1631">
        <f t="shared" ca="1" si="16"/>
        <v>10281</v>
      </c>
      <c r="F299" s="1631">
        <f t="shared" ca="1" si="15"/>
        <v>49.39</v>
      </c>
    </row>
    <row r="300" spans="1:6">
      <c r="A300" s="3360"/>
      <c r="B300" s="2941" t="s">
        <v>3085</v>
      </c>
      <c r="C300" s="2940">
        <v>48.04</v>
      </c>
      <c r="D300" s="2945" t="s">
        <v>48</v>
      </c>
      <c r="E300" s="1631">
        <f t="shared" ca="1" si="16"/>
        <v>10281</v>
      </c>
      <c r="F300" s="1631">
        <f t="shared" ca="1" si="15"/>
        <v>49.39</v>
      </c>
    </row>
    <row r="301" spans="1:6">
      <c r="A301" s="3360"/>
      <c r="B301" s="2941" t="s">
        <v>3086</v>
      </c>
      <c r="C301" s="2940">
        <v>48.04</v>
      </c>
      <c r="D301" s="2945" t="s">
        <v>48</v>
      </c>
      <c r="E301" s="1631">
        <f t="shared" ca="1" si="16"/>
        <v>10281</v>
      </c>
      <c r="F301" s="1631">
        <f t="shared" ca="1" si="15"/>
        <v>49.39</v>
      </c>
    </row>
    <row r="302" spans="1:6">
      <c r="A302" s="3360"/>
      <c r="B302" s="2941" t="s">
        <v>3087</v>
      </c>
      <c r="C302" s="2940">
        <v>68.8</v>
      </c>
      <c r="D302" s="2945" t="s">
        <v>48</v>
      </c>
      <c r="E302" s="1631">
        <f t="shared" ca="1" si="16"/>
        <v>10281</v>
      </c>
      <c r="F302" s="1631">
        <f t="shared" ca="1" si="15"/>
        <v>70.73</v>
      </c>
    </row>
    <row r="303" spans="1:6">
      <c r="A303" s="3360"/>
      <c r="B303" s="2941" t="s">
        <v>3088</v>
      </c>
      <c r="C303" s="2940">
        <v>16.010000000000002</v>
      </c>
      <c r="D303" s="2945" t="s">
        <v>48</v>
      </c>
      <c r="E303" s="1631">
        <f t="shared" ca="1" si="16"/>
        <v>10281</v>
      </c>
      <c r="F303" s="1631">
        <f t="shared" ca="1" si="15"/>
        <v>16.46</v>
      </c>
    </row>
    <row r="304" spans="1:6">
      <c r="A304" s="3360"/>
      <c r="B304" s="2941" t="s">
        <v>3089</v>
      </c>
      <c r="C304" s="2940">
        <v>16.010000000000002</v>
      </c>
      <c r="D304" s="2945" t="s">
        <v>48</v>
      </c>
      <c r="E304" s="1631">
        <f t="shared" ca="1" si="16"/>
        <v>10281</v>
      </c>
      <c r="F304" s="1631">
        <f t="shared" ca="1" si="15"/>
        <v>16.46</v>
      </c>
    </row>
    <row r="305" spans="1:6">
      <c r="A305" s="3360"/>
      <c r="B305" s="2941" t="s">
        <v>3090</v>
      </c>
      <c r="C305" s="2940">
        <v>16.010000000000002</v>
      </c>
      <c r="D305" s="2945" t="s">
        <v>48</v>
      </c>
      <c r="E305" s="1631">
        <f t="shared" ca="1" si="16"/>
        <v>10281</v>
      </c>
      <c r="F305" s="1631">
        <f t="shared" ca="1" si="15"/>
        <v>16.46</v>
      </c>
    </row>
    <row r="306" spans="1:6">
      <c r="A306" s="3360"/>
      <c r="B306" s="2941" t="s">
        <v>3091</v>
      </c>
      <c r="C306" s="2940">
        <v>16.010000000000002</v>
      </c>
      <c r="D306" s="2945" t="s">
        <v>48</v>
      </c>
      <c r="E306" s="1631">
        <f t="shared" ca="1" si="16"/>
        <v>10281</v>
      </c>
      <c r="F306" s="1631">
        <f t="shared" ca="1" si="15"/>
        <v>16.46</v>
      </c>
    </row>
    <row r="307" spans="1:6">
      <c r="A307" s="3360"/>
      <c r="B307" s="2941" t="s">
        <v>3092</v>
      </c>
      <c r="C307" s="2940">
        <v>32.03</v>
      </c>
      <c r="D307" s="2945" t="s">
        <v>48</v>
      </c>
      <c r="E307" s="1631">
        <f t="shared" ca="1" si="16"/>
        <v>10281</v>
      </c>
      <c r="F307" s="1631">
        <f t="shared" ca="1" si="15"/>
        <v>32.93</v>
      </c>
    </row>
    <row r="308" spans="1:6">
      <c r="A308" s="3360"/>
      <c r="B308" s="2941" t="s">
        <v>3093</v>
      </c>
      <c r="C308" s="2940">
        <v>16.010000000000002</v>
      </c>
      <c r="D308" s="2945" t="s">
        <v>48</v>
      </c>
      <c r="E308" s="1631">
        <f t="shared" ca="1" si="16"/>
        <v>10281</v>
      </c>
      <c r="F308" s="1631">
        <f t="shared" ca="1" si="15"/>
        <v>16.46</v>
      </c>
    </row>
    <row r="309" spans="1:6">
      <c r="A309" s="3360"/>
      <c r="B309" s="2941" t="s">
        <v>3094</v>
      </c>
      <c r="C309" s="2940">
        <v>16.010000000000002</v>
      </c>
      <c r="D309" s="2945" t="s">
        <v>48</v>
      </c>
      <c r="E309" s="1631">
        <f t="shared" ca="1" si="16"/>
        <v>10281</v>
      </c>
      <c r="F309" s="1631">
        <f t="shared" ca="1" si="15"/>
        <v>16.46</v>
      </c>
    </row>
    <row r="310" spans="1:6">
      <c r="A310" s="3360"/>
      <c r="B310" s="2941" t="s">
        <v>3095</v>
      </c>
      <c r="C310" s="2940">
        <v>48.04</v>
      </c>
      <c r="D310" s="2945" t="s">
        <v>48</v>
      </c>
      <c r="E310" s="1631">
        <f t="shared" ca="1" si="16"/>
        <v>10281</v>
      </c>
      <c r="F310" s="1631">
        <f t="shared" ca="1" si="15"/>
        <v>49.39</v>
      </c>
    </row>
    <row r="311" spans="1:6">
      <c r="A311" s="3360"/>
      <c r="B311" s="2941" t="s">
        <v>3096</v>
      </c>
      <c r="C311" s="2940">
        <v>48.04</v>
      </c>
      <c r="D311" s="2945" t="s">
        <v>48</v>
      </c>
      <c r="E311" s="1631">
        <f t="shared" ca="1" si="16"/>
        <v>10281</v>
      </c>
      <c r="F311" s="1631">
        <f t="shared" ca="1" si="15"/>
        <v>49.39</v>
      </c>
    </row>
    <row r="312" spans="1:6">
      <c r="A312" s="3360"/>
      <c r="B312" s="2941" t="s">
        <v>3097</v>
      </c>
      <c r="C312" s="2940">
        <v>48.04</v>
      </c>
      <c r="D312" s="2945" t="s">
        <v>48</v>
      </c>
      <c r="E312" s="1631">
        <f t="shared" ca="1" si="16"/>
        <v>10281</v>
      </c>
      <c r="F312" s="1631">
        <f t="shared" ca="1" si="15"/>
        <v>49.39</v>
      </c>
    </row>
    <row r="313" spans="1:6">
      <c r="A313" s="3360"/>
      <c r="B313" s="2941" t="s">
        <v>3098</v>
      </c>
      <c r="C313" s="2940">
        <v>48.04</v>
      </c>
      <c r="D313" s="2945" t="s">
        <v>48</v>
      </c>
      <c r="E313" s="1631">
        <f t="shared" ca="1" si="16"/>
        <v>10281</v>
      </c>
      <c r="F313" s="1631">
        <f t="shared" ca="1" si="15"/>
        <v>49.39</v>
      </c>
    </row>
    <row r="314" spans="1:6">
      <c r="A314" s="3360"/>
      <c r="B314" s="2941" t="s">
        <v>3099</v>
      </c>
      <c r="C314" s="2940">
        <v>48.04</v>
      </c>
      <c r="D314" s="2945" t="s">
        <v>48</v>
      </c>
      <c r="E314" s="1631">
        <f t="shared" ca="1" si="16"/>
        <v>10281</v>
      </c>
      <c r="F314" s="1631">
        <f t="shared" ca="1" si="15"/>
        <v>49.39</v>
      </c>
    </row>
    <row r="315" spans="1:6">
      <c r="A315" s="3360"/>
      <c r="B315" s="2941" t="s">
        <v>3100</v>
      </c>
      <c r="C315" s="2940">
        <v>11.39</v>
      </c>
      <c r="D315" s="2945" t="s">
        <v>48</v>
      </c>
      <c r="E315" s="1631">
        <f t="shared" ca="1" si="16"/>
        <v>10281</v>
      </c>
      <c r="F315" s="1631">
        <f t="shared" ca="1" si="15"/>
        <v>11.71</v>
      </c>
    </row>
    <row r="316" spans="1:6">
      <c r="A316" s="3360"/>
      <c r="B316" s="2941" t="s">
        <v>3101</v>
      </c>
      <c r="C316" s="2940">
        <v>11.39</v>
      </c>
      <c r="D316" s="2945" t="s">
        <v>48</v>
      </c>
      <c r="E316" s="1631">
        <f t="shared" ca="1" si="16"/>
        <v>10281</v>
      </c>
      <c r="F316" s="1631">
        <f t="shared" ca="1" si="15"/>
        <v>11.71</v>
      </c>
    </row>
    <row r="317" spans="1:6">
      <c r="A317" s="3360"/>
      <c r="B317" s="2941" t="s">
        <v>3102</v>
      </c>
      <c r="C317" s="2940">
        <v>11.39</v>
      </c>
      <c r="D317" s="2945" t="s">
        <v>48</v>
      </c>
      <c r="E317" s="1631">
        <f t="shared" ca="1" si="16"/>
        <v>10281</v>
      </c>
      <c r="F317" s="1631">
        <f t="shared" ca="1" si="15"/>
        <v>11.71</v>
      </c>
    </row>
    <row r="318" spans="1:6">
      <c r="A318" s="3360"/>
      <c r="B318" s="2941" t="s">
        <v>3103</v>
      </c>
      <c r="C318" s="2940">
        <v>11.39</v>
      </c>
      <c r="D318" s="2945" t="s">
        <v>48</v>
      </c>
      <c r="E318" s="1631">
        <f t="shared" ca="1" si="16"/>
        <v>10281</v>
      </c>
      <c r="F318" s="1631">
        <f t="shared" ca="1" si="15"/>
        <v>11.71</v>
      </c>
    </row>
    <row r="319" spans="1:6">
      <c r="A319" s="3360"/>
      <c r="B319" s="2941" t="s">
        <v>3104</v>
      </c>
      <c r="C319" s="2940">
        <v>48.04</v>
      </c>
      <c r="D319" s="2945" t="s">
        <v>48</v>
      </c>
      <c r="E319" s="1631">
        <f t="shared" ca="1" si="16"/>
        <v>10281</v>
      </c>
      <c r="F319" s="1631">
        <f t="shared" ca="1" si="15"/>
        <v>49.39</v>
      </c>
    </row>
    <row r="320" spans="1:6">
      <c r="A320" s="3360"/>
      <c r="B320" s="2941" t="s">
        <v>3105</v>
      </c>
      <c r="C320" s="2940">
        <v>48.04</v>
      </c>
      <c r="D320" s="2945" t="s">
        <v>48</v>
      </c>
      <c r="E320" s="1631">
        <f t="shared" ca="1" si="16"/>
        <v>10281</v>
      </c>
      <c r="F320" s="1631">
        <f t="shared" ca="1" si="15"/>
        <v>49.39</v>
      </c>
    </row>
    <row r="321" spans="1:6">
      <c r="A321" s="3360"/>
      <c r="B321" s="2941" t="s">
        <v>3106</v>
      </c>
      <c r="C321" s="2940">
        <v>48.04</v>
      </c>
      <c r="D321" s="2945" t="s">
        <v>48</v>
      </c>
      <c r="E321" s="1631">
        <f t="shared" ca="1" si="16"/>
        <v>10281</v>
      </c>
      <c r="F321" s="1631">
        <f t="shared" ca="1" si="15"/>
        <v>49.39</v>
      </c>
    </row>
    <row r="322" spans="1:6">
      <c r="A322" s="3360"/>
      <c r="B322" s="2941" t="s">
        <v>3107</v>
      </c>
      <c r="C322" s="2940">
        <v>48.04</v>
      </c>
      <c r="D322" s="2945" t="s">
        <v>48</v>
      </c>
      <c r="E322" s="1631">
        <f t="shared" ca="1" si="16"/>
        <v>10281</v>
      </c>
      <c r="F322" s="1631">
        <f t="shared" ca="1" si="15"/>
        <v>49.39</v>
      </c>
    </row>
    <row r="323" spans="1:6">
      <c r="A323" s="3360"/>
      <c r="B323" s="2941" t="s">
        <v>3108</v>
      </c>
      <c r="C323" s="2940">
        <v>48.04</v>
      </c>
      <c r="D323" s="2945" t="s">
        <v>48</v>
      </c>
      <c r="E323" s="1631">
        <f t="shared" ca="1" si="16"/>
        <v>10281</v>
      </c>
      <c r="F323" s="1631">
        <f t="shared" ca="1" si="15"/>
        <v>49.39</v>
      </c>
    </row>
    <row r="324" spans="1:6">
      <c r="A324" s="3360"/>
      <c r="B324" s="2941" t="s">
        <v>3109</v>
      </c>
      <c r="C324" s="2940">
        <v>11.39</v>
      </c>
      <c r="D324" s="2945" t="s">
        <v>48</v>
      </c>
      <c r="E324" s="1631">
        <f t="shared" ca="1" si="16"/>
        <v>10281</v>
      </c>
      <c r="F324" s="1631">
        <f t="shared" ca="1" si="15"/>
        <v>11.71</v>
      </c>
    </row>
    <row r="325" spans="1:6">
      <c r="A325" s="3360"/>
      <c r="B325" s="2941" t="s">
        <v>3110</v>
      </c>
      <c r="C325" s="2940">
        <v>11.39</v>
      </c>
      <c r="D325" s="2945" t="s">
        <v>48</v>
      </c>
      <c r="E325" s="1631">
        <f t="shared" ca="1" si="16"/>
        <v>10281</v>
      </c>
      <c r="F325" s="1631">
        <f t="shared" ca="1" si="15"/>
        <v>11.71</v>
      </c>
    </row>
    <row r="326" spans="1:6">
      <c r="A326" s="3360"/>
      <c r="B326" s="2941" t="s">
        <v>3111</v>
      </c>
      <c r="C326" s="2940">
        <v>16.010000000000002</v>
      </c>
      <c r="D326" s="2945" t="s">
        <v>48</v>
      </c>
      <c r="E326" s="1631">
        <f t="shared" ca="1" si="16"/>
        <v>10281</v>
      </c>
      <c r="F326" s="1631">
        <f t="shared" ca="1" si="15"/>
        <v>16.46</v>
      </c>
    </row>
    <row r="327" spans="1:6">
      <c r="A327" s="3360"/>
      <c r="B327" s="2941" t="s">
        <v>3112</v>
      </c>
      <c r="C327" s="2940">
        <v>48.04</v>
      </c>
      <c r="D327" s="2945" t="s">
        <v>48</v>
      </c>
      <c r="E327" s="1631">
        <f t="shared" ca="1" si="16"/>
        <v>10281</v>
      </c>
      <c r="F327" s="1631">
        <f t="shared" ca="1" si="15"/>
        <v>49.39</v>
      </c>
    </row>
    <row r="328" spans="1:6">
      <c r="A328" s="3360"/>
      <c r="B328" s="2941" t="s">
        <v>3113</v>
      </c>
      <c r="C328" s="2940">
        <v>48.04</v>
      </c>
      <c r="D328" s="2945" t="s">
        <v>48</v>
      </c>
      <c r="E328" s="1631">
        <f t="shared" ca="1" si="16"/>
        <v>10281</v>
      </c>
      <c r="F328" s="1631">
        <f t="shared" ca="1" si="15"/>
        <v>49.39</v>
      </c>
    </row>
    <row r="329" spans="1:6">
      <c r="A329" s="3360"/>
      <c r="B329" s="2941" t="s">
        <v>3114</v>
      </c>
      <c r="C329" s="2940">
        <v>16.010000000000002</v>
      </c>
      <c r="D329" s="2945" t="s">
        <v>48</v>
      </c>
      <c r="E329" s="1631">
        <f t="shared" ca="1" si="16"/>
        <v>10281</v>
      </c>
      <c r="F329" s="1631">
        <f t="shared" ca="1" si="15"/>
        <v>16.46</v>
      </c>
    </row>
    <row r="330" spans="1:6">
      <c r="A330" s="3360"/>
      <c r="B330" s="2941" t="s">
        <v>3115</v>
      </c>
      <c r="C330" s="2940">
        <v>48.04</v>
      </c>
      <c r="D330" s="2945" t="s">
        <v>48</v>
      </c>
      <c r="E330" s="1631">
        <f t="shared" ca="1" si="16"/>
        <v>10281</v>
      </c>
      <c r="F330" s="1631">
        <f t="shared" ca="1" si="15"/>
        <v>49.39</v>
      </c>
    </row>
    <row r="331" spans="1:6">
      <c r="A331" s="3360"/>
      <c r="B331" s="2941" t="s">
        <v>3116</v>
      </c>
      <c r="C331" s="2940">
        <v>48.04</v>
      </c>
      <c r="D331" s="2945" t="s">
        <v>48</v>
      </c>
      <c r="E331" s="1631">
        <f t="shared" ca="1" si="16"/>
        <v>10281</v>
      </c>
      <c r="F331" s="1631">
        <f t="shared" ca="1" si="15"/>
        <v>49.39</v>
      </c>
    </row>
    <row r="332" spans="1:6">
      <c r="A332" s="3360"/>
      <c r="B332" s="2941" t="s">
        <v>3117</v>
      </c>
      <c r="C332" s="2940">
        <v>48.04</v>
      </c>
      <c r="D332" s="2945" t="s">
        <v>48</v>
      </c>
      <c r="E332" s="1631">
        <f t="shared" ca="1" si="16"/>
        <v>10281</v>
      </c>
      <c r="F332" s="1631">
        <f t="shared" ca="1" si="15"/>
        <v>49.39</v>
      </c>
    </row>
    <row r="333" spans="1:6">
      <c r="A333" s="3360"/>
      <c r="B333" s="2941" t="s">
        <v>3118</v>
      </c>
      <c r="C333" s="2940">
        <v>48.04</v>
      </c>
      <c r="D333" s="2945" t="s">
        <v>48</v>
      </c>
      <c r="E333" s="1631">
        <f t="shared" ca="1" si="16"/>
        <v>10281</v>
      </c>
      <c r="F333" s="1631">
        <f t="shared" ca="1" si="15"/>
        <v>49.39</v>
      </c>
    </row>
    <row r="334" spans="1:6">
      <c r="A334" s="3360"/>
      <c r="B334" s="2941" t="s">
        <v>3119</v>
      </c>
      <c r="C334" s="2940">
        <v>16.010000000000002</v>
      </c>
      <c r="D334" s="2945" t="s">
        <v>48</v>
      </c>
      <c r="E334" s="1631">
        <f t="shared" ca="1" si="16"/>
        <v>10281</v>
      </c>
      <c r="F334" s="1631">
        <f t="shared" ca="1" si="15"/>
        <v>16.46</v>
      </c>
    </row>
    <row r="335" spans="1:6">
      <c r="A335" s="3360"/>
      <c r="B335" s="2941" t="s">
        <v>3120</v>
      </c>
      <c r="C335" s="2940">
        <v>48.04</v>
      </c>
      <c r="D335" s="2945" t="s">
        <v>48</v>
      </c>
      <c r="E335" s="1631">
        <f t="shared" ca="1" si="16"/>
        <v>10281</v>
      </c>
      <c r="F335" s="1631">
        <f t="shared" ca="1" si="15"/>
        <v>49.39</v>
      </c>
    </row>
    <row r="336" spans="1:6">
      <c r="A336" s="3360"/>
      <c r="B336" s="2941" t="s">
        <v>3121</v>
      </c>
      <c r="C336" s="2940">
        <v>48.04</v>
      </c>
      <c r="D336" s="2945" t="s">
        <v>48</v>
      </c>
      <c r="E336" s="1631">
        <f t="shared" ca="1" si="16"/>
        <v>10281</v>
      </c>
      <c r="F336" s="1631">
        <f t="shared" ca="1" si="15"/>
        <v>49.39</v>
      </c>
    </row>
    <row r="337" spans="1:6">
      <c r="A337" s="3360"/>
      <c r="B337" s="2941" t="s">
        <v>3122</v>
      </c>
      <c r="C337" s="2940">
        <v>48.04</v>
      </c>
      <c r="D337" s="2945" t="s">
        <v>48</v>
      </c>
      <c r="E337" s="1631">
        <f t="shared" ca="1" si="16"/>
        <v>10281</v>
      </c>
      <c r="F337" s="1631">
        <f t="shared" ca="1" si="15"/>
        <v>49.39</v>
      </c>
    </row>
    <row r="338" spans="1:6">
      <c r="A338" s="3360"/>
      <c r="B338" s="2941" t="s">
        <v>3123</v>
      </c>
      <c r="C338" s="2940">
        <v>48.04</v>
      </c>
      <c r="D338" s="2945" t="s">
        <v>48</v>
      </c>
      <c r="E338" s="1631">
        <f t="shared" ca="1" si="16"/>
        <v>10281</v>
      </c>
      <c r="F338" s="1631">
        <f t="shared" ca="1" si="15"/>
        <v>49.39</v>
      </c>
    </row>
    <row r="339" spans="1:6">
      <c r="A339" s="3360"/>
      <c r="B339" s="2941" t="s">
        <v>3124</v>
      </c>
      <c r="C339" s="2940">
        <v>48.04</v>
      </c>
      <c r="D339" s="2945" t="s">
        <v>48</v>
      </c>
      <c r="E339" s="1631">
        <f t="shared" ca="1" si="16"/>
        <v>10281</v>
      </c>
      <c r="F339" s="1631">
        <f t="shared" ca="1" si="15"/>
        <v>49.39</v>
      </c>
    </row>
    <row r="340" spans="1:6">
      <c r="A340" s="3360"/>
      <c r="B340" s="2941" t="s">
        <v>3125</v>
      </c>
      <c r="C340" s="2940">
        <v>32.03</v>
      </c>
      <c r="D340" s="2945" t="s">
        <v>48</v>
      </c>
      <c r="E340" s="1631">
        <f t="shared" ca="1" si="16"/>
        <v>10281</v>
      </c>
      <c r="F340" s="1631">
        <f t="shared" ca="1" si="15"/>
        <v>32.93</v>
      </c>
    </row>
    <row r="341" spans="1:6">
      <c r="A341" s="3360"/>
      <c r="B341" s="2941" t="s">
        <v>3126</v>
      </c>
      <c r="C341" s="2940">
        <v>16.010000000000002</v>
      </c>
      <c r="D341" s="2945" t="s">
        <v>48</v>
      </c>
      <c r="E341" s="1631">
        <f t="shared" ca="1" si="16"/>
        <v>10281</v>
      </c>
      <c r="F341" s="1631">
        <f t="shared" ca="1" si="15"/>
        <v>16.46</v>
      </c>
    </row>
    <row r="342" spans="1:6">
      <c r="A342" s="3360"/>
      <c r="B342" s="2941" t="s">
        <v>3127</v>
      </c>
      <c r="C342" s="2940">
        <v>16.010000000000002</v>
      </c>
      <c r="D342" s="2945" t="s">
        <v>48</v>
      </c>
      <c r="E342" s="1631">
        <f t="shared" ca="1" si="16"/>
        <v>10281</v>
      </c>
      <c r="F342" s="1631">
        <f t="shared" ca="1" si="15"/>
        <v>16.46</v>
      </c>
    </row>
    <row r="343" spans="1:6">
      <c r="A343" s="3360"/>
      <c r="B343" s="2941" t="s">
        <v>3128</v>
      </c>
      <c r="C343" s="2940">
        <v>32.03</v>
      </c>
      <c r="D343" s="2945" t="s">
        <v>48</v>
      </c>
      <c r="E343" s="1631">
        <f t="shared" ca="1" si="16"/>
        <v>10281</v>
      </c>
      <c r="F343" s="1631">
        <f t="shared" ca="1" si="15"/>
        <v>32.93</v>
      </c>
    </row>
    <row r="344" spans="1:6">
      <c r="A344" s="3360"/>
      <c r="B344" s="2941" t="s">
        <v>3129</v>
      </c>
      <c r="C344" s="2940">
        <v>156.13999999999999</v>
      </c>
      <c r="D344" s="2945" t="s">
        <v>48</v>
      </c>
      <c r="E344" s="1631">
        <f t="shared" ca="1" si="16"/>
        <v>10281</v>
      </c>
      <c r="F344" s="1631">
        <f t="shared" ca="1" si="15"/>
        <v>160.53</v>
      </c>
    </row>
    <row r="345" spans="1:6">
      <c r="A345" s="3360"/>
      <c r="B345" s="2941" t="s">
        <v>3130</v>
      </c>
      <c r="C345" s="2940">
        <v>102.1</v>
      </c>
      <c r="D345" s="2945" t="s">
        <v>48</v>
      </c>
      <c r="E345" s="1631">
        <f t="shared" ca="1" si="16"/>
        <v>10281</v>
      </c>
      <c r="F345" s="1631">
        <f t="shared" ca="1" si="15"/>
        <v>104.97</v>
      </c>
    </row>
    <row r="346" spans="1:6">
      <c r="A346" s="3360"/>
      <c r="B346" s="2941" t="s">
        <v>3131</v>
      </c>
      <c r="C346" s="2940">
        <v>32.03</v>
      </c>
      <c r="D346" s="2945" t="s">
        <v>48</v>
      </c>
      <c r="E346" s="1631">
        <f t="shared" ca="1" si="16"/>
        <v>10281</v>
      </c>
      <c r="F346" s="1631">
        <f t="shared" ca="1" si="15"/>
        <v>32.93</v>
      </c>
    </row>
    <row r="347" spans="1:6" s="3021" customFormat="1">
      <c r="A347" s="3361"/>
      <c r="B347" s="3024" t="s">
        <v>3132</v>
      </c>
      <c r="C347" s="3023">
        <v>16.010000000000002</v>
      </c>
      <c r="D347" s="3025" t="s">
        <v>48</v>
      </c>
      <c r="E347" s="3021">
        <f ca="1">ROUND(F347*10000/C347,0)</f>
        <v>10437</v>
      </c>
      <c r="F347" s="3021">
        <f ca="1">M26-M21</f>
        <v>16.710000000000036</v>
      </c>
    </row>
    <row r="348" spans="1:6">
      <c r="A348" s="3362" t="s">
        <v>40</v>
      </c>
      <c r="B348" s="3362"/>
      <c r="C348" s="3028">
        <f>SUM(C286:C347)</f>
        <v>2078.8699999999994</v>
      </c>
      <c r="D348" s="2946" t="s">
        <v>48</v>
      </c>
      <c r="F348" s="1631">
        <f ca="1">SUM(F286:F347)</f>
        <v>2137.5400000000013</v>
      </c>
    </row>
    <row r="349" spans="1:6">
      <c r="A349" s="3363" t="s">
        <v>3470</v>
      </c>
      <c r="B349" s="3363"/>
      <c r="C349" s="3029">
        <f>C348+C285</f>
        <v>2352.1999999999994</v>
      </c>
      <c r="D349" s="2942" t="s">
        <v>3134</v>
      </c>
      <c r="F349" s="1631">
        <f ca="1">F285+F348</f>
        <v>2793.5400000000013</v>
      </c>
    </row>
    <row r="353" spans="3:10">
      <c r="C353" s="1631">
        <f>C119+C178+C280+C349</f>
        <v>27944.31</v>
      </c>
      <c r="F353" s="1631">
        <f ca="1">ROUND(F119+F178+F280+F349,0)</f>
        <v>106856</v>
      </c>
    </row>
    <row r="356" spans="3:10">
      <c r="F356" s="1631">
        <v>106863</v>
      </c>
    </row>
    <row r="365" spans="3:10">
      <c r="F365" s="1631">
        <f ca="1">F75+F118+F205+F248+F278</f>
        <v>100361</v>
      </c>
      <c r="H365" s="1631">
        <f ca="1">F124++F252+F285+F188</f>
        <v>2193</v>
      </c>
      <c r="J365" s="1631">
        <f ca="1">F177+F348</f>
        <v>4302.0000000000018</v>
      </c>
    </row>
  </sheetData>
  <autoFilter ref="A2:M349"/>
  <mergeCells count="23">
    <mergeCell ref="A124:B124"/>
    <mergeCell ref="A1:D1"/>
    <mergeCell ref="A75:B75"/>
    <mergeCell ref="A118:B118"/>
    <mergeCell ref="A119:B119"/>
    <mergeCell ref="A120:D120"/>
    <mergeCell ref="A280:B280"/>
    <mergeCell ref="A125:A176"/>
    <mergeCell ref="A177:B177"/>
    <mergeCell ref="A178:B178"/>
    <mergeCell ref="A179:D179"/>
    <mergeCell ref="A188:B188"/>
    <mergeCell ref="A205:B205"/>
    <mergeCell ref="A206:B206"/>
    <mergeCell ref="A248:B248"/>
    <mergeCell ref="A252:B252"/>
    <mergeCell ref="A278:B278"/>
    <mergeCell ref="A279:B279"/>
    <mergeCell ref="A281:D281"/>
    <mergeCell ref="A285:B285"/>
    <mergeCell ref="A286:A347"/>
    <mergeCell ref="A348:B348"/>
    <mergeCell ref="A349:B349"/>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47097</v>
      </c>
      <c r="C2" s="2" t="s">
        <v>133</v>
      </c>
      <c r="D2" s="242"/>
      <c r="E2" s="242"/>
      <c r="F2" s="242"/>
      <c r="G2" s="242"/>
    </row>
    <row r="3" spans="1:7" s="243" customFormat="1" ht="18" customHeight="1" thickBot="1">
      <c r="A3" s="246" t="s">
        <v>85</v>
      </c>
      <c r="B3" s="247">
        <f ca="1">ROUND(B2*10000/'数据-汇总表'!E3,0)</f>
        <v>16854</v>
      </c>
      <c r="C3" s="2" t="s">
        <v>134</v>
      </c>
      <c r="D3" s="242"/>
      <c r="E3" s="242"/>
      <c r="F3" s="242"/>
      <c r="G3" s="242"/>
    </row>
    <row r="4" spans="1:7" s="251" customFormat="1" ht="16.2">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559</v>
      </c>
      <c r="D10" s="1028">
        <f>'数据-汇总表'!E6</f>
        <v>27944.309999999998</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559</v>
      </c>
      <c r="D19" s="1032">
        <f>'数据-汇总表'!E3</f>
        <v>27944.309999999998</v>
      </c>
      <c r="E19" s="254">
        <f>'数据-取费表'!B31</f>
        <v>200</v>
      </c>
      <c r="F19" s="274"/>
      <c r="G19" s="1" t="s">
        <v>1074</v>
      </c>
    </row>
    <row r="20" spans="1:7" s="257" customFormat="1" ht="13.5" customHeight="1">
      <c r="A20" s="944" t="s">
        <v>1057</v>
      </c>
      <c r="B20" s="253" t="s">
        <v>104</v>
      </c>
      <c r="C20" s="275">
        <f>ROUND((C5+C19)*F20,0)</f>
        <v>423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3193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84</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6.4">
      <c r="A27" s="944" t="s">
        <v>787</v>
      </c>
      <c r="B27" s="287" t="s">
        <v>112</v>
      </c>
      <c r="C27" s="288">
        <f>C28</f>
        <v>4102</v>
      </c>
      <c r="D27" s="278">
        <f>C29</f>
        <v>3.8E-3</v>
      </c>
      <c r="E27" s="279" t="s">
        <v>126</v>
      </c>
      <c r="F27" s="289">
        <f>'数据-取费表'!Q16</f>
        <v>0.19</v>
      </c>
      <c r="G27" s="290" t="s">
        <v>1069</v>
      </c>
    </row>
    <row r="28" spans="1:7" s="257" customFormat="1" ht="13.5" customHeight="1">
      <c r="A28" s="947" t="s">
        <v>794</v>
      </c>
      <c r="B28" s="291" t="s">
        <v>1062</v>
      </c>
      <c r="C28" s="292">
        <f>ROUND((C5+C19+C20)*F27*'数据-取费表'!B21/'数据-取费表'!B20,0)</f>
        <v>4102</v>
      </c>
      <c r="D28" s="278"/>
      <c r="E28" s="279"/>
      <c r="F28" s="289"/>
      <c r="G28" s="290"/>
    </row>
    <row r="29" spans="1:7" s="257" customFormat="1" ht="13.5" customHeight="1">
      <c r="A29" s="947" t="s">
        <v>792</v>
      </c>
      <c r="B29" s="291" t="s">
        <v>1063</v>
      </c>
      <c r="C29" s="281">
        <f>ROUND(C21*F27*'数据-取费表'!B21/'数据-取费表'!B20,4)</f>
        <v>3.8E-3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31317</v>
      </c>
      <c r="D31" s="273"/>
      <c r="E31" s="254"/>
      <c r="F31" s="293"/>
      <c r="G31" s="277" t="s">
        <v>1070</v>
      </c>
    </row>
    <row r="32" spans="1:7" s="251" customFormat="1" ht="16.2">
      <c r="A32" s="295" t="s">
        <v>114</v>
      </c>
      <c r="B32" s="296"/>
      <c r="C32" s="296"/>
      <c r="D32" s="296"/>
      <c r="E32" s="296"/>
      <c r="F32" s="296"/>
      <c r="G32" s="297"/>
    </row>
    <row r="33" spans="1:7" s="257" customFormat="1" ht="13.5" customHeight="1">
      <c r="A33" s="298" t="s">
        <v>782</v>
      </c>
      <c r="B33" s="253" t="s">
        <v>115</v>
      </c>
      <c r="C33" s="299">
        <f>SUM(C34:C38)</f>
        <v>11537</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10505</v>
      </c>
      <c r="D34" s="260"/>
      <c r="E34" s="263"/>
      <c r="F34" s="300">
        <f>IF('数据-取费表'!B24=0,1,'数据-取费表'!N16)</f>
        <v>1</v>
      </c>
      <c r="G34" s="262" t="s">
        <v>116</v>
      </c>
    </row>
    <row r="35" spans="1:7" ht="13.5" customHeight="1">
      <c r="A35" s="947" t="s">
        <v>796</v>
      </c>
      <c r="B35" s="258" t="s">
        <v>60</v>
      </c>
      <c r="C35" s="263">
        <f>ROUND(C34*F35,0)</f>
        <v>315</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559</v>
      </c>
      <c r="D37" s="260">
        <f>'数据-汇总表'!E3</f>
        <v>27944.309999999998</v>
      </c>
      <c r="E37" s="292">
        <f>'数据-取费表'!B35</f>
        <v>200</v>
      </c>
      <c r="F37" s="302"/>
      <c r="G37" s="304" t="s">
        <v>119</v>
      </c>
    </row>
    <row r="38" spans="1:7" ht="13.5" customHeight="1">
      <c r="A38" s="947" t="s">
        <v>799</v>
      </c>
      <c r="B38" s="258" t="s">
        <v>63</v>
      </c>
      <c r="C38" s="263">
        <f>ROUND(C34*F38,0)</f>
        <v>158</v>
      </c>
      <c r="D38" s="263"/>
      <c r="E38" s="263"/>
      <c r="F38" s="302">
        <f>'数据-取费表'!B36</f>
        <v>1.4999999999999999E-2</v>
      </c>
      <c r="G38" s="262" t="s">
        <v>117</v>
      </c>
    </row>
    <row r="39" spans="1:7" s="257" customFormat="1" ht="13.5" customHeight="1">
      <c r="A39" s="944" t="s">
        <v>783</v>
      </c>
      <c r="B39" s="253" t="s">
        <v>104</v>
      </c>
      <c r="C39" s="275">
        <f>ROUND(C33*F20,0)</f>
        <v>231</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849</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832</v>
      </c>
      <c r="D42" s="281"/>
      <c r="E42" s="281"/>
      <c r="F42" s="282"/>
      <c r="G42" s="3219" t="s">
        <v>121</v>
      </c>
    </row>
    <row r="43" spans="1:7" ht="13.5" customHeight="1">
      <c r="A43" s="947" t="s">
        <v>792</v>
      </c>
      <c r="B43" s="258" t="s">
        <v>1064</v>
      </c>
      <c r="C43" s="281">
        <f ca="1">ROUND(IF('数据-取费表'!B22&lt;=1,C39*F22*'数据-取费表'!B21/2,C39*(POWER((1+F22),'数据-取费表'!B21/2)-1)),0)</f>
        <v>17</v>
      </c>
      <c r="D43" s="281"/>
      <c r="E43" s="281"/>
      <c r="F43" s="282"/>
      <c r="G43" s="3220"/>
    </row>
    <row r="44" spans="1:7" ht="13.5" customHeight="1">
      <c r="A44" s="947" t="s">
        <v>793</v>
      </c>
      <c r="B44" s="258" t="s">
        <v>1066</v>
      </c>
      <c r="C44" s="281">
        <f ca="1">ROUND(IF('数据-取费表'!B22&lt;=1,C40*F22*'数据-取费表'!B21/2,C40*(POWER((1+F22),'数据-取费表'!B21/2)-1)),4)</f>
        <v>1.4E-3</v>
      </c>
      <c r="D44" s="281"/>
      <c r="E44" s="281"/>
      <c r="F44" s="282"/>
      <c r="G44" s="3221"/>
    </row>
    <row r="45" spans="1:7" s="257" customFormat="1" ht="13.5" customHeight="1">
      <c r="A45" s="944" t="s">
        <v>786</v>
      </c>
      <c r="B45" s="287" t="s">
        <v>112</v>
      </c>
      <c r="C45" s="288">
        <f>C46</f>
        <v>2236</v>
      </c>
      <c r="D45" s="278">
        <f>C47</f>
        <v>3.8E-3</v>
      </c>
      <c r="E45" s="279" t="s">
        <v>129</v>
      </c>
      <c r="F45" s="289"/>
      <c r="G45" s="290" t="s">
        <v>1072</v>
      </c>
    </row>
    <row r="46" spans="1:7" s="257" customFormat="1" ht="13.5" customHeight="1">
      <c r="A46" s="947" t="s">
        <v>794</v>
      </c>
      <c r="B46" s="291" t="s">
        <v>1065</v>
      </c>
      <c r="C46" s="292">
        <f>ROUND((C33+C39)*F27,0)</f>
        <v>2236</v>
      </c>
      <c r="D46" s="306"/>
      <c r="E46" s="279"/>
      <c r="F46" s="289"/>
      <c r="G46" s="290"/>
    </row>
    <row r="47" spans="1:7" s="257" customFormat="1" ht="13.5" customHeight="1">
      <c r="A47" s="947" t="s">
        <v>792</v>
      </c>
      <c r="B47" s="291" t="s">
        <v>1067</v>
      </c>
      <c r="C47" s="281">
        <f>ROUND(C40*F27,4)</f>
        <v>3.8E-3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16102</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15780</v>
      </c>
      <c r="D51" s="275"/>
      <c r="E51" s="275"/>
      <c r="F51" s="307"/>
      <c r="G51" s="277" t="s">
        <v>64</v>
      </c>
    </row>
    <row r="52" spans="1:7" s="251" customFormat="1" ht="16.8" thickBot="1">
      <c r="A52" s="308" t="s">
        <v>65</v>
      </c>
      <c r="B52" s="309"/>
      <c r="C52" s="310">
        <f ca="1">C31+C51</f>
        <v>47097</v>
      </c>
      <c r="D52" s="309"/>
      <c r="E52" s="309"/>
      <c r="F52" s="309"/>
      <c r="G52" s="311"/>
    </row>
    <row r="55" spans="1:7" ht="15">
      <c r="B55" s="313" t="s">
        <v>66</v>
      </c>
      <c r="C55" s="314"/>
    </row>
    <row r="56" spans="1:7">
      <c r="B56" s="316" t="s">
        <v>67</v>
      </c>
      <c r="C56" s="317">
        <f ca="1">ROUND(C51/C52,3)</f>
        <v>0.33500000000000002</v>
      </c>
    </row>
    <row r="57" spans="1:7">
      <c r="B57" s="316" t="s">
        <v>68</v>
      </c>
      <c r="C57" s="318">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66" t="s">
        <v>156</v>
      </c>
      <c r="B1" s="3366"/>
      <c r="C1" s="3366"/>
      <c r="D1" s="3366"/>
      <c r="E1" s="3366"/>
      <c r="F1" s="336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67" t="s">
        <v>169</v>
      </c>
      <c r="B2" s="3367"/>
      <c r="C2" s="3367"/>
      <c r="D2" s="3367"/>
      <c r="E2" s="3367"/>
      <c r="F2" s="336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66" t="s">
        <v>871</v>
      </c>
      <c r="B1" s="3366"/>
    </row>
    <row r="2" spans="1:6" ht="15" thickBot="1">
      <c r="A2" s="1053"/>
      <c r="B2" s="1053"/>
    </row>
    <row r="3" spans="1:6" ht="15" thickBot="1">
      <c r="A3" s="1053"/>
      <c r="B3" s="1053"/>
      <c r="C3" s="1057" t="s">
        <v>874</v>
      </c>
      <c r="D3" s="1057" t="s">
        <v>875</v>
      </c>
      <c r="E3" s="1057" t="s">
        <v>876</v>
      </c>
      <c r="F3" s="1057" t="s">
        <v>877</v>
      </c>
    </row>
    <row r="4" spans="1:6" ht="15" thickBot="1">
      <c r="A4" s="1055" t="s">
        <v>872</v>
      </c>
      <c r="B4" s="1056" t="s">
        <v>873</v>
      </c>
      <c r="C4" s="1057"/>
      <c r="D4" s="1057"/>
      <c r="E4" s="1057"/>
      <c r="F4" s="1057"/>
    </row>
    <row r="5" spans="1:6" ht="15" thickBot="1">
      <c r="A5" s="833" t="s">
        <v>878</v>
      </c>
      <c r="B5" s="834" t="s">
        <v>879</v>
      </c>
      <c r="C5" s="1058">
        <v>8.8999999999999996E-2</v>
      </c>
      <c r="D5" s="1058">
        <v>7.3999999999999996E-2</v>
      </c>
      <c r="E5" s="1058">
        <v>7.4999999999999997E-2</v>
      </c>
      <c r="F5" s="1059">
        <v>0.1</v>
      </c>
    </row>
    <row r="6" spans="1:6" ht="15" thickBot="1">
      <c r="A6" s="833" t="s">
        <v>212</v>
      </c>
      <c r="B6" s="827" t="s">
        <v>880</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881</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882</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883</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884</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24.6" thickBot="1">
      <c r="A72" s="833" t="s">
        <v>137</v>
      </c>
      <c r="B72" s="827" t="s">
        <v>885</v>
      </c>
      <c r="C72" s="1073"/>
      <c r="D72" s="1073"/>
      <c r="E72" s="1073"/>
      <c r="F72" s="1061">
        <v>0.05</v>
      </c>
    </row>
    <row r="73" spans="1:6" ht="24.6" thickBot="1">
      <c r="A73" s="833" t="s">
        <v>137</v>
      </c>
      <c r="B73" s="827" t="s">
        <v>886</v>
      </c>
      <c r="C73" s="1073"/>
      <c r="D73" s="1073"/>
      <c r="E73" s="1073"/>
      <c r="F73" s="1061">
        <v>0.05</v>
      </c>
    </row>
    <row r="74" spans="1:6" ht="24.6" thickBot="1">
      <c r="A74" s="833" t="s">
        <v>137</v>
      </c>
      <c r="B74" s="827" t="s">
        <v>887</v>
      </c>
      <c r="C74" s="1073"/>
      <c r="D74" s="1073"/>
      <c r="E74" s="1073"/>
      <c r="F74" s="1061">
        <v>0.05</v>
      </c>
    </row>
    <row r="75" spans="1:6" ht="24.6" thickBot="1">
      <c r="A75" s="843" t="s">
        <v>137</v>
      </c>
      <c r="B75" s="839" t="s">
        <v>888</v>
      </c>
      <c r="C75" s="1070"/>
      <c r="D75" s="1070"/>
      <c r="E75" s="1070"/>
      <c r="F75" s="1063">
        <v>0.05</v>
      </c>
    </row>
    <row r="76" spans="1:6" ht="15" thickBot="1">
      <c r="A76" s="833" t="s">
        <v>523</v>
      </c>
      <c r="B76" s="834" t="s">
        <v>889</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24.6" thickBot="1">
      <c r="A102" s="833" t="s">
        <v>523</v>
      </c>
      <c r="B102" s="827" t="s">
        <v>890</v>
      </c>
      <c r="C102" s="1073"/>
      <c r="D102" s="1073"/>
      <c r="E102" s="1073"/>
      <c r="F102" s="1061">
        <v>0.05</v>
      </c>
    </row>
    <row r="103" spans="1:6" ht="24.6" thickBot="1">
      <c r="A103" s="833" t="s">
        <v>523</v>
      </c>
      <c r="B103" s="827" t="s">
        <v>891</v>
      </c>
      <c r="C103" s="1073"/>
      <c r="D103" s="1073"/>
      <c r="E103" s="1073"/>
      <c r="F103" s="1061">
        <v>0.05</v>
      </c>
    </row>
    <row r="104" spans="1:6" ht="15" thickBot="1">
      <c r="A104" s="833" t="s">
        <v>523</v>
      </c>
      <c r="B104" s="827" t="s">
        <v>892</v>
      </c>
      <c r="C104" s="1073"/>
      <c r="D104" s="1073"/>
      <c r="E104" s="1073"/>
      <c r="F104" s="1061">
        <v>0.05</v>
      </c>
    </row>
    <row r="105" spans="1:6" ht="24.6" thickBot="1">
      <c r="A105" s="833" t="s">
        <v>523</v>
      </c>
      <c r="B105" s="827" t="s">
        <v>893</v>
      </c>
      <c r="C105" s="1073"/>
      <c r="D105" s="1073"/>
      <c r="E105" s="1073"/>
      <c r="F105" s="1061">
        <v>0.05</v>
      </c>
    </row>
    <row r="106" spans="1:6" ht="24.6" thickBot="1">
      <c r="A106" s="833" t="s">
        <v>523</v>
      </c>
      <c r="B106" s="827" t="s">
        <v>894</v>
      </c>
      <c r="C106" s="1073"/>
      <c r="D106" s="1073"/>
      <c r="E106" s="1073"/>
      <c r="F106" s="1061">
        <v>0.05</v>
      </c>
    </row>
    <row r="107" spans="1:6" ht="24.6" thickBot="1">
      <c r="A107" s="833" t="s">
        <v>523</v>
      </c>
      <c r="B107" s="827" t="s">
        <v>895</v>
      </c>
      <c r="C107" s="1073"/>
      <c r="D107" s="1073"/>
      <c r="E107" s="1073"/>
      <c r="F107" s="1061">
        <v>0.05</v>
      </c>
    </row>
    <row r="108" spans="1:6" ht="24.6" thickBot="1">
      <c r="A108" s="833" t="s">
        <v>523</v>
      </c>
      <c r="B108" s="827" t="s">
        <v>896</v>
      </c>
      <c r="C108" s="1073"/>
      <c r="D108" s="1073"/>
      <c r="E108" s="1073"/>
      <c r="F108" s="1061">
        <v>0.05</v>
      </c>
    </row>
    <row r="109" spans="1:6" ht="24.6" thickBot="1">
      <c r="A109" s="843" t="s">
        <v>523</v>
      </c>
      <c r="B109" s="839" t="s">
        <v>897</v>
      </c>
      <c r="C109" s="1070"/>
      <c r="D109" s="1070"/>
      <c r="E109" s="1070"/>
      <c r="F109" s="1063">
        <v>0.05</v>
      </c>
    </row>
    <row r="110" spans="1:6" ht="15" thickBot="1">
      <c r="A110" s="833" t="s">
        <v>56</v>
      </c>
      <c r="B110" s="834" t="s">
        <v>898</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899</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900</v>
      </c>
      <c r="C138" s="1060">
        <v>0.105</v>
      </c>
      <c r="D138" s="1060">
        <v>0.125</v>
      </c>
      <c r="E138" s="1060">
        <v>0.112</v>
      </c>
      <c r="F138" s="1072"/>
    </row>
    <row r="139" spans="1:6" ht="15" thickBot="1">
      <c r="A139" s="833" t="s">
        <v>56</v>
      </c>
      <c r="B139" s="827" t="s">
        <v>901</v>
      </c>
      <c r="C139" s="1060">
        <v>0.127</v>
      </c>
      <c r="D139" s="1060">
        <v>0.127</v>
      </c>
      <c r="E139" s="1060">
        <v>0.122</v>
      </c>
      <c r="F139" s="1061">
        <v>0.13</v>
      </c>
    </row>
    <row r="140" spans="1:6" ht="15" thickBot="1">
      <c r="A140" s="833" t="s">
        <v>56</v>
      </c>
      <c r="B140" s="827" t="s">
        <v>902</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903</v>
      </c>
      <c r="C144" s="1065">
        <v>0.126</v>
      </c>
      <c r="D144" s="1065">
        <v>0.126</v>
      </c>
      <c r="E144" s="1065">
        <v>0.121</v>
      </c>
      <c r="F144" s="1072"/>
    </row>
    <row r="145" spans="1:6" ht="15" thickBot="1">
      <c r="A145" s="843" t="s">
        <v>56</v>
      </c>
      <c r="B145" s="1066" t="s">
        <v>904</v>
      </c>
      <c r="C145" s="1074"/>
      <c r="D145" s="1074"/>
      <c r="E145" s="1074"/>
      <c r="F145" s="1067">
        <v>0.05</v>
      </c>
    </row>
    <row r="146" spans="1:6" ht="24.6" thickBot="1">
      <c r="A146" s="1068" t="s">
        <v>56</v>
      </c>
      <c r="B146" s="837" t="s">
        <v>905</v>
      </c>
      <c r="C146" s="1073"/>
      <c r="D146" s="1073"/>
      <c r="E146" s="1073"/>
      <c r="F146" s="1069">
        <v>0.05</v>
      </c>
    </row>
    <row r="147" spans="1:6" ht="24.6" thickBot="1">
      <c r="A147" s="833" t="s">
        <v>56</v>
      </c>
      <c r="B147" s="827" t="s">
        <v>906</v>
      </c>
      <c r="C147" s="1073"/>
      <c r="D147" s="1073"/>
      <c r="E147" s="1073"/>
      <c r="F147" s="1061">
        <v>0.05</v>
      </c>
    </row>
    <row r="148" spans="1:6" ht="24.6" thickBot="1">
      <c r="A148" s="833" t="s">
        <v>56</v>
      </c>
      <c r="B148" s="827" t="s">
        <v>907</v>
      </c>
      <c r="C148" s="1073"/>
      <c r="D148" s="1073"/>
      <c r="E148" s="1073"/>
      <c r="F148" s="1061">
        <v>0.05</v>
      </c>
    </row>
    <row r="149" spans="1:6" ht="24.6" thickBot="1">
      <c r="A149" s="833" t="s">
        <v>56</v>
      </c>
      <c r="B149" s="827" t="s">
        <v>908</v>
      </c>
      <c r="C149" s="1073"/>
      <c r="D149" s="1073"/>
      <c r="E149" s="1073"/>
      <c r="F149" s="1061">
        <v>0.05</v>
      </c>
    </row>
    <row r="150" spans="1:6" ht="24.6" thickBot="1">
      <c r="A150" s="833" t="s">
        <v>56</v>
      </c>
      <c r="B150" s="827" t="s">
        <v>909</v>
      </c>
      <c r="C150" s="1073"/>
      <c r="D150" s="1073"/>
      <c r="E150" s="1073"/>
      <c r="F150" s="1061">
        <v>0.05</v>
      </c>
    </row>
    <row r="151" spans="1:6" ht="24.6" thickBot="1">
      <c r="A151" s="833" t="s">
        <v>56</v>
      </c>
      <c r="B151" s="827" t="s">
        <v>910</v>
      </c>
      <c r="C151" s="1073"/>
      <c r="D151" s="1073"/>
      <c r="E151" s="1073"/>
      <c r="F151" s="1061">
        <v>0.05</v>
      </c>
    </row>
    <row r="152" spans="1:6" ht="24.6" thickBot="1">
      <c r="A152" s="833" t="s">
        <v>56</v>
      </c>
      <c r="B152" s="827" t="s">
        <v>507</v>
      </c>
      <c r="C152" s="1073"/>
      <c r="D152" s="1073"/>
      <c r="E152" s="1073"/>
      <c r="F152" s="1061">
        <v>0.05</v>
      </c>
    </row>
    <row r="153" spans="1:6" ht="15" thickBot="1">
      <c r="A153" s="833" t="s">
        <v>56</v>
      </c>
      <c r="B153" s="827" t="s">
        <v>911</v>
      </c>
      <c r="C153" s="1073"/>
      <c r="D153" s="1073"/>
      <c r="E153" s="1073"/>
      <c r="F153" s="1061">
        <v>0.05</v>
      </c>
    </row>
    <row r="154" spans="1:6" ht="15" thickBot="1">
      <c r="A154" s="833" t="s">
        <v>56</v>
      </c>
      <c r="B154" s="827" t="s">
        <v>912</v>
      </c>
      <c r="C154" s="1073"/>
      <c r="D154" s="1073"/>
      <c r="E154" s="1073"/>
      <c r="F154" s="1061">
        <v>0.05</v>
      </c>
    </row>
    <row r="155" spans="1:6" ht="24.6" thickBot="1">
      <c r="A155" s="833" t="s">
        <v>56</v>
      </c>
      <c r="B155" s="827" t="s">
        <v>913</v>
      </c>
      <c r="C155" s="1073"/>
      <c r="D155" s="1073"/>
      <c r="E155" s="1073"/>
      <c r="F155" s="1061">
        <v>0.05</v>
      </c>
    </row>
    <row r="156" spans="1:6" ht="24.6" thickBot="1">
      <c r="A156" s="833" t="s">
        <v>56</v>
      </c>
      <c r="B156" s="827" t="s">
        <v>914</v>
      </c>
      <c r="C156" s="1073"/>
      <c r="D156" s="1073"/>
      <c r="E156" s="1073"/>
      <c r="F156" s="1061">
        <v>0.05</v>
      </c>
    </row>
    <row r="157" spans="1:6" ht="24.6" thickBot="1">
      <c r="A157" s="843" t="s">
        <v>56</v>
      </c>
      <c r="B157" s="839" t="s">
        <v>915</v>
      </c>
      <c r="C157" s="1070"/>
      <c r="D157" s="1070"/>
      <c r="E157" s="1070"/>
      <c r="F157" s="1063">
        <v>0.05</v>
      </c>
    </row>
    <row r="158" spans="1:6" ht="15" thickBot="1">
      <c r="A158" s="833" t="s">
        <v>526</v>
      </c>
      <c r="B158" s="834" t="s">
        <v>916</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917</v>
      </c>
      <c r="C171" s="1060">
        <v>0.127</v>
      </c>
      <c r="D171" s="1060">
        <v>0.126</v>
      </c>
      <c r="E171" s="1060">
        <v>0.126</v>
      </c>
      <c r="F171" s="1061">
        <v>0.11799999999999999</v>
      </c>
    </row>
    <row r="172" spans="1:6" ht="15" thickBot="1">
      <c r="A172" s="833" t="s">
        <v>526</v>
      </c>
      <c r="B172" s="827" t="s">
        <v>918</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919</v>
      </c>
      <c r="C174" s="1060">
        <v>0.13</v>
      </c>
      <c r="D174" s="1060">
        <v>0.13</v>
      </c>
      <c r="E174" s="1060">
        <v>0.13</v>
      </c>
      <c r="F174" s="1061">
        <v>0.13</v>
      </c>
    </row>
    <row r="175" spans="1:6" ht="15" thickBot="1">
      <c r="A175" s="833" t="s">
        <v>526</v>
      </c>
      <c r="B175" s="827" t="s">
        <v>920</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921</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922</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923</v>
      </c>
      <c r="C185" s="1060">
        <v>0.127</v>
      </c>
      <c r="D185" s="1060">
        <v>0.127</v>
      </c>
      <c r="E185" s="1060">
        <v>0.128</v>
      </c>
      <c r="F185" s="1061">
        <v>0.13</v>
      </c>
    </row>
    <row r="186" spans="1:6" ht="24.6" thickBot="1">
      <c r="A186" s="833" t="s">
        <v>526</v>
      </c>
      <c r="B186" s="827" t="s">
        <v>924</v>
      </c>
      <c r="C186" s="1073"/>
      <c r="D186" s="1073"/>
      <c r="E186" s="1073"/>
      <c r="F186" s="1061">
        <v>0.05</v>
      </c>
    </row>
    <row r="187" spans="1:6" ht="15" thickBot="1">
      <c r="A187" s="833" t="s">
        <v>526</v>
      </c>
      <c r="B187" s="827" t="s">
        <v>925</v>
      </c>
      <c r="C187" s="1073"/>
      <c r="D187" s="1073"/>
      <c r="E187" s="1073"/>
      <c r="F187" s="1061">
        <v>0.05</v>
      </c>
    </row>
    <row r="188" spans="1:6" ht="24.6" thickBot="1">
      <c r="A188" s="833" t="s">
        <v>526</v>
      </c>
      <c r="B188" s="827" t="s">
        <v>926</v>
      </c>
      <c r="C188" s="1073"/>
      <c r="D188" s="1073"/>
      <c r="E188" s="1073"/>
      <c r="F188" s="1061">
        <v>0.05</v>
      </c>
    </row>
    <row r="189" spans="1:6" ht="24.6" thickBot="1">
      <c r="A189" s="833" t="s">
        <v>526</v>
      </c>
      <c r="B189" s="827" t="s">
        <v>927</v>
      </c>
      <c r="C189" s="1073"/>
      <c r="D189" s="1073"/>
      <c r="E189" s="1073"/>
      <c r="F189" s="1061">
        <v>0.05</v>
      </c>
    </row>
    <row r="190" spans="1:6" ht="24.6" thickBot="1">
      <c r="A190" s="833" t="s">
        <v>526</v>
      </c>
      <c r="B190" s="827" t="s">
        <v>928</v>
      </c>
      <c r="C190" s="1073"/>
      <c r="D190" s="1073"/>
      <c r="E190" s="1073"/>
      <c r="F190" s="1061">
        <v>0.05</v>
      </c>
    </row>
    <row r="191" spans="1:6" ht="24.6" thickBot="1">
      <c r="A191" s="833" t="s">
        <v>526</v>
      </c>
      <c r="B191" s="827" t="s">
        <v>929</v>
      </c>
      <c r="C191" s="1073"/>
      <c r="D191" s="1073"/>
      <c r="E191" s="1073"/>
      <c r="F191" s="1061">
        <v>0.05</v>
      </c>
    </row>
    <row r="192" spans="1:6" ht="24.6" thickBot="1">
      <c r="A192" s="833" t="s">
        <v>526</v>
      </c>
      <c r="B192" s="827" t="s">
        <v>930</v>
      </c>
      <c r="C192" s="1073"/>
      <c r="D192" s="1073"/>
      <c r="E192" s="1073"/>
      <c r="F192" s="1061">
        <v>0.05</v>
      </c>
    </row>
    <row r="193" spans="1:6" ht="24.6" thickBot="1">
      <c r="A193" s="833" t="s">
        <v>526</v>
      </c>
      <c r="B193" s="827" t="s">
        <v>931</v>
      </c>
      <c r="C193" s="1073"/>
      <c r="D193" s="1073"/>
      <c r="E193" s="1073"/>
      <c r="F193" s="1061">
        <v>0.05</v>
      </c>
    </row>
    <row r="194" spans="1:6" ht="24.6" thickBot="1">
      <c r="A194" s="833" t="s">
        <v>526</v>
      </c>
      <c r="B194" s="827" t="s">
        <v>932</v>
      </c>
      <c r="C194" s="1073"/>
      <c r="D194" s="1073"/>
      <c r="E194" s="1073"/>
      <c r="F194" s="1061">
        <v>0.05</v>
      </c>
    </row>
    <row r="195" spans="1:6" ht="15" thickBot="1">
      <c r="A195" s="833" t="s">
        <v>526</v>
      </c>
      <c r="B195" s="827" t="s">
        <v>933</v>
      </c>
      <c r="C195" s="1073"/>
      <c r="D195" s="1073"/>
      <c r="E195" s="1073"/>
      <c r="F195" s="1061">
        <v>0.05</v>
      </c>
    </row>
    <row r="196" spans="1:6" ht="24.6" thickBot="1">
      <c r="A196" s="833" t="s">
        <v>526</v>
      </c>
      <c r="B196" s="827" t="s">
        <v>934</v>
      </c>
      <c r="C196" s="1073"/>
      <c r="D196" s="1073"/>
      <c r="E196" s="1073"/>
      <c r="F196" s="1061">
        <v>0.05</v>
      </c>
    </row>
    <row r="197" spans="1:6" ht="24.6" thickBot="1">
      <c r="A197" s="833" t="s">
        <v>526</v>
      </c>
      <c r="B197" s="827" t="s">
        <v>935</v>
      </c>
      <c r="C197" s="1073"/>
      <c r="D197" s="1073"/>
      <c r="E197" s="1073"/>
      <c r="F197" s="1061">
        <v>0.05</v>
      </c>
    </row>
    <row r="198" spans="1:6" ht="24.6" thickBot="1">
      <c r="A198" s="833" t="s">
        <v>526</v>
      </c>
      <c r="B198" s="827" t="s">
        <v>936</v>
      </c>
      <c r="C198" s="1073"/>
      <c r="D198" s="1073"/>
      <c r="E198" s="1073"/>
      <c r="F198" s="1061">
        <v>0.05</v>
      </c>
    </row>
    <row r="199" spans="1:6" ht="24.6" thickBot="1">
      <c r="A199" s="833" t="s">
        <v>526</v>
      </c>
      <c r="B199" s="827" t="s">
        <v>937</v>
      </c>
      <c r="C199" s="1073"/>
      <c r="D199" s="1073"/>
      <c r="E199" s="1073"/>
      <c r="F199" s="1061">
        <v>0.05</v>
      </c>
    </row>
    <row r="200" spans="1:6" ht="24.6" thickBot="1">
      <c r="A200" s="833" t="s">
        <v>526</v>
      </c>
      <c r="B200" s="827" t="s">
        <v>938</v>
      </c>
      <c r="C200" s="1073"/>
      <c r="D200" s="1073"/>
      <c r="E200" s="1073"/>
      <c r="F200" s="1061">
        <v>0.05</v>
      </c>
    </row>
    <row r="201" spans="1:6" ht="24.6" thickBot="1">
      <c r="A201" s="833" t="s">
        <v>526</v>
      </c>
      <c r="B201" s="827" t="s">
        <v>939</v>
      </c>
      <c r="C201" s="1073"/>
      <c r="D201" s="1073"/>
      <c r="E201" s="1073"/>
      <c r="F201" s="1061">
        <v>0.05</v>
      </c>
    </row>
    <row r="202" spans="1:6" ht="24.6" thickBot="1">
      <c r="A202" s="833" t="s">
        <v>526</v>
      </c>
      <c r="B202" s="827" t="s">
        <v>940</v>
      </c>
      <c r="C202" s="1073"/>
      <c r="D202" s="1073"/>
      <c r="E202" s="1073"/>
      <c r="F202" s="1061">
        <v>0.05</v>
      </c>
    </row>
    <row r="203" spans="1:6" ht="24.6" thickBot="1">
      <c r="A203" s="833" t="s">
        <v>526</v>
      </c>
      <c r="B203" s="827" t="s">
        <v>941</v>
      </c>
      <c r="C203" s="1073"/>
      <c r="D203" s="1073"/>
      <c r="E203" s="1073"/>
      <c r="F203" s="1061">
        <v>0.05</v>
      </c>
    </row>
    <row r="204" spans="1:6" ht="15" thickBot="1">
      <c r="A204" s="833" t="s">
        <v>526</v>
      </c>
      <c r="B204" s="827" t="s">
        <v>942</v>
      </c>
      <c r="C204" s="1073"/>
      <c r="D204" s="1073"/>
      <c r="E204" s="1073"/>
      <c r="F204" s="1061">
        <v>0.05</v>
      </c>
    </row>
    <row r="205" spans="1:6" ht="15" thickBot="1">
      <c r="A205" s="843" t="s">
        <v>526</v>
      </c>
      <c r="B205" s="839" t="s">
        <v>943</v>
      </c>
      <c r="C205" s="1070"/>
      <c r="D205" s="1070"/>
      <c r="E205" s="1070"/>
      <c r="F205" s="1063">
        <v>0.05</v>
      </c>
    </row>
    <row r="206" spans="1:6" ht="15" thickBot="1">
      <c r="A206" s="833" t="s">
        <v>528</v>
      </c>
      <c r="B206" s="834" t="s">
        <v>944</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945</v>
      </c>
      <c r="C210" s="1060">
        <v>0.15</v>
      </c>
      <c r="D210" s="1060">
        <v>0.15</v>
      </c>
      <c r="E210" s="1060">
        <v>0.15</v>
      </c>
      <c r="F210" s="1061">
        <v>0.13800000000000001</v>
      </c>
    </row>
    <row r="211" spans="1:6" ht="15" thickBot="1">
      <c r="A211" s="833" t="s">
        <v>528</v>
      </c>
      <c r="B211" s="827" t="s">
        <v>946</v>
      </c>
      <c r="C211" s="1060">
        <v>0.13700000000000001</v>
      </c>
      <c r="D211" s="1060">
        <v>0.13500000000000001</v>
      </c>
      <c r="E211" s="1060">
        <v>0.13600000000000001</v>
      </c>
      <c r="F211" s="1061">
        <v>0.1</v>
      </c>
    </row>
    <row r="212" spans="1:6" ht="15" thickBot="1">
      <c r="A212" s="833" t="s">
        <v>528</v>
      </c>
      <c r="B212" s="827" t="s">
        <v>947</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948</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949</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950</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951</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952</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953</v>
      </c>
      <c r="C231" s="1060">
        <v>0.128</v>
      </c>
      <c r="D231" s="1060">
        <v>0.125</v>
      </c>
      <c r="E231" s="1060">
        <v>0.13200000000000001</v>
      </c>
      <c r="F231" s="1072"/>
    </row>
    <row r="232" spans="1:6" ht="15" thickBot="1">
      <c r="A232" s="833" t="s">
        <v>528</v>
      </c>
      <c r="B232" s="827" t="s">
        <v>954</v>
      </c>
      <c r="C232" s="1060">
        <v>0.14499999999999999</v>
      </c>
      <c r="D232" s="1060">
        <v>0.14399999999999999</v>
      </c>
      <c r="E232" s="1060">
        <v>0.14599999999999999</v>
      </c>
      <c r="F232" s="1061">
        <v>0.13800000000000001</v>
      </c>
    </row>
    <row r="233" spans="1:6" ht="15" thickBot="1">
      <c r="A233" s="833" t="s">
        <v>528</v>
      </c>
      <c r="B233" s="827" t="s">
        <v>955</v>
      </c>
      <c r="C233" s="1060">
        <v>0.14499999999999999</v>
      </c>
      <c r="D233" s="1060">
        <v>0.14299999999999999</v>
      </c>
      <c r="E233" s="1060">
        <v>0.14199999999999999</v>
      </c>
      <c r="F233" s="1072"/>
    </row>
    <row r="234" spans="1:6" ht="15" thickBot="1">
      <c r="A234" s="833" t="s">
        <v>528</v>
      </c>
      <c r="B234" s="827" t="s">
        <v>956</v>
      </c>
      <c r="C234" s="1060">
        <v>0.14000000000000001</v>
      </c>
      <c r="D234" s="1060">
        <v>0.14000000000000001</v>
      </c>
      <c r="E234" s="1060">
        <v>0.14399999999999999</v>
      </c>
      <c r="F234" s="1072"/>
    </row>
    <row r="235" spans="1:6" ht="15" thickBot="1">
      <c r="A235" s="833" t="s">
        <v>528</v>
      </c>
      <c r="B235" s="827" t="s">
        <v>957</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4.6" thickBot="1">
      <c r="A237" s="833" t="s">
        <v>528</v>
      </c>
      <c r="B237" s="827" t="s">
        <v>958</v>
      </c>
      <c r="C237" s="1073"/>
      <c r="D237" s="1073"/>
      <c r="E237" s="1073"/>
      <c r="F237" s="1061">
        <v>0.05</v>
      </c>
    </row>
    <row r="238" spans="1:6" ht="24.6" thickBot="1">
      <c r="A238" s="833" t="s">
        <v>528</v>
      </c>
      <c r="B238" s="827" t="s">
        <v>959</v>
      </c>
      <c r="C238" s="1073"/>
      <c r="D238" s="1073"/>
      <c r="E238" s="1073"/>
      <c r="F238" s="1061">
        <v>0.05</v>
      </c>
    </row>
    <row r="239" spans="1:6" ht="24.6" thickBot="1">
      <c r="A239" s="833" t="s">
        <v>528</v>
      </c>
      <c r="B239" s="827" t="s">
        <v>960</v>
      </c>
      <c r="C239" s="1073"/>
      <c r="D239" s="1073"/>
      <c r="E239" s="1073"/>
      <c r="F239" s="1061">
        <v>0.05</v>
      </c>
    </row>
    <row r="240" spans="1:6" ht="24.6" thickBot="1">
      <c r="A240" s="833" t="s">
        <v>528</v>
      </c>
      <c r="B240" s="827" t="s">
        <v>961</v>
      </c>
      <c r="C240" s="1073"/>
      <c r="D240" s="1073"/>
      <c r="E240" s="1073"/>
      <c r="F240" s="1061">
        <v>0.05</v>
      </c>
    </row>
    <row r="241" spans="1:6" ht="24.6" thickBot="1">
      <c r="A241" s="833" t="s">
        <v>528</v>
      </c>
      <c r="B241" s="827" t="s">
        <v>962</v>
      </c>
      <c r="C241" s="1073"/>
      <c r="D241" s="1073"/>
      <c r="E241" s="1073"/>
      <c r="F241" s="1061">
        <v>0.05</v>
      </c>
    </row>
    <row r="242" spans="1:6" ht="24.6" thickBot="1">
      <c r="A242" s="833" t="s">
        <v>528</v>
      </c>
      <c r="B242" s="827" t="s">
        <v>963</v>
      </c>
      <c r="C242" s="1073"/>
      <c r="D242" s="1073"/>
      <c r="E242" s="1073"/>
      <c r="F242" s="1061">
        <v>0.05</v>
      </c>
    </row>
    <row r="243" spans="1:6" ht="24.6" thickBot="1">
      <c r="A243" s="833" t="s">
        <v>528</v>
      </c>
      <c r="B243" s="827" t="s">
        <v>964</v>
      </c>
      <c r="C243" s="1073"/>
      <c r="D243" s="1073"/>
      <c r="E243" s="1073"/>
      <c r="F243" s="1061">
        <v>0.05</v>
      </c>
    </row>
    <row r="244" spans="1:6" ht="24.6" thickBot="1">
      <c r="A244" s="843" t="s">
        <v>528</v>
      </c>
      <c r="B244" s="839" t="s">
        <v>965</v>
      </c>
      <c r="C244" s="1070"/>
      <c r="D244" s="1070"/>
      <c r="E244" s="1070"/>
      <c r="F244" s="1063">
        <v>0.05</v>
      </c>
    </row>
    <row r="245" spans="1:6" ht="15" thickBot="1">
      <c r="A245" s="833" t="s">
        <v>530</v>
      </c>
      <c r="B245" s="834" t="s">
        <v>966</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967</v>
      </c>
      <c r="C247" s="1060">
        <v>0.15</v>
      </c>
      <c r="D247" s="1060">
        <v>0.15</v>
      </c>
      <c r="E247" s="1060">
        <v>0.15</v>
      </c>
      <c r="F247" s="1061">
        <v>0.15</v>
      </c>
    </row>
    <row r="248" spans="1:6" ht="15" thickBot="1">
      <c r="A248" s="833" t="s">
        <v>530</v>
      </c>
      <c r="B248" s="827" t="s">
        <v>968</v>
      </c>
      <c r="C248" s="1060">
        <v>0.15</v>
      </c>
      <c r="D248" s="1060">
        <v>0.15</v>
      </c>
      <c r="E248" s="1060">
        <v>0.15</v>
      </c>
      <c r="F248" s="1061">
        <v>0.14000000000000001</v>
      </c>
    </row>
    <row r="249" spans="1:6" ht="15" thickBot="1">
      <c r="A249" s="833" t="s">
        <v>530</v>
      </c>
      <c r="B249" s="827" t="s">
        <v>969</v>
      </c>
      <c r="C249" s="1060">
        <v>0.15</v>
      </c>
      <c r="D249" s="1060">
        <v>0.14899999999999999</v>
      </c>
      <c r="E249" s="1060">
        <v>0.15</v>
      </c>
      <c r="F249" s="1061">
        <v>0.1</v>
      </c>
    </row>
    <row r="250" spans="1:6" ht="15" thickBot="1">
      <c r="A250" s="833" t="s">
        <v>530</v>
      </c>
      <c r="B250" s="827" t="s">
        <v>970</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971</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972</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973</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974</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975</v>
      </c>
      <c r="C273" s="1060">
        <v>0.14199999999999999</v>
      </c>
      <c r="D273" s="1060">
        <v>0.14299999999999999</v>
      </c>
      <c r="E273" s="1060">
        <v>0.15</v>
      </c>
      <c r="F273" s="1061">
        <v>0.1</v>
      </c>
    </row>
    <row r="274" spans="1:6" ht="15" thickBot="1">
      <c r="A274" s="833" t="s">
        <v>530</v>
      </c>
      <c r="B274" s="827" t="s">
        <v>976</v>
      </c>
      <c r="C274" s="1060">
        <v>0.14799999999999999</v>
      </c>
      <c r="D274" s="1060">
        <v>0.14799999999999999</v>
      </c>
      <c r="E274" s="1060">
        <v>0.15</v>
      </c>
      <c r="F274" s="1061">
        <v>6.7000000000000004E-2</v>
      </c>
    </row>
    <row r="275" spans="1:6" ht="15" thickBot="1">
      <c r="A275" s="833" t="s">
        <v>530</v>
      </c>
      <c r="B275" s="827" t="s">
        <v>977</v>
      </c>
      <c r="C275" s="1060">
        <v>0.15</v>
      </c>
      <c r="D275" s="1060">
        <v>0.15</v>
      </c>
      <c r="E275" s="1060">
        <v>0.15</v>
      </c>
      <c r="F275" s="1061">
        <v>0.15</v>
      </c>
    </row>
    <row r="276" spans="1:6" ht="15" thickBot="1">
      <c r="A276" s="833" t="s">
        <v>530</v>
      </c>
      <c r="B276" s="827" t="s">
        <v>978</v>
      </c>
      <c r="C276" s="1060">
        <v>0.14499999999999999</v>
      </c>
      <c r="D276" s="1060">
        <v>0.14299999999999999</v>
      </c>
      <c r="E276" s="1060">
        <v>0.15</v>
      </c>
      <c r="F276" s="1061">
        <v>5.8999999999999997E-2</v>
      </c>
    </row>
    <row r="277" spans="1:6" ht="15" thickBot="1">
      <c r="A277" s="833" t="s">
        <v>530</v>
      </c>
      <c r="B277" s="827" t="s">
        <v>979</v>
      </c>
      <c r="C277" s="1060">
        <v>0.15</v>
      </c>
      <c r="D277" s="1060">
        <v>0.15</v>
      </c>
      <c r="E277" s="1060">
        <v>0.15</v>
      </c>
      <c r="F277" s="1061">
        <v>0.121</v>
      </c>
    </row>
    <row r="278" spans="1:6" ht="15" thickBot="1">
      <c r="A278" s="833" t="s">
        <v>530</v>
      </c>
      <c r="B278" s="827" t="s">
        <v>980</v>
      </c>
      <c r="C278" s="1060">
        <v>0.15</v>
      </c>
      <c r="D278" s="1060">
        <v>0.15</v>
      </c>
      <c r="E278" s="1060">
        <v>0.15</v>
      </c>
      <c r="F278" s="1061">
        <v>0.13800000000000001</v>
      </c>
    </row>
    <row r="279" spans="1:6" ht="24.6" thickBot="1">
      <c r="A279" s="833" t="s">
        <v>530</v>
      </c>
      <c r="B279" s="827" t="s">
        <v>981</v>
      </c>
      <c r="C279" s="1073"/>
      <c r="D279" s="1073"/>
      <c r="E279" s="1073"/>
      <c r="F279" s="1061">
        <v>0.05</v>
      </c>
    </row>
    <row r="280" spans="1:6" ht="24.6" thickBot="1">
      <c r="A280" s="833" t="s">
        <v>530</v>
      </c>
      <c r="B280" s="827" t="s">
        <v>982</v>
      </c>
      <c r="C280" s="1073"/>
      <c r="D280" s="1073"/>
      <c r="E280" s="1073"/>
      <c r="F280" s="1061">
        <v>0.05</v>
      </c>
    </row>
    <row r="281" spans="1:6" ht="24.6" thickBot="1">
      <c r="A281" s="833" t="s">
        <v>530</v>
      </c>
      <c r="B281" s="827" t="s">
        <v>983</v>
      </c>
      <c r="C281" s="1073"/>
      <c r="D281" s="1073"/>
      <c r="E281" s="1073"/>
      <c r="F281" s="1061">
        <v>0.05</v>
      </c>
    </row>
    <row r="282" spans="1:6" ht="24.6" thickBot="1">
      <c r="A282" s="833" t="s">
        <v>530</v>
      </c>
      <c r="B282" s="827" t="s">
        <v>984</v>
      </c>
      <c r="C282" s="1073"/>
      <c r="D282" s="1073"/>
      <c r="E282" s="1073"/>
      <c r="F282" s="1061">
        <v>0.05</v>
      </c>
    </row>
    <row r="283" spans="1:6" ht="24.6" thickBot="1">
      <c r="A283" s="833" t="s">
        <v>530</v>
      </c>
      <c r="B283" s="827" t="s">
        <v>985</v>
      </c>
      <c r="C283" s="1073"/>
      <c r="D283" s="1073"/>
      <c r="E283" s="1073"/>
      <c r="F283" s="1061">
        <v>0.05</v>
      </c>
    </row>
    <row r="284" spans="1:6" ht="24.6" thickBot="1">
      <c r="A284" s="833" t="s">
        <v>530</v>
      </c>
      <c r="B284" s="827" t="s">
        <v>986</v>
      </c>
      <c r="C284" s="1073"/>
      <c r="D284" s="1073"/>
      <c r="E284" s="1073"/>
      <c r="F284" s="1061">
        <v>0.05</v>
      </c>
    </row>
    <row r="285" spans="1:6" ht="24.6" thickBot="1">
      <c r="A285" s="833" t="s">
        <v>530</v>
      </c>
      <c r="B285" s="827" t="s">
        <v>987</v>
      </c>
      <c r="C285" s="1073"/>
      <c r="D285" s="1073"/>
      <c r="E285" s="1073"/>
      <c r="F285" s="1061">
        <v>0.05</v>
      </c>
    </row>
    <row r="286" spans="1:6" ht="24.6" thickBot="1">
      <c r="A286" s="833" t="s">
        <v>530</v>
      </c>
      <c r="B286" s="827" t="s">
        <v>988</v>
      </c>
      <c r="C286" s="1073"/>
      <c r="D286" s="1073"/>
      <c r="E286" s="1073"/>
      <c r="F286" s="1061">
        <v>0.05</v>
      </c>
    </row>
    <row r="287" spans="1:6" ht="24.6" thickBot="1">
      <c r="A287" s="833" t="s">
        <v>530</v>
      </c>
      <c r="B287" s="827" t="s">
        <v>989</v>
      </c>
      <c r="C287" s="1073"/>
      <c r="D287" s="1073"/>
      <c r="E287" s="1073"/>
      <c r="F287" s="1061">
        <v>0.05</v>
      </c>
    </row>
    <row r="288" spans="1:6" ht="24.6" thickBot="1">
      <c r="A288" s="833" t="s">
        <v>530</v>
      </c>
      <c r="B288" s="827" t="s">
        <v>990</v>
      </c>
      <c r="C288" s="1073"/>
      <c r="D288" s="1073"/>
      <c r="E288" s="1073"/>
      <c r="F288" s="1061">
        <v>0.05</v>
      </c>
    </row>
    <row r="289" spans="1:6" ht="24.6" thickBot="1">
      <c r="A289" s="843" t="s">
        <v>530</v>
      </c>
      <c r="B289" s="839" t="s">
        <v>991</v>
      </c>
      <c r="C289" s="1070"/>
      <c r="D289" s="1070"/>
      <c r="E289" s="1070"/>
      <c r="F289" s="1063">
        <v>0.05</v>
      </c>
    </row>
    <row r="290" spans="1:6" ht="15" thickBot="1">
      <c r="A290" s="833" t="s">
        <v>534</v>
      </c>
      <c r="B290" s="834" t="s">
        <v>992</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993</v>
      </c>
      <c r="C292" s="1060">
        <v>0.15</v>
      </c>
      <c r="D292" s="1060">
        <v>0.15</v>
      </c>
      <c r="E292" s="1060">
        <v>0.15</v>
      </c>
      <c r="F292" s="1061">
        <v>0.14699999999999999</v>
      </c>
    </row>
    <row r="293" spans="1:6" ht="15" thickBot="1">
      <c r="A293" s="833" t="s">
        <v>534</v>
      </c>
      <c r="B293" s="827" t="s">
        <v>994</v>
      </c>
      <c r="C293" s="1073"/>
      <c r="D293" s="1073"/>
      <c r="E293" s="1073"/>
      <c r="F293" s="1061">
        <v>0.1</v>
      </c>
    </row>
    <row r="294" spans="1:6" ht="15" thickBot="1">
      <c r="A294" s="833" t="s">
        <v>534</v>
      </c>
      <c r="B294" s="827" t="s">
        <v>995</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996</v>
      </c>
      <c r="C296" s="1060">
        <v>0.15</v>
      </c>
      <c r="D296" s="1060">
        <v>0.15</v>
      </c>
      <c r="E296" s="1060">
        <v>0.15</v>
      </c>
      <c r="F296" s="1061">
        <v>0.15</v>
      </c>
    </row>
    <row r="297" spans="1:6" ht="15" thickBot="1">
      <c r="A297" s="833" t="s">
        <v>534</v>
      </c>
      <c r="B297" s="827" t="s">
        <v>997</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998</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999</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1000</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1001</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1002</v>
      </c>
      <c r="C310" s="1060">
        <v>0.15</v>
      </c>
      <c r="D310" s="1060">
        <v>0.15</v>
      </c>
      <c r="E310" s="1060">
        <v>0.15</v>
      </c>
      <c r="F310" s="1061">
        <v>0.13700000000000001</v>
      </c>
    </row>
    <row r="311" spans="1:6" ht="15" thickBot="1">
      <c r="A311" s="833" t="s">
        <v>534</v>
      </c>
      <c r="B311" s="827" t="s">
        <v>1003</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1004</v>
      </c>
      <c r="C313" s="1060">
        <v>0.15</v>
      </c>
      <c r="D313" s="1060">
        <v>0.15</v>
      </c>
      <c r="E313" s="1060">
        <v>0.15</v>
      </c>
      <c r="F313" s="1061">
        <v>0.15</v>
      </c>
    </row>
    <row r="314" spans="1:6" ht="24.6" thickBot="1">
      <c r="A314" s="833" t="s">
        <v>534</v>
      </c>
      <c r="B314" s="827" t="s">
        <v>1005</v>
      </c>
      <c r="C314" s="1073"/>
      <c r="D314" s="1073"/>
      <c r="E314" s="1073"/>
      <c r="F314" s="1061">
        <v>0.05</v>
      </c>
    </row>
    <row r="315" spans="1:6" ht="24.6" thickBot="1">
      <c r="A315" s="833" t="s">
        <v>534</v>
      </c>
      <c r="B315" s="827" t="s">
        <v>1006</v>
      </c>
      <c r="C315" s="1073"/>
      <c r="D315" s="1073"/>
      <c r="E315" s="1073"/>
      <c r="F315" s="1061">
        <v>0.05</v>
      </c>
    </row>
    <row r="316" spans="1:6" ht="24.6" thickBot="1">
      <c r="A316" s="843" t="s">
        <v>534</v>
      </c>
      <c r="B316" s="839" t="s">
        <v>1007</v>
      </c>
      <c r="C316" s="1070"/>
      <c r="D316" s="1070"/>
      <c r="E316" s="1070"/>
      <c r="F316" s="1063">
        <v>0.05</v>
      </c>
    </row>
    <row r="317" spans="1:6" ht="15" thickBot="1">
      <c r="A317" s="833" t="s">
        <v>1008</v>
      </c>
      <c r="B317" s="834" t="s">
        <v>1009</v>
      </c>
      <c r="C317" s="1058">
        <v>0.15</v>
      </c>
      <c r="D317" s="1058">
        <v>0.15</v>
      </c>
      <c r="E317" s="1058">
        <v>0.15</v>
      </c>
      <c r="F317" s="1059">
        <v>0.15</v>
      </c>
    </row>
    <row r="318" spans="1:6" ht="15" thickBot="1">
      <c r="A318" s="833" t="s">
        <v>1008</v>
      </c>
      <c r="B318" s="827" t="s">
        <v>1010</v>
      </c>
      <c r="C318" s="1060">
        <v>0.107</v>
      </c>
      <c r="D318" s="1060">
        <v>0.11</v>
      </c>
      <c r="E318" s="1060">
        <v>0.112</v>
      </c>
      <c r="F318" s="1072"/>
    </row>
    <row r="319" spans="1:6" ht="15" thickBot="1">
      <c r="A319" s="833" t="s">
        <v>1008</v>
      </c>
      <c r="B319" s="827" t="s">
        <v>1011</v>
      </c>
      <c r="C319" s="1060">
        <v>0.15</v>
      </c>
      <c r="D319" s="1060">
        <v>0.15</v>
      </c>
      <c r="E319" s="1060">
        <v>0.15</v>
      </c>
      <c r="F319" s="1061">
        <v>0.15</v>
      </c>
    </row>
    <row r="320" spans="1:6" ht="15" thickBot="1">
      <c r="A320" s="833" t="s">
        <v>1008</v>
      </c>
      <c r="B320" s="827" t="s">
        <v>223</v>
      </c>
      <c r="C320" s="1060">
        <v>0.15</v>
      </c>
      <c r="D320" s="1060">
        <v>0.15</v>
      </c>
      <c r="E320" s="1060">
        <v>0.15</v>
      </c>
      <c r="F320" s="1072"/>
    </row>
    <row r="321" spans="1:6" ht="15" thickBot="1">
      <c r="A321" s="833" t="s">
        <v>1008</v>
      </c>
      <c r="B321" s="827" t="s">
        <v>1012</v>
      </c>
      <c r="C321" s="1060">
        <v>0.15</v>
      </c>
      <c r="D321" s="1060">
        <v>0.15</v>
      </c>
      <c r="E321" s="1060">
        <v>0.15</v>
      </c>
      <c r="F321" s="1072"/>
    </row>
    <row r="322" spans="1:6" ht="15" thickBot="1">
      <c r="A322" s="833" t="s">
        <v>1008</v>
      </c>
      <c r="B322" s="827" t="s">
        <v>1013</v>
      </c>
      <c r="C322" s="1060">
        <v>0.15</v>
      </c>
      <c r="D322" s="1060">
        <v>0.15</v>
      </c>
      <c r="E322" s="1060">
        <v>0.15</v>
      </c>
      <c r="F322" s="1061">
        <v>0.15</v>
      </c>
    </row>
    <row r="323" spans="1:6" ht="15" thickBot="1">
      <c r="A323" s="833" t="s">
        <v>1008</v>
      </c>
      <c r="B323" s="827" t="s">
        <v>1014</v>
      </c>
      <c r="C323" s="1060">
        <v>0.15</v>
      </c>
      <c r="D323" s="1060">
        <v>0.15</v>
      </c>
      <c r="E323" s="1060">
        <v>0.15</v>
      </c>
      <c r="F323" s="1072"/>
    </row>
    <row r="324" spans="1:6" ht="15" thickBot="1">
      <c r="A324" s="833" t="s">
        <v>1008</v>
      </c>
      <c r="B324" s="827" t="s">
        <v>1015</v>
      </c>
      <c r="C324" s="1060">
        <v>0.15</v>
      </c>
      <c r="D324" s="1060">
        <v>0.15</v>
      </c>
      <c r="E324" s="1060">
        <v>0.15</v>
      </c>
      <c r="F324" s="1072"/>
    </row>
    <row r="325" spans="1:6" ht="15" thickBot="1">
      <c r="A325" s="833" t="s">
        <v>1008</v>
      </c>
      <c r="B325" s="827" t="s">
        <v>1016</v>
      </c>
      <c r="C325" s="1060">
        <v>0.15</v>
      </c>
      <c r="D325" s="1060">
        <v>0.15</v>
      </c>
      <c r="E325" s="1060">
        <v>0.15</v>
      </c>
      <c r="F325" s="1061">
        <v>0.14699999999999999</v>
      </c>
    </row>
    <row r="326" spans="1:6" ht="15" thickBot="1">
      <c r="A326" s="833" t="s">
        <v>1008</v>
      </c>
      <c r="B326" s="827" t="s">
        <v>290</v>
      </c>
      <c r="C326" s="1060">
        <v>0.15</v>
      </c>
      <c r="D326" s="1060">
        <v>0.15</v>
      </c>
      <c r="E326" s="1060">
        <v>0.15</v>
      </c>
      <c r="F326" s="1072"/>
    </row>
    <row r="327" spans="1:6" ht="15" thickBot="1">
      <c r="A327" s="833" t="s">
        <v>1008</v>
      </c>
      <c r="B327" s="827" t="s">
        <v>1017</v>
      </c>
      <c r="C327" s="1060">
        <v>0.15</v>
      </c>
      <c r="D327" s="1060">
        <v>0.15</v>
      </c>
      <c r="E327" s="1060">
        <v>0.15</v>
      </c>
      <c r="F327" s="1061">
        <v>0.15</v>
      </c>
    </row>
    <row r="328" spans="1:6" ht="15" thickBot="1">
      <c r="A328" s="833" t="s">
        <v>1008</v>
      </c>
      <c r="B328" s="827" t="s">
        <v>310</v>
      </c>
      <c r="C328" s="1060">
        <v>0.15</v>
      </c>
      <c r="D328" s="1060">
        <v>0.15</v>
      </c>
      <c r="E328" s="1060">
        <v>0.15</v>
      </c>
      <c r="F328" s="1061">
        <v>0.14099999999999999</v>
      </c>
    </row>
    <row r="329" spans="1:6" ht="15" thickBot="1">
      <c r="A329" s="833" t="s">
        <v>1008</v>
      </c>
      <c r="B329" s="827" t="s">
        <v>320</v>
      </c>
      <c r="C329" s="1060">
        <v>0.15</v>
      </c>
      <c r="D329" s="1060">
        <v>0.15</v>
      </c>
      <c r="E329" s="1060">
        <v>0.15</v>
      </c>
      <c r="F329" s="1061">
        <v>0.15</v>
      </c>
    </row>
    <row r="330" spans="1:6" ht="15" thickBot="1">
      <c r="A330" s="833" t="s">
        <v>1008</v>
      </c>
      <c r="B330" s="827" t="s">
        <v>331</v>
      </c>
      <c r="C330" s="1060">
        <v>0.15</v>
      </c>
      <c r="D330" s="1060">
        <v>0.15</v>
      </c>
      <c r="E330" s="1060">
        <v>0.15</v>
      </c>
      <c r="F330" s="1072"/>
    </row>
    <row r="331" spans="1:6" ht="15" thickBot="1">
      <c r="A331" s="833" t="s">
        <v>1008</v>
      </c>
      <c r="B331" s="827" t="s">
        <v>1018</v>
      </c>
      <c r="C331" s="1060">
        <v>0.15</v>
      </c>
      <c r="D331" s="1060">
        <v>0.15</v>
      </c>
      <c r="E331" s="1060">
        <v>0.15</v>
      </c>
      <c r="F331" s="1061">
        <v>0.15</v>
      </c>
    </row>
    <row r="332" spans="1:6" ht="15" thickBot="1">
      <c r="A332" s="833" t="s">
        <v>1008</v>
      </c>
      <c r="B332" s="827" t="s">
        <v>352</v>
      </c>
      <c r="C332" s="1060">
        <v>0.15</v>
      </c>
      <c r="D332" s="1060">
        <v>0.15</v>
      </c>
      <c r="E332" s="1060">
        <v>0.15</v>
      </c>
      <c r="F332" s="1061">
        <v>0.15</v>
      </c>
    </row>
    <row r="333" spans="1:6" ht="15" thickBot="1">
      <c r="A333" s="833" t="s">
        <v>1008</v>
      </c>
      <c r="B333" s="827" t="s">
        <v>1019</v>
      </c>
      <c r="C333" s="1060">
        <v>0.15</v>
      </c>
      <c r="D333" s="1060">
        <v>0.15</v>
      </c>
      <c r="E333" s="1060">
        <v>0.15</v>
      </c>
      <c r="F333" s="1061">
        <v>0.14099999999999999</v>
      </c>
    </row>
    <row r="334" spans="1:6" ht="15" thickBot="1">
      <c r="A334" s="833" t="s">
        <v>1008</v>
      </c>
      <c r="B334" s="827" t="s">
        <v>372</v>
      </c>
      <c r="C334" s="1060">
        <v>0.15</v>
      </c>
      <c r="D334" s="1060">
        <v>0.15</v>
      </c>
      <c r="E334" s="1060">
        <v>0.15</v>
      </c>
      <c r="F334" s="1061">
        <v>0.15</v>
      </c>
    </row>
    <row r="335" spans="1:6" ht="15" thickBot="1">
      <c r="A335" s="833" t="s">
        <v>1008</v>
      </c>
      <c r="B335" s="827" t="s">
        <v>382</v>
      </c>
      <c r="C335" s="1060">
        <v>0.15</v>
      </c>
      <c r="D335" s="1060">
        <v>0.15</v>
      </c>
      <c r="E335" s="1060">
        <v>0.15</v>
      </c>
      <c r="F335" s="1072"/>
    </row>
    <row r="336" spans="1:6" ht="15" thickBot="1">
      <c r="A336" s="833" t="s">
        <v>1008</v>
      </c>
      <c r="B336" s="827" t="s">
        <v>1020</v>
      </c>
      <c r="C336" s="1060">
        <v>0.15</v>
      </c>
      <c r="D336" s="1060">
        <v>0.15</v>
      </c>
      <c r="E336" s="1060">
        <v>0.15</v>
      </c>
      <c r="F336" s="1061">
        <v>0.11799999999999999</v>
      </c>
    </row>
    <row r="337" spans="1:6" ht="15" thickBot="1">
      <c r="A337" s="843" t="s">
        <v>1008</v>
      </c>
      <c r="B337" s="839" t="s">
        <v>400</v>
      </c>
      <c r="C337" s="1070"/>
      <c r="D337" s="1070"/>
      <c r="E337" s="1070"/>
      <c r="F337" s="1063">
        <v>0.14299999999999999</v>
      </c>
    </row>
    <row r="338" spans="1:6" ht="15" thickBot="1">
      <c r="A338" s="833" t="s">
        <v>1021</v>
      </c>
      <c r="B338" s="834" t="s">
        <v>1022</v>
      </c>
      <c r="C338" s="1058">
        <v>0.15</v>
      </c>
      <c r="D338" s="1058">
        <v>0.15</v>
      </c>
      <c r="E338" s="1058">
        <v>0.15</v>
      </c>
      <c r="F338" s="1075"/>
    </row>
    <row r="339" spans="1:6" ht="15" thickBot="1">
      <c r="A339" s="833" t="s">
        <v>1021</v>
      </c>
      <c r="B339" s="827" t="s">
        <v>1023</v>
      </c>
      <c r="C339" s="1060">
        <v>0.15</v>
      </c>
      <c r="D339" s="1060">
        <v>0.15</v>
      </c>
      <c r="E339" s="1060">
        <v>0.15</v>
      </c>
      <c r="F339" s="1072"/>
    </row>
    <row r="340" spans="1:6" ht="15" thickBot="1">
      <c r="A340" s="833" t="s">
        <v>1021</v>
      </c>
      <c r="B340" s="827" t="s">
        <v>1024</v>
      </c>
      <c r="C340" s="1060">
        <v>0.15</v>
      </c>
      <c r="D340" s="1060">
        <v>0.15</v>
      </c>
      <c r="E340" s="1060">
        <v>0.15</v>
      </c>
      <c r="F340" s="1072"/>
    </row>
    <row r="341" spans="1:6" ht="15" thickBot="1">
      <c r="A341" s="833" t="s">
        <v>1021</v>
      </c>
      <c r="B341" s="827" t="s">
        <v>1025</v>
      </c>
      <c r="C341" s="1060">
        <v>0.15</v>
      </c>
      <c r="D341" s="1060">
        <v>0.15</v>
      </c>
      <c r="E341" s="1060">
        <v>0.15</v>
      </c>
      <c r="F341" s="1061">
        <v>0.15</v>
      </c>
    </row>
    <row r="342" spans="1:6" ht="15" thickBot="1">
      <c r="A342" s="833" t="s">
        <v>1021</v>
      </c>
      <c r="B342" s="827" t="s">
        <v>1026</v>
      </c>
      <c r="C342" s="1060">
        <v>0.15</v>
      </c>
      <c r="D342" s="1060">
        <v>0.15</v>
      </c>
      <c r="E342" s="1060">
        <v>0.15</v>
      </c>
      <c r="F342" s="1061">
        <v>0.15</v>
      </c>
    </row>
    <row r="343" spans="1:6" ht="15" thickBot="1">
      <c r="A343" s="833" t="s">
        <v>1021</v>
      </c>
      <c r="B343" s="827" t="s">
        <v>1027</v>
      </c>
      <c r="C343" s="1060">
        <v>0.15</v>
      </c>
      <c r="D343" s="1060">
        <v>0.15</v>
      </c>
      <c r="E343" s="1060">
        <v>0.15</v>
      </c>
      <c r="F343" s="1061">
        <v>0.15</v>
      </c>
    </row>
    <row r="344" spans="1:6" ht="1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1641</v>
      </c>
      <c r="B2" s="3054" t="s">
        <v>1642</v>
      </c>
      <c r="C2" s="3054" t="s">
        <v>1643</v>
      </c>
      <c r="D2" s="3054" t="str">
        <f>'结果表（办公）'!D116</f>
        <v>出让国有建设用地使用权价值</v>
      </c>
      <c r="E2" s="3054"/>
      <c r="F2" s="3054" t="str">
        <f>'结果表（办公）'!F116</f>
        <v>在建建筑物价值</v>
      </c>
      <c r="G2" s="3054"/>
      <c r="H2" s="3054" t="str">
        <f>IF(项目基本情况!B9="房地产市场价值","房地产市场价值","房地产价值")</f>
        <v>房地产价值</v>
      </c>
      <c r="I2" s="3054"/>
    </row>
    <row r="3" spans="1:9" ht="15.6">
      <c r="A3" s="3048"/>
      <c r="B3" s="3048"/>
      <c r="C3" s="3048"/>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27944.309999999998</v>
      </c>
      <c r="C4" s="1040">
        <f>项目基本情况!C18</f>
        <v>4737.3500000000004</v>
      </c>
      <c r="D4" s="1040">
        <f ca="1">'结果表（办公）'!D118</f>
        <v>86511</v>
      </c>
      <c r="E4" s="1040">
        <f ca="1">'结果表（办公）'!E118</f>
        <v>37865</v>
      </c>
      <c r="F4" s="1040">
        <f ca="1">'结果表（办公）'!F118</f>
        <v>13850</v>
      </c>
      <c r="G4" s="1040">
        <f ca="1">'结果表（办公）'!G118</f>
        <v>6062</v>
      </c>
      <c r="H4" s="1040">
        <f ca="1">'结果表（办公）'!H118</f>
        <v>100361</v>
      </c>
      <c r="I4" s="1040">
        <f ca="1">'结果表（办公）'!I118</f>
        <v>43927</v>
      </c>
    </row>
    <row r="5" spans="1:9" ht="30" customHeight="1">
      <c r="A5" s="3048" t="s">
        <v>1640</v>
      </c>
      <c r="B5" s="3048"/>
      <c r="C5" s="3048"/>
      <c r="D5" s="3049" t="str">
        <f ca="1">'结果表（办公）'!D119</f>
        <v>捌亿陆仟伍佰壹拾壹万元整</v>
      </c>
      <c r="E5" s="3049"/>
      <c r="F5" s="3049" t="str">
        <f ca="1">'结果表（办公）'!F119</f>
        <v>壹亿叁仟捌佰伍拾万元整</v>
      </c>
      <c r="G5" s="3049"/>
      <c r="H5" s="3049" t="str">
        <f ca="1">'结果表（办公）'!H119</f>
        <v>壹拾亿零叁佰陆拾壹万元整</v>
      </c>
      <c r="I5" s="3049"/>
    </row>
    <row r="6" spans="1:9" ht="15.6">
      <c r="A6" s="3047" t="str">
        <f>'结果表（办公）'!A120</f>
        <v>估价师知悉的法定优先受偿款</v>
      </c>
      <c r="B6" s="3047"/>
      <c r="C6" s="3047"/>
      <c r="D6" s="3047">
        <f>'结果表（办公）'!D120</f>
        <v>0</v>
      </c>
      <c r="E6" s="3047"/>
      <c r="F6" s="3047"/>
      <c r="G6" s="3047"/>
      <c r="H6" s="3047"/>
      <c r="I6" s="3047"/>
    </row>
    <row r="7" spans="1:9" ht="15">
      <c r="A7" s="3048" t="s">
        <v>1640</v>
      </c>
      <c r="B7" s="3048"/>
      <c r="C7" s="3048"/>
      <c r="D7" s="3050" t="str">
        <f>'结果表（办公）'!D121</f>
        <v>零元整</v>
      </c>
      <c r="E7" s="3051"/>
      <c r="F7" s="3051"/>
      <c r="G7" s="3051"/>
      <c r="H7" s="3051"/>
      <c r="I7" s="3052"/>
    </row>
    <row r="8" spans="1:9" ht="15.6">
      <c r="A8" s="3047" t="str">
        <f>'结果表（办公）'!A122</f>
        <v/>
      </c>
      <c r="B8" s="3047"/>
      <c r="C8" s="3047"/>
      <c r="D8" s="3047" t="str">
        <f>'结果表（办公）'!D122</f>
        <v>——</v>
      </c>
      <c r="E8" s="3047"/>
      <c r="F8" s="3047"/>
      <c r="G8" s="3047"/>
      <c r="H8" s="3047"/>
      <c r="I8" s="3047"/>
    </row>
    <row r="9" spans="1:9" ht="15">
      <c r="A9" s="3048" t="s">
        <v>1640</v>
      </c>
      <c r="B9" s="3048"/>
      <c r="C9" s="3048"/>
      <c r="D9" s="3049" t="e">
        <f>'结果表（办公）'!D123</f>
        <v>#VALUE!</v>
      </c>
      <c r="E9" s="3049"/>
      <c r="F9" s="3049"/>
      <c r="G9" s="3049"/>
      <c r="H9" s="3049"/>
      <c r="I9" s="3049"/>
    </row>
    <row r="10" spans="1:9" ht="15.6">
      <c r="A10" s="3047" t="str">
        <f>'结果表（办公）'!A124</f>
        <v>抵押担保权已注销时的房地产抵押价值</v>
      </c>
      <c r="B10" s="3047"/>
      <c r="C10" s="3047"/>
      <c r="D10" s="3047">
        <f ca="1">'结果表（办公）'!D124</f>
        <v>100361</v>
      </c>
      <c r="E10" s="3047"/>
      <c r="F10" s="3047"/>
      <c r="G10" s="3047"/>
      <c r="H10" s="3047"/>
      <c r="I10" s="3047"/>
    </row>
    <row r="11" spans="1:9" ht="15">
      <c r="A11" s="3048" t="s">
        <v>1640</v>
      </c>
      <c r="B11" s="3048"/>
      <c r="C11" s="3048"/>
      <c r="D11" s="3049" t="str">
        <f ca="1">'结果表（办公）'!D125</f>
        <v>壹拾亿零叁佰陆拾壹万元整</v>
      </c>
      <c r="E11" s="3049"/>
      <c r="F11" s="3049"/>
      <c r="G11" s="3049"/>
      <c r="H11" s="3049"/>
      <c r="I11" s="3049"/>
    </row>
    <row r="12" spans="1:9" ht="15.6">
      <c r="A12" s="3047" t="str">
        <f>'结果表（办公）'!A126</f>
        <v/>
      </c>
      <c r="B12" s="3047"/>
      <c r="C12" s="3047"/>
      <c r="D12" s="3047" t="str">
        <f>'结果表（办公）'!D126</f>
        <v>——</v>
      </c>
      <c r="E12" s="3047"/>
      <c r="F12" s="3047"/>
      <c r="G12" s="3047"/>
      <c r="H12" s="3047"/>
      <c r="I12" s="3047"/>
    </row>
    <row r="13" spans="1:9" ht="15.6" thickBot="1">
      <c r="A13" s="3044" t="s">
        <v>1640</v>
      </c>
      <c r="B13" s="3044"/>
      <c r="C13" s="3044"/>
      <c r="D13" s="3045" t="e">
        <f>'结果表（办公）'!D127</f>
        <v>#VALUE!</v>
      </c>
      <c r="E13" s="3045"/>
      <c r="F13" s="3045"/>
      <c r="G13" s="3045"/>
      <c r="H13" s="3045"/>
      <c r="I13" s="3045"/>
    </row>
    <row r="14" spans="1:9" ht="14.4" thickTop="1">
      <c r="A14" s="3046" t="s">
        <v>1645</v>
      </c>
      <c r="B14" s="3046"/>
      <c r="C14" s="3046"/>
      <c r="D14" s="3046"/>
      <c r="E14" s="3046"/>
      <c r="F14" s="3046"/>
      <c r="G14" s="3046"/>
      <c r="H14" s="3046"/>
      <c r="I14" s="3046"/>
    </row>
    <row r="16" spans="1:9" ht="17.399999999999999">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1300</v>
      </c>
      <c r="C1" s="1690">
        <f>项目基本情况!D3</f>
        <v>43227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1372</v>
      </c>
      <c r="E1" s="1772" t="s">
        <v>1376</v>
      </c>
      <c r="F1" s="1773" t="s">
        <v>1380</v>
      </c>
    </row>
    <row r="2" spans="1:13" ht="19.8">
      <c r="A2" s="1779" t="s">
        <v>1373</v>
      </c>
    </row>
    <row r="3" spans="1:13" ht="15.6">
      <c r="A3" s="1780" t="s">
        <v>1374</v>
      </c>
    </row>
    <row r="4" spans="1:13">
      <c r="A4" s="1770" t="s">
        <v>1375</v>
      </c>
      <c r="B4" s="1775" t="s">
        <v>1377</v>
      </c>
      <c r="C4" s="1776"/>
      <c r="D4" s="1777"/>
      <c r="E4" s="1775" t="s">
        <v>27</v>
      </c>
      <c r="F4" s="1776"/>
      <c r="G4" s="1777"/>
      <c r="H4" s="1775" t="s">
        <v>1378</v>
      </c>
      <c r="I4" s="1776"/>
      <c r="J4" s="1777"/>
      <c r="K4" s="1775" t="s">
        <v>6</v>
      </c>
      <c r="L4" s="1776"/>
      <c r="M4" s="1777"/>
    </row>
    <row r="5" spans="1:13">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4.4"/>
  <cols>
    <col min="1" max="1" width="24.44140625" customWidth="1"/>
    <col min="8" max="8" width="12.21875" customWidth="1"/>
  </cols>
  <sheetData>
    <row r="1" spans="1:13">
      <c r="A1" s="1734" t="s">
        <v>3140</v>
      </c>
      <c r="B1" s="1734" t="s">
        <v>3141</v>
      </c>
      <c r="C1" s="1734" t="s">
        <v>3142</v>
      </c>
      <c r="D1" s="1734" t="s">
        <v>3143</v>
      </c>
      <c r="E1" s="1734" t="s">
        <v>3144</v>
      </c>
      <c r="F1" s="1734" t="s">
        <v>3145</v>
      </c>
      <c r="G1" s="1734" t="s">
        <v>3146</v>
      </c>
      <c r="H1" s="1734" t="s">
        <v>3147</v>
      </c>
      <c r="I1" s="1734" t="s">
        <v>3148</v>
      </c>
      <c r="J1" s="1734" t="s">
        <v>3149</v>
      </c>
      <c r="K1" s="1734" t="s">
        <v>3150</v>
      </c>
      <c r="L1" s="1734" t="s">
        <v>3151</v>
      </c>
      <c r="M1" s="1734" t="s">
        <v>3152</v>
      </c>
    </row>
    <row r="2" spans="1:13" s="2973" customFormat="1">
      <c r="A2" s="2972" t="s">
        <v>3153</v>
      </c>
      <c r="B2" s="2972" t="s">
        <v>3062</v>
      </c>
      <c r="C2" s="2972" t="s">
        <v>3154</v>
      </c>
      <c r="D2" s="2972">
        <v>18303.330000000002</v>
      </c>
      <c r="E2" s="2972">
        <v>58571</v>
      </c>
      <c r="F2" s="2972">
        <v>3.2</v>
      </c>
      <c r="G2" s="2972" t="s">
        <v>3155</v>
      </c>
      <c r="H2" s="2972" t="s">
        <v>3156</v>
      </c>
      <c r="I2" s="2972">
        <v>79600</v>
      </c>
      <c r="J2" s="2972">
        <v>129000</v>
      </c>
      <c r="K2" s="2972">
        <v>22024.54</v>
      </c>
      <c r="L2" s="2972">
        <v>62.06</v>
      </c>
      <c r="M2" s="2972" t="s">
        <v>3157</v>
      </c>
    </row>
    <row r="3" spans="1:13">
      <c r="A3" s="1734" t="s">
        <v>3158</v>
      </c>
      <c r="B3" s="1734" t="s">
        <v>3062</v>
      </c>
      <c r="C3" s="1734" t="s">
        <v>3154</v>
      </c>
      <c r="D3" s="1734">
        <v>29183.54</v>
      </c>
      <c r="E3" s="1734">
        <v>72959</v>
      </c>
      <c r="F3" s="1734">
        <v>2.5</v>
      </c>
      <c r="G3" s="1734" t="s">
        <v>3155</v>
      </c>
      <c r="H3" s="1734" t="s">
        <v>3159</v>
      </c>
      <c r="I3" s="1734">
        <v>83000</v>
      </c>
      <c r="J3" s="1734">
        <v>106000</v>
      </c>
      <c r="K3" s="1734">
        <v>14528.7</v>
      </c>
      <c r="L3" s="1734">
        <v>27.71</v>
      </c>
      <c r="M3" s="1734" t="s">
        <v>3160</v>
      </c>
    </row>
    <row r="4" spans="1:13">
      <c r="A4" s="1734" t="s">
        <v>3161</v>
      </c>
      <c r="B4" s="1734" t="s">
        <v>3062</v>
      </c>
      <c r="C4" s="1734" t="s">
        <v>3154</v>
      </c>
      <c r="D4" s="1734">
        <v>23639.39</v>
      </c>
      <c r="E4" s="1734">
        <v>75646</v>
      </c>
      <c r="F4" s="1734">
        <v>3.2</v>
      </c>
      <c r="G4" s="1734" t="s">
        <v>3155</v>
      </c>
      <c r="H4" s="1734" t="s">
        <v>3162</v>
      </c>
      <c r="I4" s="1734">
        <v>102000</v>
      </c>
      <c r="J4" s="1734">
        <v>103020</v>
      </c>
      <c r="K4" s="1734">
        <v>13618.7</v>
      </c>
      <c r="L4" s="1734">
        <v>1</v>
      </c>
      <c r="M4" s="1734" t="s">
        <v>3163</v>
      </c>
    </row>
    <row r="5" spans="1:13" s="2973" customFormat="1">
      <c r="A5" s="2972" t="s">
        <v>3164</v>
      </c>
      <c r="B5" s="2972" t="s">
        <v>3062</v>
      </c>
      <c r="C5" s="2972" t="s">
        <v>3154</v>
      </c>
      <c r="D5" s="2972">
        <v>33619.79</v>
      </c>
      <c r="E5" s="2972">
        <v>134479</v>
      </c>
      <c r="F5" s="2972">
        <v>4</v>
      </c>
      <c r="G5" s="2972" t="s">
        <v>3155</v>
      </c>
      <c r="H5" s="2972" t="s">
        <v>3165</v>
      </c>
      <c r="I5" s="2972">
        <v>153000</v>
      </c>
      <c r="J5" s="2972">
        <v>334000</v>
      </c>
      <c r="K5" s="2972">
        <v>24836.59</v>
      </c>
      <c r="L5" s="2972">
        <v>118.3</v>
      </c>
      <c r="M5" s="2972" t="s">
        <v>3166</v>
      </c>
    </row>
    <row r="6" spans="1:13">
      <c r="A6" s="1734" t="s">
        <v>3167</v>
      </c>
      <c r="B6" s="1734" t="s">
        <v>3062</v>
      </c>
      <c r="C6" s="1734" t="s">
        <v>3154</v>
      </c>
      <c r="D6" s="1734">
        <v>71916.58</v>
      </c>
      <c r="E6" s="1734">
        <v>107875</v>
      </c>
      <c r="F6" s="1734">
        <v>1.5</v>
      </c>
      <c r="G6" s="1734" t="s">
        <v>3155</v>
      </c>
      <c r="H6" s="1734" t="s">
        <v>3168</v>
      </c>
      <c r="I6" s="1734">
        <v>90000</v>
      </c>
      <c r="J6" s="1734">
        <v>181000</v>
      </c>
      <c r="K6" s="1734">
        <v>16778.68</v>
      </c>
      <c r="L6" s="1734">
        <v>101.11</v>
      </c>
      <c r="M6" s="1734" t="s">
        <v>3169</v>
      </c>
    </row>
    <row r="7" spans="1:13">
      <c r="A7" s="1734" t="s">
        <v>3170</v>
      </c>
      <c r="B7" s="1734" t="s">
        <v>3062</v>
      </c>
      <c r="C7" s="1734" t="s">
        <v>3154</v>
      </c>
      <c r="D7" s="1734">
        <v>47919.26</v>
      </c>
      <c r="E7" s="1734">
        <v>143758</v>
      </c>
      <c r="F7" s="1734">
        <v>3</v>
      </c>
      <c r="G7" s="1734" t="s">
        <v>3155</v>
      </c>
      <c r="H7" s="1734" t="s">
        <v>3171</v>
      </c>
      <c r="I7" s="1734">
        <v>120000</v>
      </c>
      <c r="J7" s="1734">
        <v>130000</v>
      </c>
      <c r="K7" s="1734">
        <v>9042.9599999999991</v>
      </c>
      <c r="L7" s="1734">
        <v>8.33</v>
      </c>
      <c r="M7" s="1734" t="s">
        <v>3169</v>
      </c>
    </row>
    <row r="8" spans="1:13">
      <c r="A8" s="1734" t="s">
        <v>3172</v>
      </c>
      <c r="B8" s="1734" t="s">
        <v>3062</v>
      </c>
      <c r="C8" s="1734" t="s">
        <v>3154</v>
      </c>
      <c r="D8" s="1734">
        <v>61900.3</v>
      </c>
      <c r="E8" s="1734">
        <v>111421</v>
      </c>
      <c r="F8" s="1734">
        <v>1.8</v>
      </c>
      <c r="G8" s="1734" t="s">
        <v>3155</v>
      </c>
      <c r="H8" s="1734" t="s">
        <v>3173</v>
      </c>
      <c r="I8" s="1734">
        <v>89500</v>
      </c>
      <c r="J8" s="1734">
        <v>197000</v>
      </c>
      <c r="K8" s="1734">
        <v>17680.68</v>
      </c>
      <c r="L8" s="1734">
        <v>120.11</v>
      </c>
      <c r="M8" s="1734" t="s">
        <v>3169</v>
      </c>
    </row>
    <row r="9" spans="1:13">
      <c r="A9" s="1734" t="s">
        <v>3174</v>
      </c>
      <c r="B9" s="1734" t="s">
        <v>3062</v>
      </c>
      <c r="C9" s="1734" t="s">
        <v>3154</v>
      </c>
      <c r="D9" s="1734">
        <v>66594.820000000007</v>
      </c>
      <c r="E9" s="1734">
        <v>119871</v>
      </c>
      <c r="F9" s="1734">
        <v>1.8</v>
      </c>
      <c r="G9" s="1734" t="s">
        <v>3155</v>
      </c>
      <c r="H9" s="1734" t="s">
        <v>3173</v>
      </c>
      <c r="I9" s="1734">
        <v>96000</v>
      </c>
      <c r="J9" s="1734">
        <v>196000</v>
      </c>
      <c r="K9" s="1734">
        <v>16350.9</v>
      </c>
      <c r="L9" s="1734">
        <v>104.17</v>
      </c>
      <c r="M9" s="1734" t="s">
        <v>3169</v>
      </c>
    </row>
    <row r="10" spans="1:13">
      <c r="A10" s="1734" t="s">
        <v>3175</v>
      </c>
      <c r="B10" s="1734" t="s">
        <v>3062</v>
      </c>
      <c r="C10" s="1734" t="s">
        <v>3154</v>
      </c>
      <c r="D10" s="1734">
        <v>24464</v>
      </c>
      <c r="E10" s="1734">
        <v>48928</v>
      </c>
      <c r="F10" s="1734">
        <v>2</v>
      </c>
      <c r="G10" s="1734" t="s">
        <v>3155</v>
      </c>
      <c r="H10" s="1734" t="s">
        <v>3176</v>
      </c>
      <c r="I10" s="1734">
        <v>28200</v>
      </c>
      <c r="J10" s="1734">
        <v>46800</v>
      </c>
      <c r="K10" s="1734">
        <v>9565.07</v>
      </c>
      <c r="L10" s="1734">
        <v>65.959999999999994</v>
      </c>
      <c r="M10" s="1734" t="s">
        <v>3177</v>
      </c>
    </row>
    <row r="11" spans="1:13">
      <c r="A11" s="1734" t="s">
        <v>3178</v>
      </c>
      <c r="B11" s="1734" t="s">
        <v>3062</v>
      </c>
      <c r="C11" s="1734" t="s">
        <v>3154</v>
      </c>
      <c r="D11" s="1734">
        <v>38024.39</v>
      </c>
      <c r="E11" s="1734">
        <v>106468</v>
      </c>
      <c r="F11" s="1734">
        <v>2.8</v>
      </c>
      <c r="G11" s="1734" t="s">
        <v>3155</v>
      </c>
      <c r="H11" s="1734" t="s">
        <v>3179</v>
      </c>
      <c r="I11" s="1734">
        <v>87000</v>
      </c>
      <c r="J11" s="1734">
        <v>97000</v>
      </c>
      <c r="K11" s="1734">
        <v>9110.7099999999991</v>
      </c>
      <c r="L11" s="1734">
        <v>11.49</v>
      </c>
      <c r="M11" s="1734" t="s">
        <v>3180</v>
      </c>
    </row>
    <row r="12" spans="1:13">
      <c r="A12" s="1734" t="s">
        <v>3181</v>
      </c>
      <c r="B12" s="1734" t="s">
        <v>3062</v>
      </c>
      <c r="C12" s="1734" t="s">
        <v>3154</v>
      </c>
      <c r="D12" s="1734">
        <v>13920.77</v>
      </c>
      <c r="E12" s="1734">
        <v>16705</v>
      </c>
      <c r="F12" s="1734">
        <v>1.2</v>
      </c>
      <c r="G12" s="1734" t="s">
        <v>3155</v>
      </c>
      <c r="H12" s="1734" t="s">
        <v>3182</v>
      </c>
      <c r="I12" s="1734">
        <v>10500</v>
      </c>
      <c r="J12" s="1734">
        <v>12200</v>
      </c>
      <c r="K12" s="1734">
        <v>7303.19</v>
      </c>
      <c r="L12" s="1734">
        <v>16.190000000000001</v>
      </c>
      <c r="M12" s="1734" t="s">
        <v>3183</v>
      </c>
    </row>
    <row r="13" spans="1:13" s="2975" customFormat="1">
      <c r="A13" s="2974" t="s">
        <v>3184</v>
      </c>
      <c r="B13" s="2974" t="s">
        <v>3062</v>
      </c>
      <c r="C13" s="2974" t="s">
        <v>3154</v>
      </c>
      <c r="D13" s="2974">
        <v>6189.23</v>
      </c>
      <c r="E13" s="2974">
        <v>6189</v>
      </c>
      <c r="F13" s="2974">
        <v>1</v>
      </c>
      <c r="G13" s="2974" t="s">
        <v>3155</v>
      </c>
      <c r="H13" s="2974" t="s">
        <v>3185</v>
      </c>
      <c r="I13" s="2974">
        <v>7500</v>
      </c>
      <c r="J13" s="2974">
        <v>12900</v>
      </c>
      <c r="K13" s="2974">
        <v>20843.43</v>
      </c>
      <c r="L13" s="2974">
        <v>72</v>
      </c>
      <c r="M13" s="2974" t="s">
        <v>3186</v>
      </c>
    </row>
    <row r="14" spans="1:13">
      <c r="A14" s="1734" t="s">
        <v>3187</v>
      </c>
      <c r="B14" s="1734" t="s">
        <v>3062</v>
      </c>
      <c r="C14" s="1734" t="s">
        <v>3154</v>
      </c>
      <c r="D14" s="1734">
        <v>40417.42</v>
      </c>
      <c r="E14" s="1734">
        <v>121252</v>
      </c>
      <c r="F14" s="1734">
        <v>3</v>
      </c>
      <c r="G14" s="1734" t="s">
        <v>3155</v>
      </c>
      <c r="H14" s="1734" t="s">
        <v>3188</v>
      </c>
      <c r="I14" s="1734">
        <v>103000</v>
      </c>
      <c r="J14" s="1734">
        <v>191000</v>
      </c>
      <c r="K14" s="1734">
        <v>15752.31</v>
      </c>
      <c r="L14" s="1734">
        <v>85.44</v>
      </c>
      <c r="M14" s="1734" t="s">
        <v>3189</v>
      </c>
    </row>
    <row r="15" spans="1:13">
      <c r="A15" s="1734" t="s">
        <v>3190</v>
      </c>
      <c r="B15" s="1734" t="s">
        <v>3062</v>
      </c>
      <c r="C15" s="1734" t="s">
        <v>3154</v>
      </c>
      <c r="D15" s="1734">
        <v>48028.78</v>
      </c>
      <c r="E15" s="1734">
        <v>122714</v>
      </c>
      <c r="F15" s="1734">
        <v>2.56</v>
      </c>
      <c r="G15" s="1734" t="s">
        <v>3155</v>
      </c>
      <c r="H15" s="1734" t="s">
        <v>3188</v>
      </c>
      <c r="I15" s="1734">
        <v>98000</v>
      </c>
      <c r="J15" s="1734">
        <v>108000</v>
      </c>
      <c r="K15" s="1734">
        <v>8800.9500000000007</v>
      </c>
      <c r="L15" s="1734">
        <v>10.199999999999999</v>
      </c>
      <c r="M15" s="1734" t="s">
        <v>3191</v>
      </c>
    </row>
    <row r="16" spans="1:13">
      <c r="A16" s="1734" t="s">
        <v>3192</v>
      </c>
      <c r="B16" s="1734" t="s">
        <v>3062</v>
      </c>
      <c r="C16" s="1734" t="s">
        <v>3154</v>
      </c>
      <c r="D16" s="1734">
        <v>46923.74</v>
      </c>
      <c r="E16" s="1734">
        <v>94797</v>
      </c>
      <c r="F16" s="1734">
        <v>2.02</v>
      </c>
      <c r="G16" s="1734" t="s">
        <v>3155</v>
      </c>
      <c r="H16" s="1734" t="s">
        <v>3193</v>
      </c>
      <c r="I16" s="1734">
        <v>75900</v>
      </c>
      <c r="J16" s="1734">
        <v>76300</v>
      </c>
      <c r="K16" s="1734">
        <v>8048.77</v>
      </c>
      <c r="L16" s="1734">
        <v>0.53</v>
      </c>
      <c r="M16" s="1734" t="s">
        <v>3194</v>
      </c>
    </row>
    <row r="17" spans="1:13">
      <c r="A17" s="1734" t="s">
        <v>3195</v>
      </c>
      <c r="B17" s="1734" t="s">
        <v>3062</v>
      </c>
      <c r="C17" s="1734" t="s">
        <v>3154</v>
      </c>
      <c r="D17" s="1734">
        <v>51666</v>
      </c>
      <c r="E17" s="1734">
        <v>129165</v>
      </c>
      <c r="F17" s="1734" t="s">
        <v>3196</v>
      </c>
      <c r="G17" s="1734" t="s">
        <v>3155</v>
      </c>
      <c r="H17" s="1734" t="s">
        <v>3193</v>
      </c>
      <c r="I17" s="1734">
        <v>64600</v>
      </c>
      <c r="J17" s="1734">
        <v>81000</v>
      </c>
      <c r="K17" s="1734">
        <v>6271.05</v>
      </c>
      <c r="L17" s="1734">
        <v>25.39</v>
      </c>
      <c r="M17" s="1734" t="s">
        <v>3197</v>
      </c>
    </row>
    <row r="18" spans="1:13">
      <c r="A18" s="1734" t="s">
        <v>3198</v>
      </c>
      <c r="B18" s="1734" t="s">
        <v>3062</v>
      </c>
      <c r="C18" s="1734" t="s">
        <v>3154</v>
      </c>
      <c r="D18" s="1734">
        <v>85515.199999999997</v>
      </c>
      <c r="E18" s="1734">
        <v>283835.3</v>
      </c>
      <c r="F18" s="1734" t="s">
        <v>3199</v>
      </c>
      <c r="G18" s="1734" t="s">
        <v>3155</v>
      </c>
      <c r="H18" s="1734" t="s">
        <v>3193</v>
      </c>
      <c r="I18" s="1734">
        <v>142000</v>
      </c>
      <c r="J18" s="1734">
        <v>145000</v>
      </c>
      <c r="K18" s="1734">
        <v>5108.6000000000004</v>
      </c>
      <c r="L18" s="1734">
        <v>2.11</v>
      </c>
      <c r="M18" s="1734" t="s">
        <v>3200</v>
      </c>
    </row>
    <row r="19" spans="1:13" s="2975" customFormat="1">
      <c r="A19" s="2974" t="s">
        <v>3201</v>
      </c>
      <c r="B19" s="2974" t="s">
        <v>3062</v>
      </c>
      <c r="C19" s="2974" t="s">
        <v>3154</v>
      </c>
      <c r="D19" s="2974">
        <v>33628.9</v>
      </c>
      <c r="E19" s="2974">
        <v>82719</v>
      </c>
      <c r="F19" s="2974">
        <v>2.5</v>
      </c>
      <c r="G19" s="2974" t="s">
        <v>3155</v>
      </c>
      <c r="H19" s="2974" t="s">
        <v>3202</v>
      </c>
      <c r="I19" s="2974">
        <v>66200</v>
      </c>
      <c r="J19" s="2974">
        <v>171000</v>
      </c>
      <c r="K19" s="2974">
        <v>20672.400000000001</v>
      </c>
      <c r="L19" s="2974">
        <v>158.31</v>
      </c>
      <c r="M19" s="2974" t="s">
        <v>3203</v>
      </c>
    </row>
    <row r="20" spans="1:13">
      <c r="A20" s="1734" t="s">
        <v>3204</v>
      </c>
      <c r="B20" s="1734" t="s">
        <v>3062</v>
      </c>
      <c r="C20" s="1734" t="s">
        <v>3154</v>
      </c>
      <c r="D20" s="1734">
        <v>47871.43</v>
      </c>
      <c r="E20" s="1734">
        <v>176549</v>
      </c>
      <c r="F20" s="1734">
        <v>3.69</v>
      </c>
      <c r="G20" s="1734" t="s">
        <v>3155</v>
      </c>
      <c r="H20" s="1734" t="s">
        <v>3202</v>
      </c>
      <c r="I20" s="1734">
        <v>141000</v>
      </c>
      <c r="J20" s="1734">
        <v>346000</v>
      </c>
      <c r="K20" s="1734">
        <v>19597.95</v>
      </c>
      <c r="L20" s="1734">
        <v>145.38999999999999</v>
      </c>
      <c r="M20" s="1734" t="s">
        <v>3203</v>
      </c>
    </row>
    <row r="21" spans="1:13">
      <c r="A21" s="1734" t="s">
        <v>3205</v>
      </c>
      <c r="B21" s="1734" t="s">
        <v>3062</v>
      </c>
      <c r="C21" s="1734" t="s">
        <v>3154</v>
      </c>
      <c r="D21" s="1734">
        <v>50532</v>
      </c>
      <c r="E21" s="1734">
        <v>90958</v>
      </c>
      <c r="F21" s="1734">
        <v>1.8</v>
      </c>
      <c r="G21" s="1734" t="s">
        <v>3155</v>
      </c>
      <c r="H21" s="1734" t="s">
        <v>3206</v>
      </c>
      <c r="I21" s="1734">
        <v>45500</v>
      </c>
      <c r="J21" s="1734">
        <v>46000</v>
      </c>
      <c r="K21" s="1734">
        <v>5057.2700000000004</v>
      </c>
      <c r="L21" s="1734">
        <v>1.1000000000000001</v>
      </c>
      <c r="M21" s="1734" t="s">
        <v>3207</v>
      </c>
    </row>
    <row r="22" spans="1:13">
      <c r="A22" s="1734" t="s">
        <v>3208</v>
      </c>
      <c r="B22" s="1734" t="s">
        <v>3062</v>
      </c>
      <c r="C22" s="1734" t="s">
        <v>3154</v>
      </c>
      <c r="D22" s="1734">
        <v>92124</v>
      </c>
      <c r="E22" s="1734">
        <v>184248</v>
      </c>
      <c r="F22" s="1734">
        <v>2</v>
      </c>
      <c r="G22" s="1734" t="s">
        <v>3155</v>
      </c>
      <c r="H22" s="1734" t="s">
        <v>3209</v>
      </c>
      <c r="I22" s="1734">
        <v>55300</v>
      </c>
      <c r="J22" s="1734">
        <v>111500</v>
      </c>
      <c r="K22" s="1734">
        <v>6051.63</v>
      </c>
      <c r="L22" s="1734">
        <v>101.63</v>
      </c>
      <c r="M22" s="1734" t="s">
        <v>3207</v>
      </c>
    </row>
    <row r="23" spans="1:13">
      <c r="A23" s="1734" t="s">
        <v>3210</v>
      </c>
      <c r="B23" s="1734" t="s">
        <v>3062</v>
      </c>
      <c r="C23" s="1734" t="s">
        <v>3154</v>
      </c>
      <c r="D23" s="1734">
        <v>64322.98</v>
      </c>
      <c r="E23" s="1734">
        <v>126996</v>
      </c>
      <c r="F23" s="1734">
        <v>1.97</v>
      </c>
      <c r="G23" s="1734" t="s">
        <v>3155</v>
      </c>
      <c r="H23" s="1734" t="s">
        <v>3209</v>
      </c>
      <c r="I23" s="1734" t="s">
        <v>1331</v>
      </c>
      <c r="J23" s="1734">
        <v>112500</v>
      </c>
      <c r="K23" s="1734">
        <v>8858.5400000000009</v>
      </c>
      <c r="L23" s="1734" t="s">
        <v>1331</v>
      </c>
      <c r="M23" s="1734" t="s">
        <v>3211</v>
      </c>
    </row>
    <row r="24" spans="1:13">
      <c r="A24" s="1734" t="s">
        <v>3212</v>
      </c>
      <c r="B24" s="1734" t="s">
        <v>3062</v>
      </c>
      <c r="C24" s="1734" t="s">
        <v>3154</v>
      </c>
      <c r="D24" s="1734">
        <v>34970</v>
      </c>
      <c r="E24" s="1734">
        <v>87425</v>
      </c>
      <c r="F24" s="1734">
        <v>2.5</v>
      </c>
      <c r="G24" s="1734" t="s">
        <v>3155</v>
      </c>
      <c r="H24" s="1734" t="s">
        <v>3213</v>
      </c>
      <c r="I24" s="1734">
        <v>20500</v>
      </c>
      <c r="J24" s="1734">
        <v>69500</v>
      </c>
      <c r="K24" s="1734">
        <v>7949.67</v>
      </c>
      <c r="L24" s="1734">
        <v>239.02</v>
      </c>
      <c r="M24" s="1734" t="s">
        <v>3214</v>
      </c>
    </row>
    <row r="25" spans="1:13">
      <c r="A25" s="1734" t="s">
        <v>3215</v>
      </c>
      <c r="B25" s="1734" t="s">
        <v>3062</v>
      </c>
      <c r="C25" s="1734" t="s">
        <v>3154</v>
      </c>
      <c r="D25" s="1734">
        <v>73208.92</v>
      </c>
      <c r="E25" s="1734">
        <v>73209</v>
      </c>
      <c r="F25" s="1734">
        <v>1</v>
      </c>
      <c r="G25" s="1734" t="s">
        <v>3155</v>
      </c>
      <c r="H25" s="1734" t="s">
        <v>3213</v>
      </c>
      <c r="I25" s="1734">
        <v>39300</v>
      </c>
      <c r="J25" s="1734">
        <v>91000</v>
      </c>
      <c r="K25" s="1734">
        <v>12430.17</v>
      </c>
      <c r="L25" s="1734">
        <v>131.55000000000001</v>
      </c>
      <c r="M25" s="1734" t="s">
        <v>3216</v>
      </c>
    </row>
    <row r="26" spans="1:13">
      <c r="A26" s="1734" t="s">
        <v>3217</v>
      </c>
      <c r="B26" s="1734" t="s">
        <v>3062</v>
      </c>
      <c r="C26" s="1734" t="s">
        <v>3154</v>
      </c>
      <c r="D26" s="1734">
        <v>97991.86</v>
      </c>
      <c r="E26" s="1734">
        <v>97992</v>
      </c>
      <c r="F26" s="1734">
        <v>1</v>
      </c>
      <c r="G26" s="1734" t="s">
        <v>3218</v>
      </c>
      <c r="H26" s="1734" t="s">
        <v>3219</v>
      </c>
      <c r="I26" s="1734" t="s">
        <v>1331</v>
      </c>
      <c r="J26" s="1734">
        <v>28380</v>
      </c>
      <c r="K26" s="1734">
        <v>2896.15</v>
      </c>
      <c r="L26" s="1734" t="s">
        <v>1331</v>
      </c>
      <c r="M26" s="1734" t="s">
        <v>3220</v>
      </c>
    </row>
    <row r="27" spans="1:13">
      <c r="A27" s="1734" t="s">
        <v>3221</v>
      </c>
      <c r="B27" s="1734" t="s">
        <v>3062</v>
      </c>
      <c r="C27" s="1734" t="s">
        <v>3154</v>
      </c>
      <c r="D27" s="1734">
        <v>61102.5</v>
      </c>
      <c r="E27" s="1734">
        <v>213858.8</v>
      </c>
      <c r="F27" s="1734">
        <v>3.5</v>
      </c>
      <c r="G27" s="1734" t="s">
        <v>3155</v>
      </c>
      <c r="H27" s="1734" t="s">
        <v>3222</v>
      </c>
      <c r="I27" s="1734">
        <v>34500</v>
      </c>
      <c r="J27" s="1734">
        <v>34500</v>
      </c>
      <c r="K27" s="1734">
        <v>1613.21</v>
      </c>
      <c r="L27" s="1734">
        <v>0</v>
      </c>
      <c r="M27" s="1734" t="s">
        <v>3223</v>
      </c>
    </row>
    <row r="28" spans="1:13">
      <c r="A28" s="1734" t="s">
        <v>3224</v>
      </c>
      <c r="B28" s="1734" t="s">
        <v>3062</v>
      </c>
      <c r="C28" s="1734" t="s">
        <v>3154</v>
      </c>
      <c r="D28" s="1734">
        <v>11827.6</v>
      </c>
      <c r="E28" s="1734">
        <v>29569</v>
      </c>
      <c r="F28" s="1734">
        <v>2.5</v>
      </c>
      <c r="G28" s="1734" t="s">
        <v>3155</v>
      </c>
      <c r="H28" s="1734" t="s">
        <v>3225</v>
      </c>
      <c r="I28" s="1734">
        <v>4400</v>
      </c>
      <c r="J28" s="1734">
        <v>4400</v>
      </c>
      <c r="K28" s="1734">
        <v>1488.03</v>
      </c>
      <c r="L28" s="1734">
        <v>0</v>
      </c>
      <c r="M28" s="1734" t="s">
        <v>3226</v>
      </c>
    </row>
    <row r="29" spans="1:13">
      <c r="A29" s="1734" t="s">
        <v>3227</v>
      </c>
      <c r="B29" s="1734" t="s">
        <v>3062</v>
      </c>
      <c r="C29" s="1734" t="s">
        <v>3154</v>
      </c>
      <c r="D29" s="1734">
        <v>45012.4</v>
      </c>
      <c r="E29" s="1734">
        <v>209402.4</v>
      </c>
      <c r="F29" s="1734">
        <v>4.6500000000000004</v>
      </c>
      <c r="G29" s="1734" t="s">
        <v>3155</v>
      </c>
      <c r="H29" s="1734" t="s">
        <v>3228</v>
      </c>
      <c r="I29" s="1734">
        <v>29500</v>
      </c>
      <c r="J29" s="1734">
        <v>29500</v>
      </c>
      <c r="K29" s="1734">
        <v>1408.76</v>
      </c>
      <c r="L29" s="1734">
        <v>0</v>
      </c>
      <c r="M29" s="1734" t="s">
        <v>3229</v>
      </c>
    </row>
    <row r="30" spans="1:13">
      <c r="A30" s="1734" t="s">
        <v>3230</v>
      </c>
      <c r="B30" s="1734" t="s">
        <v>3062</v>
      </c>
      <c r="C30" s="1734" t="s">
        <v>3154</v>
      </c>
      <c r="D30" s="1734">
        <v>46375</v>
      </c>
      <c r="E30" s="1734">
        <v>139125</v>
      </c>
      <c r="F30" s="1734">
        <v>3</v>
      </c>
      <c r="G30" s="1734" t="s">
        <v>3155</v>
      </c>
      <c r="H30" s="1734" t="s">
        <v>3231</v>
      </c>
      <c r="I30" s="1734">
        <v>27825</v>
      </c>
      <c r="J30" s="1734">
        <v>27825</v>
      </c>
      <c r="K30" s="1734">
        <v>2000</v>
      </c>
      <c r="L30" s="1734">
        <v>0</v>
      </c>
      <c r="M30" s="1734" t="s">
        <v>3232</v>
      </c>
    </row>
    <row r="31" spans="1:13">
      <c r="A31" s="1734" t="s">
        <v>3233</v>
      </c>
      <c r="B31" s="1734" t="s">
        <v>3062</v>
      </c>
      <c r="C31" s="1734" t="s">
        <v>3154</v>
      </c>
      <c r="D31" s="1734">
        <v>10868.5</v>
      </c>
      <c r="E31" s="1734">
        <v>27171.25</v>
      </c>
      <c r="F31" s="1734">
        <v>2.5</v>
      </c>
      <c r="G31" s="1734" t="s">
        <v>3155</v>
      </c>
      <c r="H31" s="1734" t="s">
        <v>3234</v>
      </c>
      <c r="I31" s="1734">
        <v>3550</v>
      </c>
      <c r="J31" s="1734">
        <v>3550</v>
      </c>
      <c r="K31" s="1734">
        <v>1306.52</v>
      </c>
      <c r="L31" s="1734">
        <v>0</v>
      </c>
      <c r="M31" s="1734" t="s">
        <v>3235</v>
      </c>
    </row>
    <row r="32" spans="1:13">
      <c r="A32" s="1734"/>
      <c r="B32" s="1734"/>
      <c r="C32" s="1734"/>
      <c r="D32" s="1734"/>
      <c r="E32" s="1734"/>
      <c r="F32" s="1734"/>
      <c r="G32" s="1734"/>
      <c r="H32" s="1734"/>
      <c r="I32" s="1734"/>
      <c r="J32" s="1734"/>
      <c r="K32" s="1734"/>
      <c r="L32" s="1734"/>
      <c r="M32" s="1734"/>
    </row>
    <row r="33" spans="1:14">
      <c r="A33" s="2976" t="s">
        <v>3140</v>
      </c>
      <c r="B33" s="2976" t="s">
        <v>3141</v>
      </c>
      <c r="C33" s="2976" t="s">
        <v>3142</v>
      </c>
      <c r="D33" s="2976" t="s">
        <v>3146</v>
      </c>
      <c r="E33" s="2976" t="s">
        <v>3143</v>
      </c>
      <c r="F33" s="2976" t="s">
        <v>3144</v>
      </c>
      <c r="G33" s="2976" t="s">
        <v>3145</v>
      </c>
      <c r="H33" s="2976" t="s">
        <v>3236</v>
      </c>
      <c r="I33" s="2976" t="s">
        <v>3152</v>
      </c>
      <c r="J33" s="2976" t="s">
        <v>3149</v>
      </c>
      <c r="K33" s="2976" t="s">
        <v>3237</v>
      </c>
      <c r="L33" s="2976" t="s">
        <v>3150</v>
      </c>
      <c r="M33" s="2976" t="s">
        <v>3151</v>
      </c>
      <c r="N33" s="2976" t="s">
        <v>3238</v>
      </c>
    </row>
    <row r="34" spans="1:14">
      <c r="A34" s="2976" t="s">
        <v>3239</v>
      </c>
      <c r="B34" s="2976" t="s">
        <v>3062</v>
      </c>
      <c r="C34" s="2976" t="s">
        <v>3154</v>
      </c>
      <c r="D34" s="2976" t="s">
        <v>3155</v>
      </c>
      <c r="E34" s="2976">
        <v>120885</v>
      </c>
      <c r="F34" s="2976">
        <v>256512</v>
      </c>
      <c r="G34" s="2976" t="s">
        <v>1331</v>
      </c>
      <c r="H34" s="2976" t="s">
        <v>3240</v>
      </c>
      <c r="I34" s="2976" t="s">
        <v>3241</v>
      </c>
      <c r="J34" s="2976">
        <v>250000</v>
      </c>
      <c r="K34" s="2976">
        <v>1378.72</v>
      </c>
      <c r="L34" s="2976">
        <v>9746.1200000000008</v>
      </c>
      <c r="M34" s="2976">
        <v>0</v>
      </c>
      <c r="N34" s="2976" t="s">
        <v>3242</v>
      </c>
    </row>
    <row r="35" spans="1:14" s="2973" customFormat="1">
      <c r="A35" s="2977" t="s">
        <v>3243</v>
      </c>
      <c r="B35" s="2977" t="s">
        <v>3062</v>
      </c>
      <c r="C35" s="2977" t="s">
        <v>3154</v>
      </c>
      <c r="D35" s="2977" t="s">
        <v>3155</v>
      </c>
      <c r="E35" s="2977">
        <v>85709</v>
      </c>
      <c r="F35" s="2977">
        <v>179122</v>
      </c>
      <c r="G35" s="2977">
        <v>2.09</v>
      </c>
      <c r="H35" s="2977" t="s">
        <v>3244</v>
      </c>
      <c r="I35" s="2977" t="s">
        <v>3245</v>
      </c>
      <c r="J35" s="2977">
        <v>378000</v>
      </c>
      <c r="K35" s="2977">
        <v>2940.18</v>
      </c>
      <c r="L35" s="2977">
        <v>21102.93</v>
      </c>
      <c r="M35" s="2977">
        <v>200</v>
      </c>
      <c r="N35" s="2977" t="s">
        <v>3246</v>
      </c>
    </row>
    <row r="36" spans="1:14">
      <c r="A36" s="2976" t="s">
        <v>3247</v>
      </c>
      <c r="B36" s="2976" t="s">
        <v>3062</v>
      </c>
      <c r="C36" s="2976" t="s">
        <v>3154</v>
      </c>
      <c r="D36" s="2976" t="s">
        <v>3155</v>
      </c>
      <c r="E36" s="2976">
        <v>10384</v>
      </c>
      <c r="F36" s="2976">
        <v>25960</v>
      </c>
      <c r="G36" s="2976">
        <v>2.5</v>
      </c>
      <c r="H36" s="2976" t="s">
        <v>3244</v>
      </c>
      <c r="I36" s="2976" t="s">
        <v>3248</v>
      </c>
      <c r="J36" s="2976">
        <v>51300</v>
      </c>
      <c r="K36" s="2976">
        <v>3293.53</v>
      </c>
      <c r="L36" s="2976">
        <v>19761.16</v>
      </c>
      <c r="M36" s="2976">
        <v>0</v>
      </c>
      <c r="N36" s="2976" t="s">
        <v>3246</v>
      </c>
    </row>
    <row r="37" spans="1:14">
      <c r="A37" s="2976" t="s">
        <v>3249</v>
      </c>
      <c r="B37" s="2976" t="s">
        <v>3062</v>
      </c>
      <c r="C37" s="2976" t="s">
        <v>3154</v>
      </c>
      <c r="D37" s="2976" t="s">
        <v>3155</v>
      </c>
      <c r="E37" s="2976">
        <v>8466</v>
      </c>
      <c r="F37" s="2976">
        <v>21165</v>
      </c>
      <c r="G37" s="2976">
        <v>2.5</v>
      </c>
      <c r="H37" s="2976" t="s">
        <v>3250</v>
      </c>
      <c r="I37" s="2976" t="s">
        <v>3251</v>
      </c>
      <c r="J37" s="2976">
        <v>42000</v>
      </c>
      <c r="K37" s="2976">
        <v>3307.35</v>
      </c>
      <c r="L37" s="2976">
        <v>19844.080000000002</v>
      </c>
      <c r="M37" s="2976">
        <v>3.45</v>
      </c>
      <c r="N37" s="2976" t="s">
        <v>3246</v>
      </c>
    </row>
    <row r="38" spans="1:14">
      <c r="A38" s="2976" t="s">
        <v>3252</v>
      </c>
      <c r="B38" s="2976" t="s">
        <v>3062</v>
      </c>
      <c r="C38" s="2976" t="s">
        <v>3154</v>
      </c>
      <c r="D38" s="2976" t="s">
        <v>3155</v>
      </c>
      <c r="E38" s="2976">
        <v>33776</v>
      </c>
      <c r="F38" s="2976">
        <v>94573</v>
      </c>
      <c r="G38" s="2976">
        <v>2.8</v>
      </c>
      <c r="H38" s="2976" t="s">
        <v>3253</v>
      </c>
      <c r="I38" s="2976" t="s">
        <v>3254</v>
      </c>
      <c r="J38" s="2976">
        <v>99500</v>
      </c>
      <c r="K38" s="2976">
        <v>1963.92</v>
      </c>
      <c r="L38" s="2976">
        <v>10520.96</v>
      </c>
      <c r="M38" s="2976">
        <v>197.01</v>
      </c>
      <c r="N38" s="2976" t="s">
        <v>3255</v>
      </c>
    </row>
    <row r="39" spans="1:14">
      <c r="A39" s="2976" t="s">
        <v>3256</v>
      </c>
      <c r="B39" s="2976" t="s">
        <v>3062</v>
      </c>
      <c r="C39" s="2976" t="s">
        <v>3154</v>
      </c>
      <c r="D39" s="2976" t="s">
        <v>3155</v>
      </c>
      <c r="E39" s="2976">
        <v>15192</v>
      </c>
      <c r="F39" s="2976">
        <v>42538</v>
      </c>
      <c r="G39" s="2976">
        <v>2.8</v>
      </c>
      <c r="H39" s="2976" t="s">
        <v>3253</v>
      </c>
      <c r="I39" s="2976" t="s">
        <v>3254</v>
      </c>
      <c r="J39" s="2976">
        <v>46500</v>
      </c>
      <c r="K39" s="2976">
        <v>2040.55</v>
      </c>
      <c r="L39" s="2976">
        <v>10931.39</v>
      </c>
      <c r="M39" s="2976">
        <v>210</v>
      </c>
      <c r="N39" s="2976" t="s">
        <v>3255</v>
      </c>
    </row>
    <row r="40" spans="1:14">
      <c r="A40" s="2976" t="s">
        <v>3257</v>
      </c>
      <c r="B40" s="2976" t="s">
        <v>3062</v>
      </c>
      <c r="C40" s="2976" t="s">
        <v>3154</v>
      </c>
      <c r="D40" s="2976" t="s">
        <v>3155</v>
      </c>
      <c r="E40" s="2976">
        <v>63879</v>
      </c>
      <c r="F40" s="2976">
        <v>185533</v>
      </c>
      <c r="G40" s="2976">
        <v>2.9</v>
      </c>
      <c r="H40" s="2976" t="s">
        <v>3253</v>
      </c>
      <c r="I40" s="2976" t="s">
        <v>3254</v>
      </c>
      <c r="J40" s="2976">
        <v>115500</v>
      </c>
      <c r="K40" s="2976">
        <v>1205.4000000000001</v>
      </c>
      <c r="L40" s="2976">
        <v>6225.31</v>
      </c>
      <c r="M40" s="2976">
        <v>77.69</v>
      </c>
      <c r="N40" s="2976" t="s">
        <v>3255</v>
      </c>
    </row>
    <row r="41" spans="1:14">
      <c r="A41" s="2976" t="s">
        <v>3258</v>
      </c>
      <c r="B41" s="2976" t="s">
        <v>3062</v>
      </c>
      <c r="C41" s="2976" t="s">
        <v>3154</v>
      </c>
      <c r="D41" s="2976" t="s">
        <v>3155</v>
      </c>
      <c r="E41" s="2976">
        <v>64413</v>
      </c>
      <c r="F41" s="2976">
        <v>135267</v>
      </c>
      <c r="G41" s="2976">
        <v>2.1</v>
      </c>
      <c r="H41" s="2976" t="s">
        <v>3259</v>
      </c>
      <c r="I41" s="2976" t="s">
        <v>3260</v>
      </c>
      <c r="J41" s="2976">
        <v>40000</v>
      </c>
      <c r="K41" s="2976">
        <v>414</v>
      </c>
      <c r="L41" s="2976">
        <v>2957.11</v>
      </c>
      <c r="M41" s="2976">
        <v>97.04</v>
      </c>
      <c r="N41" s="2976" t="s">
        <v>3255</v>
      </c>
    </row>
    <row r="42" spans="1:14">
      <c r="A42" s="2976" t="s">
        <v>3261</v>
      </c>
      <c r="B42" s="2976" t="s">
        <v>3062</v>
      </c>
      <c r="C42" s="2976" t="s">
        <v>3154</v>
      </c>
      <c r="D42" s="2976" t="s">
        <v>3155</v>
      </c>
      <c r="E42" s="2976">
        <v>46605</v>
      </c>
      <c r="F42" s="2976">
        <v>163118</v>
      </c>
      <c r="G42" s="2976">
        <v>3.5</v>
      </c>
      <c r="H42" s="2976" t="s">
        <v>3262</v>
      </c>
      <c r="I42" s="2976" t="s">
        <v>3263</v>
      </c>
      <c r="J42" s="2976">
        <v>246000</v>
      </c>
      <c r="K42" s="2976">
        <v>3518.94</v>
      </c>
      <c r="L42" s="2976">
        <v>15081.11</v>
      </c>
      <c r="M42" s="2976">
        <v>214.18</v>
      </c>
      <c r="N42" s="2976" t="s">
        <v>3255</v>
      </c>
    </row>
    <row r="43" spans="1:14">
      <c r="A43" s="2976" t="s">
        <v>3264</v>
      </c>
      <c r="B43" s="2976" t="s">
        <v>3062</v>
      </c>
      <c r="C43" s="2976" t="s">
        <v>3154</v>
      </c>
      <c r="D43" s="2976" t="s">
        <v>3155</v>
      </c>
      <c r="E43" s="2976">
        <v>21431</v>
      </c>
      <c r="F43" s="2976">
        <v>25717</v>
      </c>
      <c r="G43" s="2976">
        <v>1.2</v>
      </c>
      <c r="H43" s="2976" t="s">
        <v>3262</v>
      </c>
      <c r="I43" s="2976" t="s">
        <v>3265</v>
      </c>
      <c r="J43" s="2976">
        <v>10400</v>
      </c>
      <c r="K43" s="2976">
        <v>323.52</v>
      </c>
      <c r="L43" s="2976">
        <v>4044.01</v>
      </c>
      <c r="M43" s="2976">
        <v>0.97</v>
      </c>
      <c r="N43" s="2976" t="s">
        <v>3255</v>
      </c>
    </row>
    <row r="44" spans="1:14">
      <c r="A44" s="2976" t="s">
        <v>3266</v>
      </c>
      <c r="B44" s="2976" t="s">
        <v>3062</v>
      </c>
      <c r="C44" s="2976" t="s">
        <v>3154</v>
      </c>
      <c r="D44" s="2976" t="s">
        <v>3155</v>
      </c>
      <c r="E44" s="2976">
        <v>63949</v>
      </c>
      <c r="F44" s="2976">
        <v>156384</v>
      </c>
      <c r="G44" s="2976">
        <v>2.4500000000000002</v>
      </c>
      <c r="H44" s="2976" t="s">
        <v>3206</v>
      </c>
      <c r="I44" s="2976" t="s">
        <v>3267</v>
      </c>
      <c r="J44" s="2976">
        <v>90000</v>
      </c>
      <c r="K44" s="2976">
        <v>938.25</v>
      </c>
      <c r="L44" s="2976">
        <v>5755.06</v>
      </c>
      <c r="M44" s="2976">
        <v>1.1200000000000001</v>
      </c>
      <c r="N44" s="2976" t="s">
        <v>3255</v>
      </c>
    </row>
    <row r="45" spans="1:14">
      <c r="A45" s="2976" t="s">
        <v>3268</v>
      </c>
      <c r="B45" s="2976" t="s">
        <v>3062</v>
      </c>
      <c r="C45" s="2976" t="s">
        <v>3154</v>
      </c>
      <c r="D45" s="2976" t="s">
        <v>3155</v>
      </c>
      <c r="E45" s="2976">
        <v>33260</v>
      </c>
      <c r="F45" s="2976">
        <v>116410</v>
      </c>
      <c r="G45" s="2976">
        <v>3.5</v>
      </c>
      <c r="H45" s="2976" t="s">
        <v>3269</v>
      </c>
      <c r="I45" s="2976" t="s">
        <v>3270</v>
      </c>
      <c r="J45" s="2976">
        <v>55300</v>
      </c>
      <c r="K45" s="2976">
        <v>1108.44</v>
      </c>
      <c r="L45" s="2976">
        <v>4750.4399999999996</v>
      </c>
      <c r="M45" s="2976">
        <v>0.55000000000000004</v>
      </c>
      <c r="N45" s="2976" t="s">
        <v>3255</v>
      </c>
    </row>
    <row r="46" spans="1:14">
      <c r="A46" s="2976" t="s">
        <v>3271</v>
      </c>
      <c r="B46" s="2976" t="s">
        <v>3062</v>
      </c>
      <c r="C46" s="2976" t="s">
        <v>3154</v>
      </c>
      <c r="D46" s="2976" t="s">
        <v>3155</v>
      </c>
      <c r="E46" s="2976">
        <v>24718</v>
      </c>
      <c r="F46" s="2976">
        <v>86513</v>
      </c>
      <c r="G46" s="2976">
        <v>3.5</v>
      </c>
      <c r="H46" s="2976" t="s">
        <v>3272</v>
      </c>
      <c r="I46" s="2976" t="s">
        <v>3270</v>
      </c>
      <c r="J46" s="2976">
        <v>42400</v>
      </c>
      <c r="K46" s="2976">
        <v>1143.57</v>
      </c>
      <c r="L46" s="2976">
        <v>4901</v>
      </c>
      <c r="M46" s="2976">
        <v>0.95</v>
      </c>
      <c r="N46" s="2976" t="s">
        <v>3255</v>
      </c>
    </row>
    <row r="47" spans="1:14">
      <c r="A47" s="2976" t="s">
        <v>3273</v>
      </c>
      <c r="B47" s="2976" t="s">
        <v>3062</v>
      </c>
      <c r="C47" s="2976" t="s">
        <v>3154</v>
      </c>
      <c r="D47" s="2976" t="s">
        <v>3155</v>
      </c>
      <c r="E47" s="2976">
        <v>18153</v>
      </c>
      <c r="F47" s="2976">
        <v>18859</v>
      </c>
      <c r="G47" s="2976">
        <v>1.04</v>
      </c>
      <c r="H47" s="2976" t="s">
        <v>3274</v>
      </c>
      <c r="I47" s="2976" t="s">
        <v>3275</v>
      </c>
      <c r="J47" s="2976">
        <v>3900</v>
      </c>
      <c r="K47" s="2976">
        <v>143.22999999999999</v>
      </c>
      <c r="L47" s="2976">
        <v>2067.98</v>
      </c>
      <c r="M47" s="2976">
        <v>0</v>
      </c>
      <c r="N47" s="2976" t="s">
        <v>3255</v>
      </c>
    </row>
    <row r="48" spans="1:14">
      <c r="A48" s="2976" t="s">
        <v>3276</v>
      </c>
      <c r="B48" s="2976" t="s">
        <v>3062</v>
      </c>
      <c r="C48" s="2976" t="s">
        <v>3154</v>
      </c>
      <c r="D48" s="2976" t="s">
        <v>3218</v>
      </c>
      <c r="E48" s="2976">
        <v>52958</v>
      </c>
      <c r="F48" s="2976">
        <v>121340</v>
      </c>
      <c r="G48" s="2976">
        <v>2.29</v>
      </c>
      <c r="H48" s="2976" t="s">
        <v>3277</v>
      </c>
      <c r="I48" s="2976" t="s">
        <v>3278</v>
      </c>
      <c r="J48" s="2976">
        <v>63600</v>
      </c>
      <c r="K48" s="2976">
        <v>800.63</v>
      </c>
      <c r="L48" s="2976">
        <v>5241.47</v>
      </c>
      <c r="M48" s="2976" t="s">
        <v>1331</v>
      </c>
      <c r="N48" s="2976" t="s">
        <v>3255</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61" t="s">
        <v>1662</v>
      </c>
      <c r="B1" s="3061"/>
      <c r="C1" s="3061"/>
      <c r="D1" s="3061"/>
    </row>
    <row r="2" spans="1:4" ht="17.399999999999999">
      <c r="A2" s="3062" t="s">
        <v>1646</v>
      </c>
      <c r="B2" s="3062"/>
      <c r="C2" s="3062"/>
      <c r="D2" s="3062"/>
    </row>
    <row r="3" spans="1:4" ht="17.399999999999999">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7.399999999999999">
      <c r="A6" s="3062" t="s">
        <v>1652</v>
      </c>
      <c r="B6" s="3062"/>
      <c r="C6" s="3062"/>
      <c r="D6" s="3062"/>
    </row>
    <row r="7" spans="1:4" ht="17.399999999999999">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7.399999999999999">
      <c r="A10" s="1980" t="s">
        <v>1654</v>
      </c>
      <c r="B10" s="727"/>
      <c r="C10" s="727"/>
      <c r="D10" s="727"/>
    </row>
    <row r="11" spans="1:4" ht="30" customHeight="1">
      <c r="A11" s="3063" t="s">
        <v>1655</v>
      </c>
      <c r="B11" s="3055"/>
      <c r="C11" s="3055"/>
      <c r="D11" s="3055"/>
    </row>
    <row r="12" spans="1:4" ht="15.6">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5" t="str">
        <f>IF(项目基本情况!B8="抵押","4.本次评估估价师所知悉的法定优先受偿款情况说明如下：","——")</f>
        <v>4.本次评估估价师所知悉的法定优先受偿款情况说明如下：</v>
      </c>
      <c r="B14" s="3060"/>
      <c r="C14" s="3060"/>
      <c r="D14" s="3060"/>
    </row>
    <row r="15" spans="1:4" ht="42" customHeight="1">
      <c r="A15" s="30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7" t="s">
        <v>1656</v>
      </c>
      <c r="B16" s="3057"/>
      <c r="C16" s="3057"/>
      <c r="D16" s="3057"/>
    </row>
    <row r="17" spans="1:4" ht="144" customHeight="1">
      <c r="A17" s="3057" t="s">
        <v>1657</v>
      </c>
      <c r="B17" s="3057"/>
      <c r="C17" s="3057"/>
      <c r="D17" s="3057"/>
    </row>
    <row r="18" spans="1:4" ht="15.75" customHeight="1">
      <c r="A18" s="3055" t="str">
        <f>IF(项目基本情况!B8="抵押",'结果表（办公）'!K120,"——")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1"/>
      <c r="B23" s="1953"/>
      <c r="C23" s="1953"/>
      <c r="D23" s="1953"/>
    </row>
    <row r="24" spans="1:4">
      <c r="A24" s="1981"/>
      <c r="B24" s="1953"/>
      <c r="C24" s="1953"/>
      <c r="D24" s="1953"/>
    </row>
    <row r="25" spans="1:4" ht="17.399999999999999">
      <c r="A25" s="1982" t="s">
        <v>1659</v>
      </c>
    </row>
    <row r="26" spans="1:4" ht="17.399999999999999">
      <c r="A26" s="1951"/>
    </row>
    <row r="27" spans="1:4" ht="17.399999999999999">
      <c r="A27" s="1951" t="s">
        <v>1660</v>
      </c>
    </row>
    <row r="30" spans="1:4" ht="17.399999999999999">
      <c r="D30" s="1982" t="s">
        <v>1661</v>
      </c>
    </row>
    <row r="31" spans="1:4" ht="13.5" customHeight="1">
      <c r="C31" s="3056">
        <v>42551</v>
      </c>
      <c r="D31" s="30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870</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4.4">
      <c r="A15" s="3069" t="s">
        <v>1669</v>
      </c>
      <c r="B15" s="3064" t="s">
        <v>136</v>
      </c>
      <c r="C15" s="3065"/>
    </row>
    <row r="16" spans="1:7" ht="14.4">
      <c r="A16" s="3070"/>
      <c r="B16" s="3064" t="s">
        <v>69</v>
      </c>
      <c r="C16" s="3065"/>
    </row>
    <row r="17" spans="1:3" ht="14.4">
      <c r="A17" s="3070"/>
      <c r="B17" s="3067" t="s">
        <v>1670</v>
      </c>
      <c r="C17" s="1996" t="s">
        <v>1669</v>
      </c>
    </row>
    <row r="18" spans="1:3" ht="14.4">
      <c r="A18" s="3070"/>
      <c r="B18" s="3067"/>
      <c r="C18" s="1996" t="s">
        <v>1671</v>
      </c>
    </row>
    <row r="19" spans="1:3" ht="14.4">
      <c r="A19" s="3070"/>
      <c r="B19" s="3067"/>
      <c r="C19" s="1996" t="s">
        <v>1672</v>
      </c>
    </row>
    <row r="20" spans="1:3" ht="14.4">
      <c r="A20" s="3071"/>
      <c r="B20" s="3066" t="s">
        <v>1673</v>
      </c>
      <c r="C20" s="3065"/>
    </row>
    <row r="21" spans="1:3" ht="14.4">
      <c r="A21" s="1997" t="s">
        <v>1674</v>
      </c>
      <c r="B21" s="1998"/>
      <c r="C21" s="1999"/>
    </row>
    <row r="22" spans="1:3" ht="14.4">
      <c r="A22" s="3068" t="s">
        <v>1675</v>
      </c>
      <c r="B22" s="3066" t="s">
        <v>1676</v>
      </c>
      <c r="C22" s="3065"/>
    </row>
    <row r="23" spans="1:3" ht="14.4">
      <c r="A23" s="3068"/>
      <c r="B23" s="3066" t="s">
        <v>1677</v>
      </c>
      <c r="C23" s="3065"/>
    </row>
    <row r="24" spans="1:3" ht="14.4">
      <c r="A24" s="3068"/>
      <c r="B24" s="3066" t="s">
        <v>1678</v>
      </c>
      <c r="C24" s="3065"/>
    </row>
    <row r="25" spans="1:3" ht="14.4">
      <c r="A25" s="3068"/>
      <c r="B25" s="3067" t="s">
        <v>1679</v>
      </c>
      <c r="C25" s="1996" t="s">
        <v>1680</v>
      </c>
    </row>
    <row r="26" spans="1:3" ht="14.4">
      <c r="A26" s="3068"/>
      <c r="B26" s="3067"/>
      <c r="C26" s="1996" t="s">
        <v>1681</v>
      </c>
    </row>
    <row r="27" spans="1:3" ht="14.4">
      <c r="A27" s="3068"/>
      <c r="B27" s="3067"/>
      <c r="C27" s="1996" t="s">
        <v>1682</v>
      </c>
    </row>
    <row r="28" spans="1:3" ht="14.4">
      <c r="A28" s="3068"/>
      <c r="B28" s="3067"/>
      <c r="C28" s="1996" t="s">
        <v>1683</v>
      </c>
    </row>
    <row r="29" spans="1:3" ht="14.4">
      <c r="A29" s="3068"/>
      <c r="B29" s="3067"/>
      <c r="C29" s="1996" t="s">
        <v>1684</v>
      </c>
    </row>
    <row r="30" spans="1:3" ht="14.4">
      <c r="A30" s="3068"/>
      <c r="B30" s="3067"/>
      <c r="C30" s="1996" t="s">
        <v>1685</v>
      </c>
    </row>
    <row r="31" spans="1:3" ht="14.4">
      <c r="A31" s="3068"/>
      <c r="B31" s="3067"/>
      <c r="C31" s="1996" t="s">
        <v>1686</v>
      </c>
    </row>
    <row r="32" spans="1:3" ht="14.4">
      <c r="A32" s="3068"/>
      <c r="B32" s="3067"/>
      <c r="C32" s="1996" t="s">
        <v>1687</v>
      </c>
    </row>
    <row r="33" spans="1:3" ht="14.4">
      <c r="A33" s="3068"/>
      <c r="B33" s="3067"/>
      <c r="C33" s="1996" t="s">
        <v>1688</v>
      </c>
    </row>
    <row r="34" spans="1:3">
      <c r="A34" s="2000" t="s">
        <v>76</v>
      </c>
    </row>
    <row r="37" spans="1:3">
      <c r="A37" s="2000" t="s">
        <v>1689</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43272</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72" t="s">
        <v>846</v>
      </c>
      <c r="B25" s="3072"/>
      <c r="C25" s="3072"/>
      <c r="D25" s="3072"/>
      <c r="E25" s="3072"/>
      <c r="F25" s="3072"/>
      <c r="G25" s="3072"/>
    </row>
    <row r="26" spans="1:7" s="1021" customFormat="1" ht="24" customHeight="1">
      <c r="A26" s="3073" t="s">
        <v>847</v>
      </c>
      <c r="B26" s="3073"/>
      <c r="C26" s="3074"/>
      <c r="D26" s="3075" t="s">
        <v>848</v>
      </c>
      <c r="E26" s="3073"/>
      <c r="F26" s="3073"/>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2018-06-21T07:23:58Z</dcterms:modified>
</cp:coreProperties>
</file>