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883B9F05-8F0B-418B-A583-6F57C38CFBDD}" xr6:coauthVersionLast="47" xr6:coauthVersionMax="47" xr10:uidLastSave="{00000000-0000-0000-0000-000000000000}"/>
  <bookViews>
    <workbookView xWindow="-120" yWindow="-120" windowWidth="38640" windowHeight="212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分套结果" sheetId="92" r:id="rId18"/>
    <sheet name="结果表" sheetId="94" r:id="rId19"/>
    <sheet name="结果表-2号楼1层商业" sheetId="9" r:id="rId20"/>
    <sheet name="成本法" sheetId="68" state="hidden" r:id="rId21"/>
    <sheet name="假设开发法" sheetId="12" state="hidden" r:id="rId22"/>
    <sheet name="收益法" sheetId="15" state="hidden" r:id="rId23"/>
    <sheet name="收益法 (元)-商业" sheetId="67" r:id="rId24"/>
    <sheet name="收益法-酒店模型" sheetId="77" state="hidden" r:id="rId25"/>
    <sheet name="比较法-商业" sheetId="33" r:id="rId26"/>
    <sheet name="市场售价案例" sheetId="87" r:id="rId27"/>
    <sheet name="结果表-办公" sheetId="88" r:id="rId28"/>
    <sheet name="收益法 (元)-办公" sheetId="84" r:id="rId29"/>
    <sheet name="比较法-办公" sheetId="34" r:id="rId30"/>
    <sheet name="结果表-车位" sheetId="89" r:id="rId31"/>
    <sheet name="收益法 (元)-车位" sheetId="85" r:id="rId32"/>
    <sheet name="比较法-车位" sheetId="35" r:id="rId33"/>
    <sheet name="结果表-仓储" sheetId="91" r:id="rId34"/>
    <sheet name="收益法 (元)-仓储" sheetId="86" r:id="rId35"/>
    <sheet name="比较法-仓储" sheetId="36" r:id="rId36"/>
    <sheet name="收益法（汇总）" sheetId="70" state="hidden" r:id="rId37"/>
    <sheet name="比较法-住宅" sheetId="21" state="hidden" r:id="rId38"/>
    <sheet name="比较法-工业" sheetId="37" state="hidden" r:id="rId39"/>
    <sheet name="权属信息" sheetId="83" r:id="rId40"/>
    <sheet name="租金案例" sheetId="80" r:id="rId41"/>
    <sheet name="成本法 (元)-商业" sheetId="69" state="hidden" r:id="rId42"/>
    <sheet name="土地比较法-住宅、综合" sheetId="39" state="hidden" r:id="rId43"/>
    <sheet name="土地案例" sheetId="81" r:id="rId44"/>
    <sheet name="最终结果" sheetId="82"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8" hidden="1">'比较法-工业'!$A$1:$L$43</definedName>
    <definedName name="_xlnm._FilterDatabase" localSheetId="25" hidden="1">'比较法-商业'!$A$1:$L$49</definedName>
    <definedName name="_xlnm._FilterDatabase" localSheetId="37" hidden="1">'比较法-住宅'!$A$1:$L$49</definedName>
    <definedName name="_xlnm._FilterDatabase" localSheetId="17" hidden="1">分套结果!$I$1:$BI$224</definedName>
    <definedName name="_xlnm._FilterDatabase" localSheetId="18" hidden="1">结果表!$A$1:$BA$224</definedName>
    <definedName name="_xlnm._FilterDatabase" localSheetId="12" hidden="1">'数据-基础表'!$A$12:$AT$587</definedName>
    <definedName name="_xlnm._FilterDatabase" localSheetId="45" hidden="1">'土地比较法-工业'!$A$1:$L$43</definedName>
    <definedName name="_xlnm._FilterDatabase" localSheetId="42" hidden="1">'土地比较法-住宅、综合'!$A$1:$L$48</definedName>
    <definedName name="_xlnm._FilterDatabase" localSheetId="11" hidden="1">项目基本情况!$A$42:$N$42</definedName>
    <definedName name="_xlnm._FilterDatabase" localSheetId="44" hidden="1">最终结果!$A$1:$BF$107</definedName>
    <definedName name="_xlnm.Print_Area" localSheetId="29">'比较法-办公'!$A$1:$K$55,'比较法-办公'!$A$58:$M$132</definedName>
    <definedName name="_xlnm.Print_Area" localSheetId="35">'比较法-仓储'!$A$1:$K$42,'比较法-仓储'!$A$45:$M$96</definedName>
    <definedName name="_xlnm.Print_Area" localSheetId="32">'比较法-车位'!$A$1:$K$44,'比较法-车位'!$A$47:$M$102</definedName>
    <definedName name="_xlnm.Print_Area" localSheetId="38">'比较法-工业'!$A$1:$K$48,'比较法-工业'!$A$51:$M$113</definedName>
    <definedName name="_xlnm.Print_Area" localSheetId="25">'比较法-商业'!$A$1:$K$54,'比较法-商业'!$A$57:$M$131</definedName>
    <definedName name="_xlnm.Print_Area" localSheetId="37">'比较法-住宅'!$A$1:$K$54,'比较法-住宅'!$A$57:$M$131</definedName>
    <definedName name="_xlnm.Print_Area" localSheetId="20">成本法!$A$1:$G$57</definedName>
    <definedName name="_xlnm.Print_Area" localSheetId="41">'成本法 (元)-商业'!$A$1:$G$57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21">假设开发法!$A$1:$K$32</definedName>
    <definedName name="_xlnm.Print_Area" localSheetId="19">'结果表-2号楼1层商业'!$A$1:$I$127</definedName>
    <definedName name="_xlnm.Print_Area" localSheetId="27">'结果表-办公'!$A$1:$I$127</definedName>
    <definedName name="_xlnm.Print_Area" localSheetId="33">'结果表-仓储'!$A$1:$I$127</definedName>
    <definedName name="_xlnm.Print_Area" localSheetId="30">'结果表-车位'!$A$1:$I$127</definedName>
    <definedName name="_xlnm.Print_Area" localSheetId="22">收益法!$A$1:$F$43,收益法!$H$3:$M$29,收益法!$A$46:$F$71,收益法!$I$46:$N$65</definedName>
    <definedName name="_xlnm.Print_Area" localSheetId="28">'收益法 (元)-办公'!$A$1:$F$43,'收益法 (元)-办公'!$H$3:$M$29,'收益法 (元)-办公'!$A$45:$F$71,'收益法 (元)-办公'!$I$46:$N$65</definedName>
    <definedName name="_xlnm.Print_Area" localSheetId="34">'收益法 (元)-仓储'!$A$1:$F$43,'收益法 (元)-仓储'!$H$3:$M$29,'收益法 (元)-仓储'!$A$45:$F$71,'收益法 (元)-仓储'!$I$46:$N$65</definedName>
    <definedName name="_xlnm.Print_Area" localSheetId="31">'收益法 (元)-车位'!$A$1:$F$43,'收益法 (元)-车位'!$H$3:$M$29,'收益法 (元)-车位'!$A$45:$F$71,'收益法 (元)-车位'!$I$46:$N$65</definedName>
    <definedName name="_xlnm.Print_Area" localSheetId="23">'收益法 (元)-商业'!$A$1:$F$43,'收益法 (元)-商业'!$H$3:$M$29,'收益法 (元)-商业'!$A$45:$F$71,'收益法 (元)-商业'!$I$46:$N$65</definedName>
    <definedName name="_xlnm.Print_Area" localSheetId="36">'收益法（汇总）'!$A$1:$F$13</definedName>
    <definedName name="_xlnm.Print_Area" localSheetId="13">'数据-汇总表'!$A$1:$P$32</definedName>
    <definedName name="_xlnm.Print_Area" localSheetId="45">'土地比较法-工业'!$A$1:$K$61,'土地比较法-工业'!$A$64:$M$121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pivotCaches>
    <pivotCache cacheId="6" r:id="rId60"/>
    <pivotCache cacheId="7" r:id="rId61"/>
    <pivotCache cacheId="8" r:id="rId62"/>
  </pivotCaches>
</workbook>
</file>

<file path=xl/calcChain.xml><?xml version="1.0" encoding="utf-8"?>
<calcChain xmlns="http://schemas.openxmlformats.org/spreadsheetml/2006/main">
  <c r="F6" i="85" l="1"/>
  <c r="F8" i="85"/>
  <c r="F7" i="85"/>
  <c r="F9" i="85"/>
  <c r="C6" i="85"/>
  <c r="F4" i="73"/>
  <c r="I1" i="73"/>
  <c r="B39" i="1"/>
  <c r="F11" i="85"/>
  <c r="C10" i="85"/>
  <c r="C5" i="85"/>
  <c r="C32" i="85"/>
  <c r="C33" i="85"/>
  <c r="R8" i="1"/>
  <c r="F35" i="85"/>
  <c r="C34" i="85"/>
  <c r="C31" i="85"/>
  <c r="F43" i="85"/>
  <c r="C14" i="85"/>
  <c r="C15" i="85"/>
  <c r="F16" i="85"/>
  <c r="C16" i="85"/>
  <c r="C17" i="85"/>
  <c r="C18" i="85"/>
  <c r="C19" i="85"/>
  <c r="C20" i="85"/>
  <c r="D5" i="73"/>
  <c r="D7" i="73"/>
  <c r="G1" i="73"/>
  <c r="B40" i="1"/>
  <c r="F24" i="85"/>
  <c r="C23" i="85"/>
  <c r="F26" i="85"/>
  <c r="C26" i="85"/>
  <c r="C24" i="85"/>
  <c r="C27" i="85"/>
  <c r="C29" i="85"/>
  <c r="F36" i="85"/>
  <c r="C36" i="85"/>
  <c r="F13" i="85"/>
  <c r="C13" i="85"/>
  <c r="F37" i="85"/>
  <c r="C37" i="85"/>
  <c r="F38" i="85"/>
  <c r="C38" i="85"/>
  <c r="C30" i="85"/>
  <c r="C39" i="85"/>
  <c r="F42" i="85"/>
  <c r="F40" i="85"/>
  <c r="L48" i="85"/>
  <c r="J53" i="85"/>
  <c r="F1" i="85"/>
  <c r="AE8" i="1"/>
  <c r="F41" i="85"/>
  <c r="C40" i="85"/>
  <c r="M6" i="85"/>
  <c r="M8" i="85"/>
  <c r="M7" i="85"/>
  <c r="M9" i="85"/>
  <c r="J6" i="85"/>
  <c r="M11" i="85"/>
  <c r="J10" i="85"/>
  <c r="J5" i="85"/>
  <c r="J26" i="85"/>
  <c r="J29" i="85"/>
  <c r="J57" i="85"/>
  <c r="J55" i="85"/>
  <c r="J58" i="85"/>
  <c r="J59" i="85"/>
  <c r="J60" i="85"/>
  <c r="L46" i="85"/>
  <c r="D2" i="85"/>
  <c r="B3" i="85"/>
  <c r="C20" i="89"/>
  <c r="F10" i="35"/>
  <c r="AA10" i="35"/>
  <c r="B97" i="35"/>
  <c r="F34" i="35"/>
  <c r="AA34" i="35"/>
  <c r="R38" i="35"/>
  <c r="H10" i="35"/>
  <c r="AB10" i="35"/>
  <c r="H34" i="35"/>
  <c r="AB34" i="35"/>
  <c r="T38" i="35"/>
  <c r="J10" i="35"/>
  <c r="AC10" i="35"/>
  <c r="J34" i="35"/>
  <c r="AC34" i="35"/>
  <c r="V38" i="35"/>
  <c r="R39" i="35"/>
  <c r="C39" i="35"/>
  <c r="B3" i="35"/>
  <c r="D20" i="89"/>
  <c r="G20" i="89"/>
  <c r="X2" i="92"/>
  <c r="Y2" i="92"/>
  <c r="X3" i="92"/>
  <c r="Y3" i="92"/>
  <c r="X4" i="92"/>
  <c r="Y4" i="92"/>
  <c r="X5" i="92"/>
  <c r="Y5" i="92"/>
  <c r="X6" i="92"/>
  <c r="Y6" i="92"/>
  <c r="X7" i="92"/>
  <c r="Y7" i="92"/>
  <c r="X8" i="92"/>
  <c r="Y8" i="92"/>
  <c r="X9" i="92"/>
  <c r="Y9" i="92"/>
  <c r="X10" i="92"/>
  <c r="Y10" i="92"/>
  <c r="X11" i="92"/>
  <c r="Y11" i="92"/>
  <c r="X12" i="92"/>
  <c r="Y12" i="92"/>
  <c r="X13" i="92"/>
  <c r="Y13" i="92"/>
  <c r="X14" i="92"/>
  <c r="Y14" i="92"/>
  <c r="X15" i="92"/>
  <c r="Y15" i="92"/>
  <c r="X16" i="92"/>
  <c r="Y16" i="92"/>
  <c r="X17" i="92"/>
  <c r="Y17" i="92"/>
  <c r="X18" i="92"/>
  <c r="Y18" i="92"/>
  <c r="X19" i="92"/>
  <c r="Y19" i="92"/>
  <c r="X20" i="92"/>
  <c r="Y20" i="92"/>
  <c r="X21" i="92"/>
  <c r="Y21" i="92"/>
  <c r="X22" i="92"/>
  <c r="Y22" i="92"/>
  <c r="X23" i="92"/>
  <c r="Y23" i="92"/>
  <c r="X24" i="92"/>
  <c r="Y24" i="92"/>
  <c r="X25" i="92"/>
  <c r="Y25" i="92"/>
  <c r="X26" i="92"/>
  <c r="Y26" i="92"/>
  <c r="X27" i="92"/>
  <c r="Y27" i="92"/>
  <c r="X28" i="92"/>
  <c r="Y28" i="92"/>
  <c r="X29" i="92"/>
  <c r="Y29" i="92"/>
  <c r="X30" i="92"/>
  <c r="Y30" i="92"/>
  <c r="X31" i="92"/>
  <c r="Y31" i="92"/>
  <c r="X32" i="92"/>
  <c r="Y32" i="92"/>
  <c r="X33" i="92"/>
  <c r="Y33" i="92"/>
  <c r="X34" i="92"/>
  <c r="Y34" i="92"/>
  <c r="X35" i="92"/>
  <c r="Y35" i="92"/>
  <c r="X36" i="92"/>
  <c r="Y36" i="92"/>
  <c r="X37" i="92"/>
  <c r="Y37" i="92"/>
  <c r="X38" i="92"/>
  <c r="Y38" i="92"/>
  <c r="X39" i="92"/>
  <c r="Y39" i="92"/>
  <c r="X40" i="92"/>
  <c r="Y40" i="92"/>
  <c r="X41" i="92"/>
  <c r="Y41" i="92"/>
  <c r="X42" i="92"/>
  <c r="Y42" i="92"/>
  <c r="X43" i="92"/>
  <c r="Y43" i="92"/>
  <c r="X44" i="92"/>
  <c r="Y44" i="92"/>
  <c r="X45" i="92"/>
  <c r="Y45" i="92"/>
  <c r="X46" i="92"/>
  <c r="Y46" i="92"/>
  <c r="X47" i="92"/>
  <c r="Y47" i="92"/>
  <c r="X48" i="92"/>
  <c r="Y48" i="92"/>
  <c r="X49" i="92"/>
  <c r="Y49" i="92"/>
  <c r="X50" i="92"/>
  <c r="Y50" i="92"/>
  <c r="X51" i="92"/>
  <c r="Y51" i="92"/>
  <c r="X52" i="92"/>
  <c r="Y52" i="92"/>
  <c r="X53" i="92"/>
  <c r="Y53" i="92"/>
  <c r="X54" i="92"/>
  <c r="Y54" i="92"/>
  <c r="X55" i="92"/>
  <c r="Y55" i="92"/>
  <c r="X56" i="92"/>
  <c r="Y56" i="92"/>
  <c r="X57" i="92"/>
  <c r="Y57" i="92"/>
  <c r="X58" i="92"/>
  <c r="Y58" i="92"/>
  <c r="X59" i="92"/>
  <c r="Y59" i="92"/>
  <c r="X60" i="92"/>
  <c r="Y60" i="92"/>
  <c r="X61" i="92"/>
  <c r="Y61" i="92"/>
  <c r="X62" i="92"/>
  <c r="Y62" i="92"/>
  <c r="X63" i="92"/>
  <c r="Y63" i="92"/>
  <c r="X64" i="92"/>
  <c r="Y64" i="92"/>
  <c r="X65" i="92"/>
  <c r="Y65" i="92"/>
  <c r="X66" i="92"/>
  <c r="Y66" i="92"/>
  <c r="X67" i="92"/>
  <c r="Y67" i="92"/>
  <c r="X68" i="92"/>
  <c r="Y68" i="92"/>
  <c r="X69" i="92"/>
  <c r="Y69" i="92"/>
  <c r="X70" i="92"/>
  <c r="Y70" i="92"/>
  <c r="X71" i="92"/>
  <c r="Y71" i="92"/>
  <c r="X72" i="92"/>
  <c r="Y72" i="92"/>
  <c r="X73" i="92"/>
  <c r="Y73" i="92"/>
  <c r="X74" i="92"/>
  <c r="Y74" i="92"/>
  <c r="X75" i="92"/>
  <c r="Y75" i="92"/>
  <c r="X76" i="92"/>
  <c r="Y76" i="92"/>
  <c r="X77" i="92"/>
  <c r="Y77" i="92"/>
  <c r="X78" i="92"/>
  <c r="Y78" i="92"/>
  <c r="X79" i="92"/>
  <c r="Y79" i="92"/>
  <c r="X80" i="92"/>
  <c r="Y80" i="92"/>
  <c r="X81" i="92"/>
  <c r="Y81" i="92"/>
  <c r="X82" i="92"/>
  <c r="Y82" i="92"/>
  <c r="X83" i="92"/>
  <c r="Y83" i="92"/>
  <c r="X84" i="92"/>
  <c r="Y84" i="92"/>
  <c r="X85" i="92"/>
  <c r="Y85" i="92"/>
  <c r="X86" i="92"/>
  <c r="Y86" i="92"/>
  <c r="X87" i="92"/>
  <c r="Y87" i="92"/>
  <c r="X88" i="92"/>
  <c r="Y88" i="92"/>
  <c r="X89" i="92"/>
  <c r="Y89" i="92"/>
  <c r="X90" i="92"/>
  <c r="Y90" i="92"/>
  <c r="X91" i="92"/>
  <c r="Y91" i="92"/>
  <c r="X92" i="92"/>
  <c r="Y92" i="92"/>
  <c r="X93" i="92"/>
  <c r="Y93" i="92"/>
  <c r="X94" i="92"/>
  <c r="Y94" i="92"/>
  <c r="X95" i="92"/>
  <c r="Y95" i="92"/>
  <c r="X96" i="92"/>
  <c r="Y96" i="92"/>
  <c r="F6" i="86"/>
  <c r="F8" i="86"/>
  <c r="F7" i="86"/>
  <c r="F9" i="86"/>
  <c r="C6" i="86"/>
  <c r="F11" i="86"/>
  <c r="C10" i="86"/>
  <c r="C5" i="86"/>
  <c r="C32" i="86"/>
  <c r="C33" i="86"/>
  <c r="R9" i="1"/>
  <c r="F35" i="86"/>
  <c r="C34" i="86"/>
  <c r="C31" i="86"/>
  <c r="F43" i="86"/>
  <c r="C14" i="86"/>
  <c r="C15" i="86"/>
  <c r="F16" i="86"/>
  <c r="C16"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9" i="1"/>
  <c r="F41" i="86"/>
  <c r="C40" i="86"/>
  <c r="M6" i="86"/>
  <c r="M8" i="86"/>
  <c r="M7" i="86"/>
  <c r="M9" i="86"/>
  <c r="J6" i="86"/>
  <c r="M11" i="86"/>
  <c r="J10" i="86"/>
  <c r="J5" i="86"/>
  <c r="J26" i="86"/>
  <c r="J29" i="86"/>
  <c r="J57" i="86"/>
  <c r="J55" i="86"/>
  <c r="J58" i="86"/>
  <c r="J59" i="86"/>
  <c r="J60" i="86"/>
  <c r="L46" i="86"/>
  <c r="D2" i="86"/>
  <c r="B3" i="86"/>
  <c r="C20" i="91"/>
  <c r="F10" i="36"/>
  <c r="AA10" i="36"/>
  <c r="B91" i="36"/>
  <c r="F32" i="36"/>
  <c r="AA32" i="36"/>
  <c r="R36" i="36"/>
  <c r="H10" i="36"/>
  <c r="AB10" i="36"/>
  <c r="H32" i="36"/>
  <c r="AB32" i="36"/>
  <c r="T36" i="36"/>
  <c r="J10" i="36"/>
  <c r="AC10" i="36"/>
  <c r="J32" i="36"/>
  <c r="AC32" i="36"/>
  <c r="V36" i="36"/>
  <c r="R37" i="36"/>
  <c r="C37" i="36"/>
  <c r="B3" i="36"/>
  <c r="D20" i="91"/>
  <c r="G20" i="91"/>
  <c r="X97" i="92"/>
  <c r="Y97" i="92"/>
  <c r="X98" i="92"/>
  <c r="Y98" i="92"/>
  <c r="X99" i="92"/>
  <c r="Y99" i="92"/>
  <c r="X100" i="92"/>
  <c r="Y100" i="92"/>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F10" i="33"/>
  <c r="AA10" i="33"/>
  <c r="D125" i="33"/>
  <c r="E125" i="33"/>
  <c r="F125" i="33"/>
  <c r="F43" i="33"/>
  <c r="AA43" i="33"/>
  <c r="R48" i="33"/>
  <c r="H10" i="33"/>
  <c r="AB10" i="33"/>
  <c r="H43" i="33"/>
  <c r="AB43" i="33"/>
  <c r="T48" i="33"/>
  <c r="J10" i="33"/>
  <c r="AC10" i="33"/>
  <c r="J43" i="33"/>
  <c r="AC43" i="33"/>
  <c r="V48" i="33"/>
  <c r="R49" i="33"/>
  <c r="C49" i="33"/>
  <c r="B3" i="33"/>
  <c r="D20" i="9"/>
  <c r="G20" i="9"/>
  <c r="E35" i="92"/>
  <c r="E34" i="92"/>
  <c r="X101" i="92"/>
  <c r="Y101" i="92"/>
  <c r="X102" i="92"/>
  <c r="Y102" i="92"/>
  <c r="X103" i="92"/>
  <c r="Y103" i="92"/>
  <c r="X104" i="92"/>
  <c r="Y104" i="92"/>
  <c r="X105" i="92"/>
  <c r="Y105" i="92"/>
  <c r="X106" i="92"/>
  <c r="Y106" i="92"/>
  <c r="X107" i="92"/>
  <c r="Y107" i="92"/>
  <c r="X108" i="92"/>
  <c r="Y108" i="92"/>
  <c r="X109" i="92"/>
  <c r="Y109" i="92"/>
  <c r="X110" i="92"/>
  <c r="Y110" i="92"/>
  <c r="X111" i="92"/>
  <c r="Y111" i="92"/>
  <c r="X112" i="92"/>
  <c r="Y112" i="92"/>
  <c r="X113" i="92"/>
  <c r="Y113" i="92"/>
  <c r="X114" i="92"/>
  <c r="Y114" i="92"/>
  <c r="X115" i="92"/>
  <c r="Y115" i="92"/>
  <c r="X116" i="92"/>
  <c r="Y116" i="92"/>
  <c r="X117" i="92"/>
  <c r="Y117" i="92"/>
  <c r="X118" i="92"/>
  <c r="Y118" i="92"/>
  <c r="X119" i="92"/>
  <c r="Y119" i="92"/>
  <c r="X120" i="92"/>
  <c r="Y120" i="92"/>
  <c r="X121" i="92"/>
  <c r="Y121" i="92"/>
  <c r="X122" i="92"/>
  <c r="Y122" i="92"/>
  <c r="X123" i="92"/>
  <c r="Y123" i="92"/>
  <c r="X124" i="92"/>
  <c r="Y124" i="92"/>
  <c r="X125" i="92"/>
  <c r="Y125" i="92"/>
  <c r="X126" i="92"/>
  <c r="Y126" i="92"/>
  <c r="X127" i="92"/>
  <c r="Y127" i="92"/>
  <c r="X128" i="92"/>
  <c r="Y128" i="92"/>
  <c r="X129" i="92"/>
  <c r="Y129" i="92"/>
  <c r="X130" i="92"/>
  <c r="Y130" i="92"/>
  <c r="X131" i="92"/>
  <c r="Y131" i="92"/>
  <c r="X132" i="92"/>
  <c r="Y132" i="92"/>
  <c r="X133" i="92"/>
  <c r="Y133" i="92"/>
  <c r="X134" i="92"/>
  <c r="Y134" i="92"/>
  <c r="X135" i="92"/>
  <c r="Y135" i="92"/>
  <c r="X136" i="92"/>
  <c r="Y136" i="92"/>
  <c r="X137" i="92"/>
  <c r="Y137" i="92"/>
  <c r="X138" i="92"/>
  <c r="Y138" i="92"/>
  <c r="X139" i="92"/>
  <c r="Y139" i="92"/>
  <c r="X140" i="92"/>
  <c r="Y140" i="92"/>
  <c r="X141" i="92"/>
  <c r="Y141" i="92"/>
  <c r="X142" i="92"/>
  <c r="Y142" i="92"/>
  <c r="X143" i="92"/>
  <c r="Y143" i="92"/>
  <c r="X144" i="92"/>
  <c r="Y144" i="92"/>
  <c r="X145" i="92"/>
  <c r="Y145" i="92"/>
  <c r="X146" i="92"/>
  <c r="Y146" i="92"/>
  <c r="X147" i="92"/>
  <c r="Y147" i="92"/>
  <c r="X148" i="92"/>
  <c r="Y148" i="92"/>
  <c r="X149" i="92"/>
  <c r="Y149" i="92"/>
  <c r="X150" i="92"/>
  <c r="Y150" i="92"/>
  <c r="X151" i="92"/>
  <c r="Y151" i="92"/>
  <c r="X152" i="92"/>
  <c r="Y152" i="92"/>
  <c r="X153" i="92"/>
  <c r="Y153" i="92"/>
  <c r="X154" i="92"/>
  <c r="Y154" i="92"/>
  <c r="X155" i="92"/>
  <c r="Y155" i="92"/>
  <c r="X156" i="92"/>
  <c r="Y156" i="92"/>
  <c r="X157" i="92"/>
  <c r="Y157" i="92"/>
  <c r="X158" i="92"/>
  <c r="Y158" i="92"/>
  <c r="X159" i="92"/>
  <c r="Y159" i="92"/>
  <c r="X160" i="92"/>
  <c r="Y160" i="92"/>
  <c r="X161" i="92"/>
  <c r="Y161" i="92"/>
  <c r="X162" i="92"/>
  <c r="Y162" i="92"/>
  <c r="X163" i="92"/>
  <c r="Y163" i="92"/>
  <c r="X164" i="92"/>
  <c r="Y164" i="92"/>
  <c r="X165" i="92"/>
  <c r="Y165" i="92"/>
  <c r="X166" i="92"/>
  <c r="Y166" i="92"/>
  <c r="X167" i="92"/>
  <c r="Y167" i="92"/>
  <c r="X168" i="92"/>
  <c r="Y168" i="92"/>
  <c r="X169" i="92"/>
  <c r="Y169" i="92"/>
  <c r="X170" i="92"/>
  <c r="Y170" i="92"/>
  <c r="X171" i="92"/>
  <c r="Y171" i="92"/>
  <c r="X172" i="92"/>
  <c r="Y172" i="92"/>
  <c r="X173" i="92"/>
  <c r="Y173" i="92"/>
  <c r="X174" i="92"/>
  <c r="Y174" i="92"/>
  <c r="X175" i="92"/>
  <c r="Y175" i="92"/>
  <c r="X176" i="92"/>
  <c r="Y176" i="92"/>
  <c r="X177" i="92"/>
  <c r="Y177" i="92"/>
  <c r="X178" i="92"/>
  <c r="Y178" i="92"/>
  <c r="X179" i="92"/>
  <c r="Y179" i="92"/>
  <c r="X180" i="92"/>
  <c r="Y180" i="92"/>
  <c r="X181" i="92"/>
  <c r="Y181" i="92"/>
  <c r="X182" i="92"/>
  <c r="Y182" i="92"/>
  <c r="X183" i="92"/>
  <c r="Y183" i="92"/>
  <c r="X184" i="92"/>
  <c r="Y184" i="92"/>
  <c r="X185" i="92"/>
  <c r="Y185" i="92"/>
  <c r="X186" i="92"/>
  <c r="Y186" i="92"/>
  <c r="X187" i="92"/>
  <c r="Y187" i="92"/>
  <c r="X188" i="92"/>
  <c r="Y188" i="92"/>
  <c r="X189" i="92"/>
  <c r="Y189" i="92"/>
  <c r="X190" i="92"/>
  <c r="Y190" i="92"/>
  <c r="X191" i="92"/>
  <c r="Y191" i="92"/>
  <c r="X192" i="92"/>
  <c r="Y192" i="92"/>
  <c r="X193" i="92"/>
  <c r="Y193" i="92"/>
  <c r="X194" i="92"/>
  <c r="Y194" i="92"/>
  <c r="X195" i="92"/>
  <c r="Y195" i="92"/>
  <c r="X196" i="92"/>
  <c r="Y196" i="92"/>
  <c r="X197" i="92"/>
  <c r="Y197" i="92"/>
  <c r="X198" i="92"/>
  <c r="Y198" i="92"/>
  <c r="X199" i="92"/>
  <c r="Y199" i="92"/>
  <c r="X200" i="92"/>
  <c r="Y200" i="92"/>
  <c r="D21" i="92"/>
  <c r="BH2" i="92"/>
  <c r="BI2" i="92"/>
  <c r="BH3" i="92"/>
  <c r="BI3" i="92"/>
  <c r="BH4" i="92"/>
  <c r="BI4" i="92"/>
  <c r="BH5" i="92"/>
  <c r="BI5" i="92"/>
  <c r="BH6" i="92"/>
  <c r="BI6" i="92"/>
  <c r="BH7" i="92"/>
  <c r="BI7" i="92"/>
  <c r="BH8" i="92"/>
  <c r="BI8" i="92"/>
  <c r="BH9" i="92"/>
  <c r="BI9" i="92"/>
  <c r="BH10" i="92"/>
  <c r="BI10" i="92"/>
  <c r="BH11" i="92"/>
  <c r="BI11" i="92"/>
  <c r="BH12" i="92"/>
  <c r="BI12" i="92"/>
  <c r="BH13" i="92"/>
  <c r="BI13" i="92"/>
  <c r="BH14" i="92"/>
  <c r="BI14" i="92"/>
  <c r="BH15" i="92"/>
  <c r="BI15" i="92"/>
  <c r="BH16" i="92"/>
  <c r="BI16" i="92"/>
  <c r="BH17" i="92"/>
  <c r="BI17" i="92"/>
  <c r="BH18" i="92"/>
  <c r="BI18" i="92"/>
  <c r="BH19" i="92"/>
  <c r="BI19" i="92"/>
  <c r="BH20" i="92"/>
  <c r="BI20" i="92"/>
  <c r="BH21" i="92"/>
  <c r="BI21" i="92"/>
  <c r="BH22" i="92"/>
  <c r="BI22" i="92"/>
  <c r="BH23" i="92"/>
  <c r="BI23" i="92"/>
  <c r="BH24" i="92"/>
  <c r="BI24" i="92"/>
  <c r="BH25" i="92"/>
  <c r="BI25" i="92"/>
  <c r="BH26" i="92"/>
  <c r="BI26" i="92"/>
  <c r="BH27" i="92"/>
  <c r="BI27" i="92"/>
  <c r="BH28" i="92"/>
  <c r="BI28" i="92"/>
  <c r="BH29" i="92"/>
  <c r="BI29" i="92"/>
  <c r="BH30" i="92"/>
  <c r="BI30" i="92"/>
  <c r="BH31" i="92"/>
  <c r="BI31" i="92"/>
  <c r="BH32" i="92"/>
  <c r="BI32" i="92"/>
  <c r="BH33" i="92"/>
  <c r="BI33" i="92"/>
  <c r="BH34" i="92"/>
  <c r="BI34" i="92"/>
  <c r="BH35" i="92"/>
  <c r="BI35" i="92"/>
  <c r="BH36" i="92"/>
  <c r="BI36" i="92"/>
  <c r="BH37" i="92"/>
  <c r="BI37" i="92"/>
  <c r="BH38" i="92"/>
  <c r="BI38" i="92"/>
  <c r="BH39" i="92"/>
  <c r="BI39" i="92"/>
  <c r="BH40" i="92"/>
  <c r="BI40" i="92"/>
  <c r="BH41" i="92"/>
  <c r="BI41" i="92"/>
  <c r="BH42" i="92"/>
  <c r="BI42" i="92"/>
  <c r="BH43" i="92"/>
  <c r="BI43" i="92"/>
  <c r="BH44" i="92"/>
  <c r="BI44" i="92"/>
  <c r="BH45" i="92"/>
  <c r="BI45" i="92"/>
  <c r="BH46" i="92"/>
  <c r="BI46" i="92"/>
  <c r="BH47" i="92"/>
  <c r="BI47" i="92"/>
  <c r="BH48" i="92"/>
  <c r="BI48" i="92"/>
  <c r="BH49" i="92"/>
  <c r="BI49" i="92"/>
  <c r="BH50" i="92"/>
  <c r="BI50" i="92"/>
  <c r="BH51" i="92"/>
  <c r="BI51" i="92"/>
  <c r="BH52" i="92"/>
  <c r="BI52" i="92"/>
  <c r="BH53" i="92"/>
  <c r="BI53" i="92"/>
  <c r="BH54" i="92"/>
  <c r="BI54" i="92"/>
  <c r="BH55" i="92"/>
  <c r="BI55" i="92"/>
  <c r="BH56" i="92"/>
  <c r="BI56" i="92"/>
  <c r="BH57" i="92"/>
  <c r="BI57" i="92"/>
  <c r="E36" i="92"/>
  <c r="BH58" i="92"/>
  <c r="BI58" i="92"/>
  <c r="BH59" i="92"/>
  <c r="BI59" i="92"/>
  <c r="BH60" i="92"/>
  <c r="BI60" i="92"/>
  <c r="BH61" i="92"/>
  <c r="BI61" i="92"/>
  <c r="BH62" i="92"/>
  <c r="BI62" i="92"/>
  <c r="BH63" i="92"/>
  <c r="BI63" i="92"/>
  <c r="BH64" i="92"/>
  <c r="BI64" i="92"/>
  <c r="BH65" i="92"/>
  <c r="BI65" i="92"/>
  <c r="BH66" i="92"/>
  <c r="BI66" i="92"/>
  <c r="BH67" i="92"/>
  <c r="BI67" i="92"/>
  <c r="BH68" i="92"/>
  <c r="BI68" i="92"/>
  <c r="BH69" i="92"/>
  <c r="BI69" i="92"/>
  <c r="BH70" i="92"/>
  <c r="BI70" i="92"/>
  <c r="BH71" i="92"/>
  <c r="BI71" i="92"/>
  <c r="BH72" i="92"/>
  <c r="BI72" i="92"/>
  <c r="BH73" i="92"/>
  <c r="BI73" i="92"/>
  <c r="BH74" i="92"/>
  <c r="BI74" i="92"/>
  <c r="BH75" i="92"/>
  <c r="BI75" i="92"/>
  <c r="BH76" i="92"/>
  <c r="BI76" i="92"/>
  <c r="BH77" i="92"/>
  <c r="BI77" i="92"/>
  <c r="BH78" i="92"/>
  <c r="BI78" i="92"/>
  <c r="BH79" i="92"/>
  <c r="BI79" i="92"/>
  <c r="BH80" i="92"/>
  <c r="BI80" i="92"/>
  <c r="BH81" i="92"/>
  <c r="BI81" i="92"/>
  <c r="BH82" i="92"/>
  <c r="BI82" i="92"/>
  <c r="BH83" i="92"/>
  <c r="BI83" i="92"/>
  <c r="BH84" i="92"/>
  <c r="BI84" i="92"/>
  <c r="BH85" i="92"/>
  <c r="BI85" i="92"/>
  <c r="BH86" i="92"/>
  <c r="BI86" i="92"/>
  <c r="BH87" i="92"/>
  <c r="BI87" i="92"/>
  <c r="BH88" i="92"/>
  <c r="BI88" i="92"/>
  <c r="BH89" i="92"/>
  <c r="BI89" i="92"/>
  <c r="BH90" i="92"/>
  <c r="BI90" i="92"/>
  <c r="BH91" i="92"/>
  <c r="BI91" i="92"/>
  <c r="BH92" i="92"/>
  <c r="BI92" i="92"/>
  <c r="BH93" i="92"/>
  <c r="BI93" i="92"/>
  <c r="BH94" i="92"/>
  <c r="BI94" i="92"/>
  <c r="BH95" i="92"/>
  <c r="BI95" i="92"/>
  <c r="BH96" i="92"/>
  <c r="BI96" i="92"/>
  <c r="BH97" i="92"/>
  <c r="BI97" i="92"/>
  <c r="BH98" i="92"/>
  <c r="BI98" i="92"/>
  <c r="BH99" i="92"/>
  <c r="BI99" i="92"/>
  <c r="BH100" i="92"/>
  <c r="BI100" i="92"/>
  <c r="BH101" i="92"/>
  <c r="BI101" i="92"/>
  <c r="BH102" i="92"/>
  <c r="BI102" i="92"/>
  <c r="BH103" i="92"/>
  <c r="BI103" i="92"/>
  <c r="BH104" i="92"/>
  <c r="BI104" i="92"/>
  <c r="BH105" i="92"/>
  <c r="BI105" i="92"/>
  <c r="BH106" i="92"/>
  <c r="BI106" i="92"/>
  <c r="BH107" i="92"/>
  <c r="BI107" i="92"/>
  <c r="F21" i="92"/>
  <c r="G21" i="92"/>
  <c r="H19" i="92"/>
  <c r="P2" i="94"/>
  <c r="P3" i="94"/>
  <c r="P4" i="94"/>
  <c r="P5" i="94"/>
  <c r="P6" i="94"/>
  <c r="P7" i="94"/>
  <c r="P8" i="94"/>
  <c r="P9" i="94"/>
  <c r="P10" i="94"/>
  <c r="P11" i="94"/>
  <c r="P12" i="94"/>
  <c r="P13" i="94"/>
  <c r="P14" i="94"/>
  <c r="P15" i="94"/>
  <c r="P16" i="94"/>
  <c r="P17" i="94"/>
  <c r="P18" i="94"/>
  <c r="P19" i="94"/>
  <c r="P20" i="94"/>
  <c r="P21" i="94"/>
  <c r="P22" i="94"/>
  <c r="P23" i="94"/>
  <c r="P24" i="94"/>
  <c r="P25" i="94"/>
  <c r="P26" i="94"/>
  <c r="P27" i="94"/>
  <c r="P28" i="94"/>
  <c r="P29" i="94"/>
  <c r="P30" i="94"/>
  <c r="P31" i="94"/>
  <c r="P32" i="94"/>
  <c r="P33" i="94"/>
  <c r="P34" i="94"/>
  <c r="P35" i="94"/>
  <c r="P36" i="94"/>
  <c r="P37" i="94"/>
  <c r="P38" i="94"/>
  <c r="P39" i="94"/>
  <c r="P40" i="94"/>
  <c r="P41" i="94"/>
  <c r="P42" i="94"/>
  <c r="P43" i="94"/>
  <c r="P44" i="94"/>
  <c r="P45" i="94"/>
  <c r="P46" i="94"/>
  <c r="P47" i="94"/>
  <c r="P48" i="94"/>
  <c r="P49" i="94"/>
  <c r="P50" i="94"/>
  <c r="P51" i="94"/>
  <c r="P52" i="94"/>
  <c r="P53" i="94"/>
  <c r="P54" i="94"/>
  <c r="P55" i="94"/>
  <c r="P56" i="94"/>
  <c r="P57" i="94"/>
  <c r="P58" i="94"/>
  <c r="P59" i="94"/>
  <c r="P60" i="94"/>
  <c r="P61" i="94"/>
  <c r="P62" i="94"/>
  <c r="P63" i="94"/>
  <c r="P64" i="94"/>
  <c r="P65" i="94"/>
  <c r="P66" i="94"/>
  <c r="P67" i="94"/>
  <c r="P68" i="94"/>
  <c r="P69" i="94"/>
  <c r="P70" i="94"/>
  <c r="P71" i="94"/>
  <c r="P72" i="94"/>
  <c r="P73" i="94"/>
  <c r="P74" i="94"/>
  <c r="P75" i="94"/>
  <c r="P76" i="94"/>
  <c r="P77" i="94"/>
  <c r="P78" i="94"/>
  <c r="P79" i="94"/>
  <c r="P80" i="94"/>
  <c r="P81" i="94"/>
  <c r="P82" i="94"/>
  <c r="P83" i="94"/>
  <c r="P84" i="94"/>
  <c r="P85" i="94"/>
  <c r="P86" i="94"/>
  <c r="P87" i="94"/>
  <c r="P88" i="94"/>
  <c r="P89" i="94"/>
  <c r="P90" i="94"/>
  <c r="P91" i="94"/>
  <c r="P92" i="94"/>
  <c r="P93" i="94"/>
  <c r="P94" i="94"/>
  <c r="P95" i="94"/>
  <c r="P96" i="94"/>
  <c r="O97" i="94"/>
  <c r="P97" i="94"/>
  <c r="P98" i="94"/>
  <c r="P99" i="94"/>
  <c r="P100" i="94"/>
  <c r="O101" i="94"/>
  <c r="P101" i="94"/>
  <c r="O102" i="94"/>
  <c r="P102" i="94"/>
  <c r="O103" i="94"/>
  <c r="P103" i="94"/>
  <c r="O104" i="94"/>
  <c r="P104" i="94"/>
  <c r="O105" i="94"/>
  <c r="P105" i="94"/>
  <c r="O106" i="94"/>
  <c r="P106" i="94"/>
  <c r="O107" i="94"/>
  <c r="P107" i="94"/>
  <c r="O108" i="94"/>
  <c r="P108" i="94"/>
  <c r="O109" i="94"/>
  <c r="P109" i="94"/>
  <c r="O110" i="94"/>
  <c r="P110" i="94"/>
  <c r="O111" i="94"/>
  <c r="P111" i="94"/>
  <c r="O112" i="94"/>
  <c r="P112" i="94"/>
  <c r="O113" i="94"/>
  <c r="P113" i="94"/>
  <c r="O114" i="94"/>
  <c r="P114" i="94"/>
  <c r="O115" i="94"/>
  <c r="P115" i="94"/>
  <c r="O116" i="94"/>
  <c r="P116" i="94"/>
  <c r="O117" i="94"/>
  <c r="P117" i="94"/>
  <c r="O118" i="94"/>
  <c r="P118" i="94"/>
  <c r="O119" i="94"/>
  <c r="P119" i="94"/>
  <c r="O120" i="94"/>
  <c r="P120" i="94"/>
  <c r="O121" i="94"/>
  <c r="P121" i="94"/>
  <c r="O122" i="94"/>
  <c r="P122" i="94"/>
  <c r="O123" i="94"/>
  <c r="P123" i="94"/>
  <c r="O124" i="94"/>
  <c r="P124" i="94"/>
  <c r="O125" i="94"/>
  <c r="P125" i="94"/>
  <c r="O126" i="94"/>
  <c r="P126" i="94"/>
  <c r="O127" i="94"/>
  <c r="P127" i="94"/>
  <c r="O128" i="94"/>
  <c r="P128" i="94"/>
  <c r="O129" i="94"/>
  <c r="P129" i="94"/>
  <c r="O130" i="94"/>
  <c r="P130" i="94"/>
  <c r="O131" i="94"/>
  <c r="P131" i="94"/>
  <c r="O132" i="94"/>
  <c r="P132" i="94"/>
  <c r="O133" i="94"/>
  <c r="P133" i="94"/>
  <c r="O134" i="94"/>
  <c r="P134" i="94"/>
  <c r="O135" i="94"/>
  <c r="P135" i="94"/>
  <c r="O136" i="94"/>
  <c r="P136" i="94"/>
  <c r="O137" i="94"/>
  <c r="P137" i="94"/>
  <c r="O138" i="94"/>
  <c r="P138" i="94"/>
  <c r="O139" i="94"/>
  <c r="P139" i="94"/>
  <c r="O140" i="94"/>
  <c r="P140" i="94"/>
  <c r="O141" i="94"/>
  <c r="P141" i="94"/>
  <c r="O142" i="94"/>
  <c r="P142" i="94"/>
  <c r="O143" i="94"/>
  <c r="P143" i="94"/>
  <c r="O144" i="94"/>
  <c r="P144" i="94"/>
  <c r="O145" i="94"/>
  <c r="P145" i="94"/>
  <c r="O146" i="94"/>
  <c r="P146" i="94"/>
  <c r="O147" i="94"/>
  <c r="P147" i="94"/>
  <c r="O148" i="94"/>
  <c r="P148" i="94"/>
  <c r="O149" i="94"/>
  <c r="P149" i="94"/>
  <c r="O150" i="94"/>
  <c r="P150" i="94"/>
  <c r="O151" i="94"/>
  <c r="P151" i="94"/>
  <c r="O152" i="94"/>
  <c r="P152" i="94"/>
  <c r="O153" i="94"/>
  <c r="P153" i="94"/>
  <c r="O154" i="94"/>
  <c r="P154" i="94"/>
  <c r="O155" i="94"/>
  <c r="P155" i="94"/>
  <c r="O156" i="94"/>
  <c r="P156" i="94"/>
  <c r="O157" i="94"/>
  <c r="P157" i="94"/>
  <c r="O158" i="94"/>
  <c r="P158" i="94"/>
  <c r="O159" i="94"/>
  <c r="P159" i="94"/>
  <c r="O160" i="94"/>
  <c r="P160" i="94"/>
  <c r="O161" i="94"/>
  <c r="P161" i="94"/>
  <c r="O162" i="94"/>
  <c r="P162" i="94"/>
  <c r="O163" i="94"/>
  <c r="P163" i="94"/>
  <c r="O164" i="94"/>
  <c r="P164" i="94"/>
  <c r="O165" i="94"/>
  <c r="P165" i="94"/>
  <c r="O166" i="94"/>
  <c r="P166" i="94"/>
  <c r="O167" i="94"/>
  <c r="P167" i="94"/>
  <c r="O168" i="94"/>
  <c r="P168" i="94"/>
  <c r="O169" i="94"/>
  <c r="P169" i="94"/>
  <c r="O170" i="94"/>
  <c r="P170" i="94"/>
  <c r="O171" i="94"/>
  <c r="P171" i="94"/>
  <c r="O172" i="94"/>
  <c r="P172" i="94"/>
  <c r="O173" i="94"/>
  <c r="P173" i="94"/>
  <c r="O174" i="94"/>
  <c r="P174" i="94"/>
  <c r="O175" i="94"/>
  <c r="P175" i="94"/>
  <c r="O176" i="94"/>
  <c r="P176" i="94"/>
  <c r="O177" i="94"/>
  <c r="P177" i="94"/>
  <c r="O178" i="94"/>
  <c r="P178" i="94"/>
  <c r="O179" i="94"/>
  <c r="P179" i="94"/>
  <c r="O180" i="94"/>
  <c r="P180" i="94"/>
  <c r="O181" i="94"/>
  <c r="P181" i="94"/>
  <c r="O182" i="94"/>
  <c r="P182" i="94"/>
  <c r="O183" i="94"/>
  <c r="P183" i="94"/>
  <c r="O184" i="94"/>
  <c r="P184" i="94"/>
  <c r="O185" i="94"/>
  <c r="P185" i="94"/>
  <c r="O186" i="94"/>
  <c r="P186" i="94"/>
  <c r="O187" i="94"/>
  <c r="P187" i="94"/>
  <c r="O188" i="94"/>
  <c r="P188" i="94"/>
  <c r="O189" i="94"/>
  <c r="P189" i="94"/>
  <c r="O190" i="94"/>
  <c r="P190" i="94"/>
  <c r="O191" i="94"/>
  <c r="P191" i="94"/>
  <c r="O192" i="94"/>
  <c r="P192" i="94"/>
  <c r="O193" i="94"/>
  <c r="P193" i="94"/>
  <c r="O194" i="94"/>
  <c r="P194" i="94"/>
  <c r="O195" i="94"/>
  <c r="P195" i="94"/>
  <c r="O196" i="94"/>
  <c r="P196" i="94"/>
  <c r="O197" i="94"/>
  <c r="P197" i="94"/>
  <c r="O198" i="94"/>
  <c r="P198" i="94"/>
  <c r="O199" i="94"/>
  <c r="P199" i="94"/>
  <c r="O200" i="94"/>
  <c r="P200" i="94"/>
  <c r="Q3" i="94"/>
  <c r="AP2" i="92"/>
  <c r="AF2" i="94"/>
  <c r="AG2" i="94"/>
  <c r="AP3" i="92"/>
  <c r="AF3" i="94"/>
  <c r="AG3" i="94"/>
  <c r="F6" i="84"/>
  <c r="F8" i="84"/>
  <c r="F7" i="84"/>
  <c r="F9" i="84"/>
  <c r="C6" i="84"/>
  <c r="F11" i="84"/>
  <c r="C10" i="84"/>
  <c r="C5" i="84"/>
  <c r="C32" i="84"/>
  <c r="C33" i="84"/>
  <c r="R7" i="1"/>
  <c r="F35" i="84"/>
  <c r="C34" i="84"/>
  <c r="C31" i="84"/>
  <c r="F43" i="84"/>
  <c r="C14" i="84"/>
  <c r="C15" i="84"/>
  <c r="F16" i="84"/>
  <c r="C16"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7" i="1"/>
  <c r="F41" i="84"/>
  <c r="C40" i="84"/>
  <c r="M6" i="84"/>
  <c r="M8" i="84"/>
  <c r="M7" i="84"/>
  <c r="M9" i="84"/>
  <c r="J6" i="84"/>
  <c r="M11" i="84"/>
  <c r="J10" i="84"/>
  <c r="J5" i="84"/>
  <c r="J26" i="84"/>
  <c r="J29" i="84"/>
  <c r="J57" i="84"/>
  <c r="J55" i="84"/>
  <c r="J58" i="84"/>
  <c r="J59" i="84"/>
  <c r="J60" i="84"/>
  <c r="L46" i="84"/>
  <c r="D2" i="84"/>
  <c r="B3" i="84"/>
  <c r="C20" i="88"/>
  <c r="F10" i="34"/>
  <c r="AA10" i="34"/>
  <c r="D126" i="34"/>
  <c r="E126" i="34"/>
  <c r="F44" i="34"/>
  <c r="AA44" i="34"/>
  <c r="R49" i="34"/>
  <c r="H10" i="34"/>
  <c r="AB10" i="34"/>
  <c r="H44" i="34"/>
  <c r="AB44" i="34"/>
  <c r="T49" i="34"/>
  <c r="J10" i="34"/>
  <c r="AC10" i="34"/>
  <c r="J44" i="34"/>
  <c r="AC44" i="34"/>
  <c r="V49" i="34"/>
  <c r="R50" i="34"/>
  <c r="C50" i="34"/>
  <c r="B3" i="34"/>
  <c r="D20" i="88"/>
  <c r="G20" i="88"/>
  <c r="AP4" i="92"/>
  <c r="AF4" i="94"/>
  <c r="AG4" i="94"/>
  <c r="AP5" i="92"/>
  <c r="AF5" i="94"/>
  <c r="AG5" i="94"/>
  <c r="AP6" i="92"/>
  <c r="AF6" i="94"/>
  <c r="AG6" i="94"/>
  <c r="AP7" i="92"/>
  <c r="AF7" i="94"/>
  <c r="AG7" i="94"/>
  <c r="AP8" i="92"/>
  <c r="AF8" i="94"/>
  <c r="AG8" i="94"/>
  <c r="AP9" i="92"/>
  <c r="AF9" i="94"/>
  <c r="AG9" i="94"/>
  <c r="AP10" i="92"/>
  <c r="AF10" i="94"/>
  <c r="AG10" i="94"/>
  <c r="AP11" i="92"/>
  <c r="AF11" i="94"/>
  <c r="AG11" i="94"/>
  <c r="AP12" i="92"/>
  <c r="AF12" i="94"/>
  <c r="AG12" i="94"/>
  <c r="AP13" i="92"/>
  <c r="AF13" i="94"/>
  <c r="AG13" i="94"/>
  <c r="AP14" i="92"/>
  <c r="AF14" i="94"/>
  <c r="AG14" i="94"/>
  <c r="AP15" i="92"/>
  <c r="AF15" i="94"/>
  <c r="AG15" i="94"/>
  <c r="AP16" i="92"/>
  <c r="AF16" i="94"/>
  <c r="AG16" i="94"/>
  <c r="AP17" i="92"/>
  <c r="AF17" i="94"/>
  <c r="AG17" i="94"/>
  <c r="AP18" i="92"/>
  <c r="AF18" i="94"/>
  <c r="AG18" i="94"/>
  <c r="AP19" i="92"/>
  <c r="AF19" i="94"/>
  <c r="AG19" i="94"/>
  <c r="AP20" i="92"/>
  <c r="AF20" i="94"/>
  <c r="AG20" i="94"/>
  <c r="AP21" i="92"/>
  <c r="AF21" i="94"/>
  <c r="AG21" i="94"/>
  <c r="AP22" i="92"/>
  <c r="AF22" i="94"/>
  <c r="AG22" i="94"/>
  <c r="AP23" i="92"/>
  <c r="AF23" i="94"/>
  <c r="AG23" i="94"/>
  <c r="AP24" i="92"/>
  <c r="AF24" i="94"/>
  <c r="AG24" i="94"/>
  <c r="AP25" i="92"/>
  <c r="AF25" i="94"/>
  <c r="AG25" i="94"/>
  <c r="AP26" i="92"/>
  <c r="AF26" i="94"/>
  <c r="AG26" i="94"/>
  <c r="AP27" i="92"/>
  <c r="AF27" i="94"/>
  <c r="AG27" i="94"/>
  <c r="AP28" i="92"/>
  <c r="AF28" i="94"/>
  <c r="AG28" i="94"/>
  <c r="AP29" i="92"/>
  <c r="AF29" i="94"/>
  <c r="AG29" i="94"/>
  <c r="AP30" i="92"/>
  <c r="AF30" i="94"/>
  <c r="AG30" i="94"/>
  <c r="AP31" i="92"/>
  <c r="AF31" i="94"/>
  <c r="AG31" i="94"/>
  <c r="AP32" i="92"/>
  <c r="AF32" i="94"/>
  <c r="AG32" i="94"/>
  <c r="AP33" i="92"/>
  <c r="AF33" i="94"/>
  <c r="AG33" i="94"/>
  <c r="AP34" i="92"/>
  <c r="AF34" i="94"/>
  <c r="AG34" i="94"/>
  <c r="AP35" i="92"/>
  <c r="AF35" i="94"/>
  <c r="AG35" i="94"/>
  <c r="AP36" i="92"/>
  <c r="AF36" i="94"/>
  <c r="AG36" i="94"/>
  <c r="AP37" i="92"/>
  <c r="AF37" i="94"/>
  <c r="AG37" i="94"/>
  <c r="AP38" i="92"/>
  <c r="AF38" i="94"/>
  <c r="AG38" i="94"/>
  <c r="AP39" i="92"/>
  <c r="AF39" i="94"/>
  <c r="AG39" i="94"/>
  <c r="AP40" i="92"/>
  <c r="AF40" i="94"/>
  <c r="AG40" i="94"/>
  <c r="AP41" i="92"/>
  <c r="AF41" i="94"/>
  <c r="AG41" i="94"/>
  <c r="AP42" i="92"/>
  <c r="AF42" i="94"/>
  <c r="AG42" i="94"/>
  <c r="AP43" i="92"/>
  <c r="AF43" i="94"/>
  <c r="AG43" i="94"/>
  <c r="AP44" i="92"/>
  <c r="AF44" i="94"/>
  <c r="AG44" i="94"/>
  <c r="AP45" i="92"/>
  <c r="AF45" i="94"/>
  <c r="AG45" i="94"/>
  <c r="AP46" i="92"/>
  <c r="AF46" i="94"/>
  <c r="AG46" i="94"/>
  <c r="AP47" i="92"/>
  <c r="AF47" i="94"/>
  <c r="AG47" i="94"/>
  <c r="AP48" i="92"/>
  <c r="AF48" i="94"/>
  <c r="AG48" i="94"/>
  <c r="AP49" i="92"/>
  <c r="AF49" i="94"/>
  <c r="AG49" i="94"/>
  <c r="AP50" i="92"/>
  <c r="AF50" i="94"/>
  <c r="AG50" i="94"/>
  <c r="AP51" i="92"/>
  <c r="AF51" i="94"/>
  <c r="AG51" i="94"/>
  <c r="AP52" i="92"/>
  <c r="AF52" i="94"/>
  <c r="AG52" i="94"/>
  <c r="AP53" i="92"/>
  <c r="AF53" i="94"/>
  <c r="AG53" i="94"/>
  <c r="AP54" i="92"/>
  <c r="AF54" i="94"/>
  <c r="AG54" i="94"/>
  <c r="AP55" i="92"/>
  <c r="AF55" i="94"/>
  <c r="AG55" i="94"/>
  <c r="AP56" i="92"/>
  <c r="AF56" i="94"/>
  <c r="AG56" i="94"/>
  <c r="AP57" i="92"/>
  <c r="AF57" i="94"/>
  <c r="AG57" i="94"/>
  <c r="AP58" i="92"/>
  <c r="AF58" i="94"/>
  <c r="AG58" i="94"/>
  <c r="AP59" i="92"/>
  <c r="AF59" i="94"/>
  <c r="AG59" i="94"/>
  <c r="AP60" i="92"/>
  <c r="AF60" i="94"/>
  <c r="AG60" i="94"/>
  <c r="AP61" i="92"/>
  <c r="AF61" i="94"/>
  <c r="AG61" i="94"/>
  <c r="AP62" i="92"/>
  <c r="AF62" i="94"/>
  <c r="AG62" i="94"/>
  <c r="AP63" i="92"/>
  <c r="AF63" i="94"/>
  <c r="AG63" i="94"/>
  <c r="AP64" i="92"/>
  <c r="AF64" i="94"/>
  <c r="AG64" i="94"/>
  <c r="AP65" i="92"/>
  <c r="AF65" i="94"/>
  <c r="AG65" i="94"/>
  <c r="AP66" i="92"/>
  <c r="AF66" i="94"/>
  <c r="AG66" i="94"/>
  <c r="AP67" i="92"/>
  <c r="AF67" i="94"/>
  <c r="AG67" i="94"/>
  <c r="AP68" i="92"/>
  <c r="AF68" i="94"/>
  <c r="AG68" i="94"/>
  <c r="AP69" i="92"/>
  <c r="AF69" i="94"/>
  <c r="AG69" i="94"/>
  <c r="AP70" i="92"/>
  <c r="AF70" i="94"/>
  <c r="AG70" i="94"/>
  <c r="AP71" i="92"/>
  <c r="AF71" i="94"/>
  <c r="AG71" i="94"/>
  <c r="AP72" i="92"/>
  <c r="AF72" i="94"/>
  <c r="AG72" i="94"/>
  <c r="AP73" i="92"/>
  <c r="AF73" i="94"/>
  <c r="AG73" i="94"/>
  <c r="AH3" i="94"/>
  <c r="AX2" i="94"/>
  <c r="AX3" i="94"/>
  <c r="AX4" i="94"/>
  <c r="AX5" i="94"/>
  <c r="AX6" i="94"/>
  <c r="AX7" i="94"/>
  <c r="AX8" i="94"/>
  <c r="AX9" i="94"/>
  <c r="AX10" i="94"/>
  <c r="AX11" i="94"/>
  <c r="AX12" i="94"/>
  <c r="AX13" i="94"/>
  <c r="AX14" i="94"/>
  <c r="AX15" i="94"/>
  <c r="AX16" i="94"/>
  <c r="AX17" i="94"/>
  <c r="AX18" i="94"/>
  <c r="AX19" i="94"/>
  <c r="AX20" i="94"/>
  <c r="AX21" i="94"/>
  <c r="AX22" i="94"/>
  <c r="AX23" i="94"/>
  <c r="AX24" i="94"/>
  <c r="AX25" i="94"/>
  <c r="AX26" i="94"/>
  <c r="AX27" i="94"/>
  <c r="AX28" i="94"/>
  <c r="AX29" i="94"/>
  <c r="AX30" i="94"/>
  <c r="AX31" i="94"/>
  <c r="AX32" i="94"/>
  <c r="AX33" i="94"/>
  <c r="AX34" i="94"/>
  <c r="AX35" i="94"/>
  <c r="AX36" i="94"/>
  <c r="AX37" i="94"/>
  <c r="AX38" i="94"/>
  <c r="AX39" i="94"/>
  <c r="AX40" i="94"/>
  <c r="AX41" i="94"/>
  <c r="AX42" i="94"/>
  <c r="AX43" i="94"/>
  <c r="AX44" i="94"/>
  <c r="AX45" i="94"/>
  <c r="AX46" i="94"/>
  <c r="AX47" i="94"/>
  <c r="AX48" i="94"/>
  <c r="AX49" i="94"/>
  <c r="AX50" i="94"/>
  <c r="AX51" i="94"/>
  <c r="AX52" i="94"/>
  <c r="AX53" i="94"/>
  <c r="AX54" i="94"/>
  <c r="AX55" i="94"/>
  <c r="AX56" i="94"/>
  <c r="AX57" i="94"/>
  <c r="AW58" i="94"/>
  <c r="AX58" i="94"/>
  <c r="AW59" i="94"/>
  <c r="AX59" i="94"/>
  <c r="AW60" i="94"/>
  <c r="AX60" i="94"/>
  <c r="AW61" i="94"/>
  <c r="AX61" i="94"/>
  <c r="AW62" i="94"/>
  <c r="AX62" i="94"/>
  <c r="AW63" i="94"/>
  <c r="AX63" i="94"/>
  <c r="AW64" i="94"/>
  <c r="AX64" i="94"/>
  <c r="AW65" i="94"/>
  <c r="AX65" i="94"/>
  <c r="AW66" i="94"/>
  <c r="AX66" i="94"/>
  <c r="AW67" i="94"/>
  <c r="AX67" i="94"/>
  <c r="AW68" i="94"/>
  <c r="AX68" i="94"/>
  <c r="AW69" i="94"/>
  <c r="AX69" i="94"/>
  <c r="AW70" i="94"/>
  <c r="AX70" i="94"/>
  <c r="AW71" i="94"/>
  <c r="AX71" i="94"/>
  <c r="AW72" i="94"/>
  <c r="AX72" i="94"/>
  <c r="AW73" i="94"/>
  <c r="AX73" i="94"/>
  <c r="AW74" i="94"/>
  <c r="AX74" i="94"/>
  <c r="AW75" i="94"/>
  <c r="AX75" i="94"/>
  <c r="AW76" i="94"/>
  <c r="AX76" i="94"/>
  <c r="AW77" i="94"/>
  <c r="AX77" i="94"/>
  <c r="AW78" i="94"/>
  <c r="AX78" i="94"/>
  <c r="AW79" i="94"/>
  <c r="AX79" i="94"/>
  <c r="AW80" i="94"/>
  <c r="AX80" i="94"/>
  <c r="AW81" i="94"/>
  <c r="AX81" i="94"/>
  <c r="AW82" i="94"/>
  <c r="AX82" i="94"/>
  <c r="AW83" i="94"/>
  <c r="AX83" i="94"/>
  <c r="AW84" i="94"/>
  <c r="AX84" i="94"/>
  <c r="AW85" i="94"/>
  <c r="AX85" i="94"/>
  <c r="AW86" i="94"/>
  <c r="AX86" i="94"/>
  <c r="AW87" i="94"/>
  <c r="AX87" i="94"/>
  <c r="AW88" i="94"/>
  <c r="AX88" i="94"/>
  <c r="AW89" i="94"/>
  <c r="AX89" i="94"/>
  <c r="AW90" i="94"/>
  <c r="AX90" i="94"/>
  <c r="AW91" i="94"/>
  <c r="AX91" i="94"/>
  <c r="AW92" i="94"/>
  <c r="AX92" i="94"/>
  <c r="AW93" i="94"/>
  <c r="AX93" i="94"/>
  <c r="AW94" i="94"/>
  <c r="AX94" i="94"/>
  <c r="AW95" i="94"/>
  <c r="AX95" i="94"/>
  <c r="AW96" i="94"/>
  <c r="AX96" i="94"/>
  <c r="AW97" i="94"/>
  <c r="AX97" i="94"/>
  <c r="AW98" i="94"/>
  <c r="AX98" i="94"/>
  <c r="AW99" i="94"/>
  <c r="AX99" i="94"/>
  <c r="AW100" i="94"/>
  <c r="AX100" i="94"/>
  <c r="AW101" i="94"/>
  <c r="AX101" i="94"/>
  <c r="AW102" i="94"/>
  <c r="AX102" i="94"/>
  <c r="AW103" i="94"/>
  <c r="AX103" i="94"/>
  <c r="AW104" i="94"/>
  <c r="AX104" i="94"/>
  <c r="AW105" i="94"/>
  <c r="AX105" i="94"/>
  <c r="AW106" i="94"/>
  <c r="AX106" i="94"/>
  <c r="AW107" i="94"/>
  <c r="AX107" i="94"/>
  <c r="AY3" i="94"/>
  <c r="AZ3" i="94"/>
  <c r="D4" i="92"/>
  <c r="AQ2" i="92"/>
  <c r="E4" i="92"/>
  <c r="F4" i="92"/>
  <c r="G4" i="92"/>
  <c r="D7" i="92"/>
  <c r="AQ3" i="92"/>
  <c r="E7" i="92"/>
  <c r="F7" i="92"/>
  <c r="G7" i="92"/>
  <c r="D10" i="92"/>
  <c r="F10" i="92"/>
  <c r="G10" i="92"/>
  <c r="D13" i="92"/>
  <c r="F13" i="92"/>
  <c r="G13" i="92"/>
  <c r="AQ4" i="92"/>
  <c r="AQ5" i="92"/>
  <c r="AQ6" i="92"/>
  <c r="AQ7" i="92"/>
  <c r="AQ8" i="92"/>
  <c r="AQ9" i="92"/>
  <c r="AQ10" i="92"/>
  <c r="AQ11" i="92"/>
  <c r="AQ12" i="92"/>
  <c r="AQ13" i="92"/>
  <c r="AQ14" i="92"/>
  <c r="AQ15" i="92"/>
  <c r="AQ16" i="92"/>
  <c r="AQ17" i="92"/>
  <c r="AQ18" i="92"/>
  <c r="AQ19" i="92"/>
  <c r="AQ20" i="92"/>
  <c r="AQ21" i="92"/>
  <c r="AQ22" i="92"/>
  <c r="AQ23" i="92"/>
  <c r="AQ24" i="92"/>
  <c r="AQ25" i="92"/>
  <c r="AQ26" i="92"/>
  <c r="AQ27" i="92"/>
  <c r="AQ28" i="92"/>
  <c r="AQ29" i="92"/>
  <c r="AQ30" i="92"/>
  <c r="AQ31" i="92"/>
  <c r="AQ32" i="92"/>
  <c r="AQ33" i="92"/>
  <c r="AQ34" i="92"/>
  <c r="AQ35" i="92"/>
  <c r="AQ36" i="92"/>
  <c r="AQ37" i="92"/>
  <c r="AQ38" i="92"/>
  <c r="AQ39" i="92"/>
  <c r="AQ40" i="92"/>
  <c r="AQ41" i="92"/>
  <c r="AQ42" i="92"/>
  <c r="AQ43" i="92"/>
  <c r="AQ44" i="92"/>
  <c r="AQ45" i="92"/>
  <c r="AQ46" i="92"/>
  <c r="AQ47" i="92"/>
  <c r="AQ48" i="92"/>
  <c r="AQ49" i="92"/>
  <c r="AQ50" i="92"/>
  <c r="AQ51" i="92"/>
  <c r="AQ52" i="92"/>
  <c r="AQ53" i="92"/>
  <c r="AQ54" i="92"/>
  <c r="AQ55" i="92"/>
  <c r="AQ56" i="92"/>
  <c r="AQ57" i="92"/>
  <c r="AQ58" i="92"/>
  <c r="AQ59" i="92"/>
  <c r="AQ60" i="92"/>
  <c r="AQ61" i="92"/>
  <c r="AQ62" i="92"/>
  <c r="AQ63" i="92"/>
  <c r="AQ64" i="92"/>
  <c r="AQ65" i="92"/>
  <c r="AQ66" i="92"/>
  <c r="AQ67" i="92"/>
  <c r="AQ68" i="92"/>
  <c r="AQ69" i="92"/>
  <c r="AQ70" i="92"/>
  <c r="AQ71" i="92"/>
  <c r="AQ72" i="92"/>
  <c r="AQ73" i="92"/>
  <c r="E17" i="92"/>
  <c r="F17" i="92"/>
  <c r="G17" i="92"/>
  <c r="D25" i="92"/>
  <c r="G25" i="92"/>
  <c r="D29" i="92"/>
  <c r="G29" i="92"/>
  <c r="G32" i="92"/>
  <c r="AX108" i="94"/>
  <c r="AH2" i="94"/>
  <c r="AG74" i="94"/>
  <c r="P201" i="94"/>
  <c r="AA74" i="87"/>
  <c r="AA73" i="87"/>
  <c r="AA72" i="87"/>
  <c r="AA71" i="87"/>
  <c r="AA70" i="87"/>
  <c r="AA69" i="87"/>
  <c r="AA68" i="87"/>
  <c r="AA67" i="87"/>
  <c r="AA65" i="87"/>
  <c r="AA64" i="87"/>
  <c r="AA63" i="87"/>
  <c r="AA14" i="87"/>
  <c r="AA13" i="87"/>
  <c r="AA12" i="87"/>
  <c r="AA11" i="87"/>
  <c r="AA10" i="87"/>
  <c r="AA9" i="87"/>
  <c r="AA8" i="87"/>
  <c r="AA7" i="87"/>
  <c r="AA6" i="87"/>
  <c r="AA5" i="87"/>
  <c r="AA4" i="87"/>
  <c r="AA3" i="87"/>
  <c r="N9" i="87"/>
  <c r="N10" i="87"/>
  <c r="N11" i="87"/>
  <c r="N12" i="87"/>
  <c r="N13" i="87"/>
  <c r="N14" i="87"/>
  <c r="N15" i="87"/>
  <c r="N16" i="87"/>
  <c r="N17" i="87"/>
  <c r="N18" i="87"/>
  <c r="N19" i="87"/>
  <c r="N20" i="87"/>
  <c r="N8" i="87"/>
  <c r="BJ2" i="92"/>
  <c r="AR2" i="92"/>
  <c r="Z2" i="92"/>
  <c r="AY2" i="94"/>
  <c r="Q2" i="94"/>
  <c r="G201" i="94"/>
  <c r="AO108" i="94"/>
  <c r="X74" i="94"/>
  <c r="A34" i="92"/>
  <c r="D3" i="92"/>
  <c r="D2" i="92"/>
  <c r="E13" i="92"/>
  <c r="C30" i="92"/>
  <c r="F29" i="92"/>
  <c r="E29" i="92"/>
  <c r="D28" i="92"/>
  <c r="F25" i="92"/>
  <c r="E25" i="92"/>
  <c r="F24" i="92"/>
  <c r="D24" i="92"/>
  <c r="E21" i="92"/>
  <c r="D20" i="92"/>
  <c r="D17" i="92"/>
  <c r="D16" i="92"/>
  <c r="F16" i="92"/>
  <c r="E10" i="92"/>
  <c r="F19" i="92"/>
  <c r="E20" i="92"/>
  <c r="E19" i="92"/>
  <c r="D19" i="92"/>
  <c r="E16" i="92"/>
  <c r="E15" i="92"/>
  <c r="F28" i="92"/>
  <c r="F27" i="92"/>
  <c r="E28" i="92"/>
  <c r="E27" i="92"/>
  <c r="D27" i="92"/>
  <c r="E24" i="92"/>
  <c r="F23" i="92"/>
  <c r="E23" i="92"/>
  <c r="D23" i="92"/>
  <c r="F20" i="92"/>
  <c r="F12" i="92"/>
  <c r="F11" i="92"/>
  <c r="E12" i="92"/>
  <c r="E11" i="92"/>
  <c r="D12" i="92"/>
  <c r="D11" i="92"/>
  <c r="D9" i="92"/>
  <c r="E9" i="92"/>
  <c r="F9" i="92"/>
  <c r="F8" i="92"/>
  <c r="E8" i="92"/>
  <c r="D8" i="92"/>
  <c r="E6" i="92"/>
  <c r="F6" i="92"/>
  <c r="D6" i="92"/>
  <c r="F3" i="92"/>
  <c r="E3" i="92"/>
  <c r="O201" i="92"/>
  <c r="AG74" i="92"/>
  <c r="D15" i="92"/>
  <c r="F15" i="92"/>
  <c r="F5" i="92"/>
  <c r="F2" i="92"/>
  <c r="E5" i="92"/>
  <c r="E2" i="92"/>
  <c r="D5" i="92"/>
  <c r="R38" i="82"/>
  <c r="Q38" i="82"/>
  <c r="S38" i="82"/>
  <c r="T38" i="82"/>
  <c r="U38" i="82"/>
  <c r="V38" i="82"/>
  <c r="R39" i="82"/>
  <c r="S48" i="82"/>
  <c r="B17" i="74"/>
  <c r="AY108" i="92"/>
  <c r="V5" i="82"/>
  <c r="U5" i="82"/>
  <c r="L137" i="80"/>
  <c r="E88" i="36"/>
  <c r="F88" i="36"/>
  <c r="G88" i="36"/>
  <c r="D88" i="36"/>
  <c r="I35" i="36"/>
  <c r="I5" i="35"/>
  <c r="G5" i="35"/>
  <c r="E5" i="35"/>
  <c r="E105" i="34"/>
  <c r="D105" i="34"/>
  <c r="B36" i="87"/>
  <c r="O2" i="87"/>
  <c r="O35" i="87"/>
  <c r="B3" i="87"/>
  <c r="I5" i="33"/>
  <c r="G5" i="33"/>
  <c r="E5" i="33"/>
  <c r="B15" i="74"/>
  <c r="B14" i="74"/>
  <c r="S46" i="82"/>
  <c r="S45" i="82"/>
  <c r="R41" i="82"/>
  <c r="S47" i="82"/>
  <c r="Q41" i="82"/>
  <c r="Q39" i="82"/>
  <c r="R27" i="82"/>
  <c r="Q27" i="82"/>
  <c r="V24" i="82"/>
  <c r="U24" i="82"/>
  <c r="T24" i="82"/>
  <c r="S24" i="82"/>
  <c r="R24" i="82"/>
  <c r="Q24" i="82"/>
  <c r="P46" i="36"/>
  <c r="Q46" i="36"/>
  <c r="R46" i="36"/>
  <c r="S46" i="36"/>
  <c r="T46" i="36"/>
  <c r="U46" i="36"/>
  <c r="V46" i="36"/>
  <c r="W46" i="36"/>
  <c r="X46" i="36"/>
  <c r="Y46" i="36"/>
  <c r="Z46" i="36"/>
  <c r="AA46" i="36"/>
  <c r="AB46" i="36"/>
  <c r="AC46" i="36"/>
  <c r="I7" i="36"/>
  <c r="G7" i="36"/>
  <c r="I5" i="36"/>
  <c r="G5" i="36"/>
  <c r="E5" i="36"/>
  <c r="E7" i="36"/>
  <c r="E35" i="36"/>
  <c r="G35" i="36"/>
  <c r="I37" i="35"/>
  <c r="G37" i="35"/>
  <c r="E37" i="35"/>
  <c r="A126" i="91"/>
  <c r="A124" i="91"/>
  <c r="A122" i="91"/>
  <c r="A120" i="91"/>
  <c r="A118" i="91"/>
  <c r="E111" i="91"/>
  <c r="H112" i="91"/>
  <c r="H109" i="91"/>
  <c r="D124" i="91"/>
  <c r="D125" i="91"/>
  <c r="E109" i="91"/>
  <c r="E107" i="91"/>
  <c r="H106" i="91"/>
  <c r="H105" i="91"/>
  <c r="H104" i="91"/>
  <c r="H103" i="91"/>
  <c r="D120" i="91"/>
  <c r="D101" i="91"/>
  <c r="C101" i="91"/>
  <c r="D93" i="91"/>
  <c r="C91" i="91"/>
  <c r="E90" i="91"/>
  <c r="D89" i="91"/>
  <c r="C89" i="91"/>
  <c r="C87" i="91"/>
  <c r="D78" i="91"/>
  <c r="H77" i="91"/>
  <c r="D77" i="91"/>
  <c r="C77" i="91"/>
  <c r="C76" i="91"/>
  <c r="C74" i="91"/>
  <c r="D68" i="91"/>
  <c r="F59" i="91"/>
  <c r="E59" i="91"/>
  <c r="N55" i="91"/>
  <c r="N56" i="91"/>
  <c r="M56" i="91"/>
  <c r="K56" i="91"/>
  <c r="J56" i="91"/>
  <c r="F56" i="91"/>
  <c r="O55" i="91"/>
  <c r="K55" i="91"/>
  <c r="J55" i="91"/>
  <c r="J57" i="91"/>
  <c r="J59" i="91"/>
  <c r="J61" i="91"/>
  <c r="I55" i="91"/>
  <c r="F55" i="91"/>
  <c r="O54" i="91"/>
  <c r="N54" i="91"/>
  <c r="F54" i="91"/>
  <c r="O53" i="91"/>
  <c r="N53" i="91"/>
  <c r="F53" i="91"/>
  <c r="F52" i="91"/>
  <c r="M49" i="91"/>
  <c r="L66" i="91"/>
  <c r="M66" i="91"/>
  <c r="K49" i="91"/>
  <c r="F48" i="91"/>
  <c r="O52" i="91"/>
  <c r="E48" i="91"/>
  <c r="N52" i="91"/>
  <c r="D48" i="91"/>
  <c r="M52" i="91"/>
  <c r="M47" i="91"/>
  <c r="F33" i="91"/>
  <c r="D27" i="91"/>
  <c r="C25" i="91"/>
  <c r="C24" i="91"/>
  <c r="C17" i="91"/>
  <c r="D14" i="91"/>
  <c r="D17" i="91"/>
  <c r="L4" i="91"/>
  <c r="K4" i="91"/>
  <c r="A2" i="91"/>
  <c r="H1" i="91"/>
  <c r="A126" i="89"/>
  <c r="A124" i="89"/>
  <c r="A122" i="89"/>
  <c r="A120" i="89"/>
  <c r="A118" i="89"/>
  <c r="E111" i="89"/>
  <c r="H112" i="89"/>
  <c r="E109" i="89"/>
  <c r="H109" i="89"/>
  <c r="E107" i="89"/>
  <c r="H106" i="89"/>
  <c r="H105" i="89"/>
  <c r="H104" i="89"/>
  <c r="H103" i="89"/>
  <c r="D120" i="89"/>
  <c r="D101" i="89"/>
  <c r="C101" i="89"/>
  <c r="D93" i="89"/>
  <c r="C91" i="89"/>
  <c r="E90" i="89"/>
  <c r="D89" i="89"/>
  <c r="C89" i="89"/>
  <c r="C87" i="89"/>
  <c r="D78" i="89"/>
  <c r="H77" i="89"/>
  <c r="D77" i="89"/>
  <c r="C77" i="89"/>
  <c r="C76" i="89"/>
  <c r="C74" i="89"/>
  <c r="D68" i="89"/>
  <c r="F59" i="89"/>
  <c r="E59" i="89"/>
  <c r="N55" i="89"/>
  <c r="N56" i="89"/>
  <c r="M56" i="89"/>
  <c r="K56" i="89"/>
  <c r="J56" i="89"/>
  <c r="F56" i="89"/>
  <c r="O54" i="89"/>
  <c r="O55" i="89"/>
  <c r="K55" i="89"/>
  <c r="J55" i="89"/>
  <c r="J57" i="89"/>
  <c r="J59" i="89"/>
  <c r="J61" i="89"/>
  <c r="I55" i="89"/>
  <c r="F55" i="89"/>
  <c r="O53" i="89"/>
  <c r="N54" i="89"/>
  <c r="F54" i="89"/>
  <c r="N53" i="89"/>
  <c r="F53" i="89"/>
  <c r="F52" i="89"/>
  <c r="K49" i="89"/>
  <c r="F48" i="89"/>
  <c r="O52" i="89"/>
  <c r="E48" i="89"/>
  <c r="N52" i="89"/>
  <c r="D48" i="89"/>
  <c r="M52" i="89"/>
  <c r="M47" i="89"/>
  <c r="F33" i="89"/>
  <c r="D27" i="89"/>
  <c r="C25" i="89"/>
  <c r="C24" i="89"/>
  <c r="C17" i="89"/>
  <c r="C18" i="89"/>
  <c r="D18" i="89"/>
  <c r="D14" i="89"/>
  <c r="D17" i="89"/>
  <c r="L4" i="89"/>
  <c r="K4" i="89"/>
  <c r="A2" i="89"/>
  <c r="H1" i="89"/>
  <c r="F51" i="92"/>
  <c r="F50" i="92"/>
  <c r="F41" i="92"/>
  <c r="F40" i="92"/>
  <c r="F39" i="92"/>
  <c r="F38" i="92"/>
  <c r="F46" i="92"/>
  <c r="F45" i="92"/>
  <c r="D34" i="89"/>
  <c r="D34" i="91"/>
  <c r="D35" i="91"/>
  <c r="D35" i="89"/>
  <c r="AZ2" i="94"/>
  <c r="G11" i="92"/>
  <c r="G5" i="92"/>
  <c r="C31" i="92"/>
  <c r="G12" i="92"/>
  <c r="G8" i="92"/>
  <c r="G6" i="92"/>
  <c r="G9" i="92"/>
  <c r="G23" i="92"/>
  <c r="G24" i="92"/>
  <c r="G15" i="92"/>
  <c r="G16" i="92"/>
  <c r="G27" i="92"/>
  <c r="G28" i="92"/>
  <c r="G19" i="92"/>
  <c r="G2" i="92"/>
  <c r="G3" i="92"/>
  <c r="G20" i="92"/>
  <c r="S49" i="82"/>
  <c r="B16" i="74"/>
  <c r="C18" i="91"/>
  <c r="D18" i="91"/>
  <c r="C92" i="91"/>
  <c r="C94" i="91"/>
  <c r="D121" i="91"/>
  <c r="K120" i="91"/>
  <c r="L65" i="91"/>
  <c r="M65" i="91"/>
  <c r="H111" i="91"/>
  <c r="D126" i="91"/>
  <c r="D127" i="91"/>
  <c r="L67" i="91"/>
  <c r="M67" i="91"/>
  <c r="L68" i="91"/>
  <c r="M68" i="91"/>
  <c r="L63" i="91"/>
  <c r="M63" i="91"/>
  <c r="M69" i="91"/>
  <c r="N69" i="91"/>
  <c r="L64" i="91"/>
  <c r="M64" i="91"/>
  <c r="H110" i="91"/>
  <c r="D121" i="89"/>
  <c r="K120" i="89"/>
  <c r="D124" i="89"/>
  <c r="D125" i="89"/>
  <c r="H110" i="89"/>
  <c r="M49" i="89"/>
  <c r="C92" i="89"/>
  <c r="C94" i="89"/>
  <c r="H111" i="89"/>
  <c r="D126" i="89"/>
  <c r="D127" i="89"/>
  <c r="I34" i="34"/>
  <c r="G34" i="34"/>
  <c r="E34" i="34"/>
  <c r="C34" i="34"/>
  <c r="G5" i="34"/>
  <c r="E5" i="34"/>
  <c r="P59" i="34"/>
  <c r="Q59" i="34"/>
  <c r="R59" i="34"/>
  <c r="S59" i="34"/>
  <c r="T59" i="34"/>
  <c r="U59" i="34"/>
  <c r="V59" i="34"/>
  <c r="W59" i="34"/>
  <c r="X59" i="34"/>
  <c r="Y59" i="34"/>
  <c r="Z59" i="34"/>
  <c r="G7" i="34"/>
  <c r="E7" i="34"/>
  <c r="G48" i="34"/>
  <c r="E48" i="34"/>
  <c r="A126" i="88"/>
  <c r="A124" i="88"/>
  <c r="A122" i="88"/>
  <c r="A120" i="88"/>
  <c r="A118" i="88"/>
  <c r="E111" i="88"/>
  <c r="H112" i="88"/>
  <c r="H109" i="88"/>
  <c r="D124" i="88"/>
  <c r="D125" i="88"/>
  <c r="E109" i="88"/>
  <c r="E107" i="88"/>
  <c r="H106" i="88"/>
  <c r="H105" i="88"/>
  <c r="H104" i="88"/>
  <c r="H103" i="88"/>
  <c r="D120" i="88"/>
  <c r="D101" i="88"/>
  <c r="C101" i="88"/>
  <c r="D93" i="88"/>
  <c r="C91" i="88"/>
  <c r="E90" i="88"/>
  <c r="D89" i="88"/>
  <c r="C89" i="88"/>
  <c r="C87" i="88"/>
  <c r="D78" i="88"/>
  <c r="H77" i="88"/>
  <c r="D77" i="88"/>
  <c r="C77" i="88"/>
  <c r="C76" i="88"/>
  <c r="C74" i="88"/>
  <c r="D68" i="88"/>
  <c r="F59" i="88"/>
  <c r="E59" i="88"/>
  <c r="J57" i="88"/>
  <c r="J59" i="88"/>
  <c r="J61" i="88"/>
  <c r="N56" i="88"/>
  <c r="M56" i="88"/>
  <c r="K56" i="88"/>
  <c r="J56" i="88"/>
  <c r="F56" i="88"/>
  <c r="O55" i="88"/>
  <c r="N55" i="88"/>
  <c r="K55" i="88"/>
  <c r="J55" i="88"/>
  <c r="I55" i="88"/>
  <c r="F55" i="88"/>
  <c r="O54" i="88"/>
  <c r="N54" i="88"/>
  <c r="F54" i="88"/>
  <c r="O53" i="88"/>
  <c r="N53" i="88"/>
  <c r="F53" i="88"/>
  <c r="F52" i="88"/>
  <c r="M49" i="88"/>
  <c r="L66" i="88"/>
  <c r="M66" i="88"/>
  <c r="K49" i="88"/>
  <c r="F48" i="88"/>
  <c r="O52" i="88"/>
  <c r="E48" i="88"/>
  <c r="N52" i="88"/>
  <c r="D48" i="88"/>
  <c r="M52" i="88"/>
  <c r="M47" i="88"/>
  <c r="F33" i="88"/>
  <c r="D27" i="88"/>
  <c r="C25" i="88"/>
  <c r="C24" i="88"/>
  <c r="C17" i="88"/>
  <c r="D14" i="88"/>
  <c r="D17" i="88"/>
  <c r="L4" i="88"/>
  <c r="K4" i="88"/>
  <c r="A2" i="88"/>
  <c r="H1" i="88"/>
  <c r="D14" i="9"/>
  <c r="E33" i="33"/>
  <c r="I47" i="33"/>
  <c r="G47" i="33"/>
  <c r="E47" i="33"/>
  <c r="I7" i="33"/>
  <c r="G7" i="33"/>
  <c r="E7" i="33"/>
  <c r="F19" i="6"/>
  <c r="C33" i="33"/>
  <c r="L136" i="80"/>
  <c r="L135" i="80"/>
  <c r="D35" i="88"/>
  <c r="D34" i="88"/>
  <c r="A12" i="92"/>
  <c r="G31" i="92"/>
  <c r="G30" i="92"/>
  <c r="L66" i="89"/>
  <c r="M66" i="89"/>
  <c r="L64" i="89"/>
  <c r="M64" i="89"/>
  <c r="L68" i="89"/>
  <c r="M68" i="89"/>
  <c r="L67" i="89"/>
  <c r="M67" i="89"/>
  <c r="L65" i="89"/>
  <c r="M65" i="89"/>
  <c r="L63" i="89"/>
  <c r="M63" i="89"/>
  <c r="M69" i="89"/>
  <c r="N69" i="89"/>
  <c r="C18" i="88"/>
  <c r="D18" i="88"/>
  <c r="D121" i="88"/>
  <c r="K120" i="88"/>
  <c r="C92" i="88"/>
  <c r="C94" i="88"/>
  <c r="L63" i="88"/>
  <c r="M63" i="88"/>
  <c r="M69" i="88"/>
  <c r="N69" i="88"/>
  <c r="L65" i="88"/>
  <c r="M65" i="88"/>
  <c r="H111" i="88"/>
  <c r="D126" i="88"/>
  <c r="D127" i="88"/>
  <c r="L67" i="88"/>
  <c r="M67" i="88"/>
  <c r="L68" i="88"/>
  <c r="M68" i="88"/>
  <c r="L64" i="88"/>
  <c r="M64" i="88"/>
  <c r="H110" i="88"/>
  <c r="E117" i="39"/>
  <c r="F117" i="39"/>
  <c r="G117" i="39"/>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c r="F59" i="86"/>
  <c r="Q58" i="86"/>
  <c r="Q51" i="86"/>
  <c r="J50" i="86"/>
  <c r="M47" i="86"/>
  <c r="D46" i="86"/>
  <c r="F34" i="86"/>
  <c r="F62" i="86"/>
  <c r="F33" i="86"/>
  <c r="F61" i="86"/>
  <c r="F31" i="86"/>
  <c r="F23" i="86"/>
  <c r="D24" i="86"/>
  <c r="D23" i="86"/>
  <c r="F21" i="86"/>
  <c r="M20" i="86"/>
  <c r="F20" i="86"/>
  <c r="M19" i="86"/>
  <c r="F18" i="86"/>
  <c r="M17" i="86"/>
  <c r="F17" i="86"/>
  <c r="F15" i="86"/>
  <c r="Q72" i="85"/>
  <c r="Q59" i="85"/>
  <c r="K59" i="85"/>
  <c r="P74" i="85"/>
  <c r="F59" i="85"/>
  <c r="Q58" i="85"/>
  <c r="Q51" i="85"/>
  <c r="J50" i="85"/>
  <c r="M47" i="85"/>
  <c r="D46" i="85"/>
  <c r="F34" i="85"/>
  <c r="F62" i="85"/>
  <c r="F33" i="85"/>
  <c r="F61" i="85"/>
  <c r="F31" i="85"/>
  <c r="F23" i="85"/>
  <c r="D24" i="85"/>
  <c r="D23" i="85"/>
  <c r="F21" i="85"/>
  <c r="M20" i="85"/>
  <c r="F20" i="85"/>
  <c r="M19" i="85"/>
  <c r="F18" i="85"/>
  <c r="M17" i="85"/>
  <c r="F17" i="85"/>
  <c r="F15" i="85"/>
  <c r="Y7" i="1"/>
  <c r="Y8" i="1"/>
  <c r="Y9" i="1"/>
  <c r="Y6" i="1"/>
  <c r="N9" i="1"/>
  <c r="N8" i="1"/>
  <c r="N7" i="1"/>
  <c r="N21" i="1"/>
  <c r="X4" i="82"/>
  <c r="X3" i="82"/>
  <c r="J9" i="1"/>
  <c r="J8" i="1"/>
  <c r="I8" i="1"/>
  <c r="I9" i="1"/>
  <c r="H8" i="1"/>
  <c r="H9" i="1"/>
  <c r="J7" i="1"/>
  <c r="I7" i="1"/>
  <c r="H7" i="1"/>
  <c r="K13" i="3"/>
  <c r="I13" i="3"/>
  <c r="F23" i="6"/>
  <c r="U7" i="82"/>
  <c r="S7" i="82"/>
  <c r="T7" i="82"/>
  <c r="U3" i="82"/>
  <c r="V3" i="82"/>
  <c r="W3" i="82"/>
  <c r="T3" i="82"/>
  <c r="D22" i="85"/>
  <c r="D22" i="86"/>
  <c r="P61" i="86"/>
  <c r="J51" i="86"/>
  <c r="P61" i="85"/>
  <c r="J51" i="85"/>
  <c r="B3" i="4"/>
  <c r="Q72" i="84"/>
  <c r="Q59" i="84"/>
  <c r="K59" i="84"/>
  <c r="P74" i="84"/>
  <c r="Q58" i="84"/>
  <c r="Q51" i="84"/>
  <c r="J50" i="84"/>
  <c r="M47" i="84"/>
  <c r="D46" i="84"/>
  <c r="F34" i="84"/>
  <c r="F62" i="84"/>
  <c r="F33" i="84"/>
  <c r="F61" i="84"/>
  <c r="F23" i="84"/>
  <c r="D24" i="84"/>
  <c r="D23" i="84"/>
  <c r="F21" i="84"/>
  <c r="M20" i="84"/>
  <c r="F20" i="84"/>
  <c r="M19" i="84"/>
  <c r="F18" i="84"/>
  <c r="F17" i="84"/>
  <c r="F15" i="84"/>
  <c r="O63" i="83"/>
  <c r="O62" i="83"/>
  <c r="G62" i="83"/>
  <c r="W61" i="83"/>
  <c r="O61" i="83"/>
  <c r="G61" i="83"/>
  <c r="W60" i="83"/>
  <c r="O60" i="83"/>
  <c r="G60" i="83"/>
  <c r="F51" i="83"/>
  <c r="S14" i="82"/>
  <c r="R14" i="82"/>
  <c r="S13" i="82"/>
  <c r="R13" i="82"/>
  <c r="S12" i="82"/>
  <c r="O13" i="3"/>
  <c r="G22" i="6"/>
  <c r="R12" i="82"/>
  <c r="S9" i="82"/>
  <c r="R9" i="82"/>
  <c r="S8" i="82"/>
  <c r="F20" i="6"/>
  <c r="R8" i="82"/>
  <c r="R7" i="82"/>
  <c r="S4" i="82"/>
  <c r="R4" i="82"/>
  <c r="S3" i="82"/>
  <c r="R3" i="82"/>
  <c r="D22" i="84"/>
  <c r="R17" i="82"/>
  <c r="T17" i="82"/>
  <c r="R15" i="82"/>
  <c r="T15" i="82"/>
  <c r="M13" i="3"/>
  <c r="G21" i="6"/>
  <c r="R16" i="82"/>
  <c r="T16" i="82"/>
  <c r="P61" i="84"/>
  <c r="J51" i="84"/>
  <c r="T18" i="82"/>
  <c r="V19" i="82"/>
  <c r="F31" i="84"/>
  <c r="E27" i="45"/>
  <c r="M17" i="84"/>
  <c r="F59" i="84"/>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R11" i="79"/>
  <c r="AB38" i="79"/>
  <c r="AA38" i="79"/>
  <c r="Z38" i="79"/>
  <c r="N38" i="79"/>
  <c r="M38" i="79"/>
  <c r="L38" i="79"/>
  <c r="I38" i="79"/>
  <c r="AC10" i="79"/>
  <c r="AB10" i="79"/>
  <c r="AA10" i="79"/>
  <c r="AD10" i="79"/>
  <c r="Z10" i="79"/>
  <c r="Y10" i="79"/>
  <c r="O10" i="79"/>
  <c r="N10" i="79"/>
  <c r="M10" i="79"/>
  <c r="P10" i="79"/>
  <c r="L10" i="79"/>
  <c r="K10" i="79"/>
  <c r="I10"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5" i="79"/>
  <c r="AD36" i="79"/>
  <c r="AD34" i="79"/>
  <c r="AD38" i="79"/>
  <c r="AD37" i="79"/>
  <c r="AR40" i="79"/>
  <c r="AR41" i="79"/>
  <c r="AR42" i="79"/>
  <c r="AR43" i="79"/>
  <c r="AR44" i="79"/>
  <c r="AR45" i="79"/>
  <c r="AR46" i="79"/>
  <c r="AR47" i="79"/>
  <c r="AR48" i="79"/>
  <c r="AR49" i="79"/>
  <c r="AR50" i="79"/>
  <c r="AR51" i="79"/>
  <c r="AR52" i="79"/>
  <c r="S35" i="79"/>
  <c r="AG35" i="79"/>
  <c r="S33" i="79"/>
  <c r="AG33" i="79"/>
  <c r="S34" i="79"/>
  <c r="AG34" i="79"/>
  <c r="W40" i="79"/>
  <c r="AK40" i="79"/>
  <c r="AH40" i="79"/>
  <c r="AR18" i="79"/>
  <c r="AR19" i="79"/>
  <c r="AR20" i="79"/>
  <c r="AR21" i="79"/>
  <c r="AR22" i="79"/>
  <c r="AR23" i="79"/>
  <c r="AR24" i="79"/>
  <c r="T33" i="79"/>
  <c r="T35" i="79"/>
  <c r="T34" i="79"/>
  <c r="U34" i="79"/>
  <c r="AI34" i="79"/>
  <c r="U35" i="79"/>
  <c r="AI35"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42" i="79"/>
  <c r="AK42"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5" i="79"/>
  <c r="W35" i="79"/>
  <c r="AK35" i="79"/>
  <c r="C18" i="78"/>
  <c r="W15" i="79"/>
  <c r="AK15" i="79"/>
  <c r="AH15" i="79"/>
  <c r="W13" i="79"/>
  <c r="AK13" i="79"/>
  <c r="AH13" i="79"/>
  <c r="W48" i="79"/>
  <c r="AK48" i="79"/>
  <c r="AH48" i="79"/>
  <c r="W49" i="79"/>
  <c r="AK49" i="79"/>
  <c r="AH49" i="79"/>
  <c r="W43" i="79"/>
  <c r="AK43" i="79"/>
  <c r="AH43" i="79"/>
  <c r="W38" i="79"/>
  <c r="AK38" i="79"/>
  <c r="AH38" i="79"/>
  <c r="W33" i="79"/>
  <c r="AK33" i="79"/>
  <c r="AH33"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F24" i="71"/>
  <c r="F23" i="71"/>
  <c r="F22" i="71"/>
  <c r="P24" i="71"/>
  <c r="O24" i="71"/>
  <c r="C24" i="71"/>
  <c r="C23" i="71"/>
  <c r="Q25" i="71"/>
  <c r="P25" i="71"/>
  <c r="E24" i="71"/>
  <c r="V24"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P38" i="71"/>
  <c r="O38" i="71"/>
  <c r="Y38" i="71"/>
  <c r="Z38" i="71"/>
  <c r="N38" i="71"/>
  <c r="X36" i="71"/>
  <c r="F38" i="71"/>
  <c r="F39" i="71"/>
  <c r="Q37" i="71"/>
  <c r="P37" i="71"/>
  <c r="AA37" i="71"/>
  <c r="O37" i="71"/>
  <c r="Y35" i="71"/>
  <c r="Z35" i="71"/>
  <c r="N37" i="71"/>
  <c r="B38" i="71"/>
  <c r="D37" i="71"/>
  <c r="Q36" i="71"/>
  <c r="AB36" i="71"/>
  <c r="P36" i="71"/>
  <c r="O36" i="71"/>
  <c r="N36" i="71"/>
  <c r="Q35" i="71"/>
  <c r="AB35" i="71"/>
  <c r="P35" i="71"/>
  <c r="AA35" i="71"/>
  <c r="O35" i="71"/>
  <c r="N35" i="71"/>
  <c r="Q34" i="71"/>
  <c r="AB34" i="71"/>
  <c r="P34" i="71"/>
  <c r="AA34" i="71"/>
  <c r="O34" i="71"/>
  <c r="N34" i="71"/>
  <c r="Q33" i="71"/>
  <c r="F34" i="71"/>
  <c r="F35" i="71"/>
  <c r="F36" i="71"/>
  <c r="V36" i="71"/>
  <c r="P33" i="71"/>
  <c r="O33" i="71"/>
  <c r="N33" i="71"/>
  <c r="X25" i="71"/>
  <c r="D33" i="71"/>
  <c r="Q32" i="71"/>
  <c r="AB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X26" i="71"/>
  <c r="B30" i="71"/>
  <c r="B31" i="71"/>
  <c r="B32" i="71"/>
  <c r="S32" i="71"/>
  <c r="E30" i="71"/>
  <c r="E31" i="71"/>
  <c r="E32" i="71"/>
  <c r="U32" i="71"/>
  <c r="B39" i="71"/>
  <c r="B40" i="71"/>
  <c r="S40" i="71"/>
  <c r="E34" i="71"/>
  <c r="C30" i="71"/>
  <c r="X31" i="71"/>
  <c r="C34" i="71"/>
  <c r="D34" i="71"/>
  <c r="X34" i="71"/>
  <c r="C38" i="71"/>
  <c r="D38" i="71"/>
  <c r="F51" i="71"/>
  <c r="F52" i="71"/>
  <c r="V52" i="71"/>
  <c r="Y27" i="71"/>
  <c r="Z27" i="71"/>
  <c r="B28" i="71"/>
  <c r="B27" i="71"/>
  <c r="B26" i="71"/>
  <c r="D30" i="71"/>
  <c r="D50" i="71"/>
  <c r="P28" i="71"/>
  <c r="E28" i="71"/>
  <c r="U68" i="71"/>
  <c r="E67" i="71"/>
  <c r="E66" i="71"/>
  <c r="Q28" i="71"/>
  <c r="C63" i="71"/>
  <c r="C64" i="71"/>
  <c r="D62" i="71"/>
  <c r="T68" i="71"/>
  <c r="O68" i="71"/>
  <c r="D68" i="71"/>
  <c r="C67" i="71"/>
  <c r="D67" i="71"/>
  <c r="Q68" i="71"/>
  <c r="E71" i="71"/>
  <c r="E70" i="71"/>
  <c r="D72" i="71"/>
  <c r="C75" i="71"/>
  <c r="D76" i="71"/>
  <c r="D80" i="71"/>
  <c r="F28" i="71"/>
  <c r="F27" i="71"/>
  <c r="F26" i="71"/>
  <c r="AA3" i="71"/>
  <c r="D63" i="71"/>
  <c r="D75" i="71"/>
  <c r="C74" i="71"/>
  <c r="D74"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B88" i="43"/>
  <c r="C22" i="20"/>
  <c r="B100" i="43"/>
  <c r="B57" i="43"/>
  <c r="B68" i="43"/>
  <c r="C29" i="39"/>
  <c r="S21" i="34"/>
  <c r="H25" i="40"/>
  <c r="AB25" i="40"/>
  <c r="J25" i="40"/>
  <c r="H29" i="39"/>
  <c r="AB29" i="39"/>
  <c r="J29" i="39"/>
  <c r="AC29" i="39"/>
  <c r="J18" i="36"/>
  <c r="AC18" i="36"/>
  <c r="H18" i="35"/>
  <c r="AB18" i="35"/>
  <c r="J18" i="35"/>
  <c r="H21" i="37"/>
  <c r="F21" i="37"/>
  <c r="AA21" i="37"/>
  <c r="H21" i="34"/>
  <c r="AB21" i="34"/>
  <c r="H21" i="33"/>
  <c r="U21" i="33"/>
  <c r="F21" i="33"/>
  <c r="AA21" i="33"/>
  <c r="E83" i="21"/>
  <c r="F83" i="21"/>
  <c r="G83" i="21"/>
  <c r="H1" i="69"/>
  <c r="AC25" i="40"/>
  <c r="W25" i="40"/>
  <c r="U25" i="40"/>
  <c r="U29" i="39"/>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c r="BB33" i="3"/>
  <c r="AX33" i="3"/>
  <c r="AW33" i="3"/>
  <c r="AV33" i="3"/>
  <c r="AC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AZ466" i="3"/>
  <c r="BC466" i="3"/>
  <c r="BB466" i="3"/>
  <c r="AX466" i="3"/>
  <c r="AW466" i="3"/>
  <c r="AV466" i="3"/>
  <c r="AC466" i="3"/>
  <c r="H466" i="3"/>
  <c r="G466" i="3"/>
  <c r="BT465" i="3"/>
  <c r="BS465" i="3"/>
  <c r="BR465" i="3"/>
  <c r="BQ465" i="3"/>
  <c r="BP465" i="3"/>
  <c r="BO465" i="3"/>
  <c r="BN465" i="3"/>
  <c r="BL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c r="AZ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A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c r="H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K7" i="1"/>
  <c r="M7" i="1"/>
  <c r="O7" i="1"/>
  <c r="P7" i="1"/>
  <c r="E21" i="6"/>
  <c r="K8" i="1"/>
  <c r="M8" i="1"/>
  <c r="F23" i="15"/>
  <c r="D24" i="15"/>
  <c r="E22" i="6"/>
  <c r="D3" i="3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A493" i="3"/>
  <c r="BC493" i="3"/>
  <c r="BD493" i="3"/>
  <c r="BE493" i="3"/>
  <c r="BF493" i="3"/>
  <c r="BG493" i="3"/>
  <c r="BH493" i="3"/>
  <c r="BI493" i="3"/>
  <c r="BJ493" i="3"/>
  <c r="BK493" i="3"/>
  <c r="BM493" i="3"/>
  <c r="BN493" i="3"/>
  <c r="BO493" i="3"/>
  <c r="BL493" i="3"/>
  <c r="BP493" i="3"/>
  <c r="BR493" i="3"/>
  <c r="BS493" i="3"/>
  <c r="BT493" i="3"/>
  <c r="BT5" i="3"/>
  <c r="H494" i="3"/>
  <c r="AC494" i="3"/>
  <c r="BB494" i="3"/>
  <c r="BC494" i="3"/>
  <c r="BA494" i="3"/>
  <c r="AZ494" i="3"/>
  <c r="BD494" i="3"/>
  <c r="BE494" i="3"/>
  <c r="BF494" i="3"/>
  <c r="BG494" i="3"/>
  <c r="BH494" i="3"/>
  <c r="BI494" i="3"/>
  <c r="BJ494" i="3"/>
  <c r="BK494" i="3"/>
  <c r="BM494" i="3"/>
  <c r="BN494" i="3"/>
  <c r="BO494" i="3"/>
  <c r="BP494" i="3"/>
  <c r="BQ494" i="3"/>
  <c r="BR494" i="3"/>
  <c r="BS494" i="3"/>
  <c r="BT494" i="3"/>
  <c r="H495" i="3"/>
  <c r="AC495" i="3"/>
  <c r="BB495" i="3"/>
  <c r="BC495" i="3"/>
  <c r="BA495" i="3"/>
  <c r="BD495" i="3"/>
  <c r="BE495" i="3"/>
  <c r="BF495" i="3"/>
  <c r="BG495" i="3"/>
  <c r="BH495" i="3"/>
  <c r="BI495" i="3"/>
  <c r="BJ495" i="3"/>
  <c r="BK495" i="3"/>
  <c r="BM495" i="3"/>
  <c r="BN495" i="3"/>
  <c r="BO495" i="3"/>
  <c r="BP495" i="3"/>
  <c r="BL495" i="3"/>
  <c r="BR495" i="3"/>
  <c r="BS495" i="3"/>
  <c r="BT495" i="3"/>
  <c r="H496" i="3"/>
  <c r="G496" i="3"/>
  <c r="AC496" i="3"/>
  <c r="BB496" i="3"/>
  <c r="BC496" i="3"/>
  <c r="BD496" i="3"/>
  <c r="BE496" i="3"/>
  <c r="BF496" i="3"/>
  <c r="BG496" i="3"/>
  <c r="BH496" i="3"/>
  <c r="BH5" i="3"/>
  <c r="BI496" i="3"/>
  <c r="BJ496" i="3"/>
  <c r="BK496" i="3"/>
  <c r="BM496" i="3"/>
  <c r="BM5"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R5" i="3"/>
  <c r="BS497" i="3"/>
  <c r="BT497" i="3"/>
  <c r="H498" i="3"/>
  <c r="AC498" i="3"/>
  <c r="G498" i="3"/>
  <c r="BB498" i="3"/>
  <c r="BC498" i="3"/>
  <c r="BD498" i="3"/>
  <c r="BE498" i="3"/>
  <c r="BA498" i="3"/>
  <c r="BF498" i="3"/>
  <c r="BG498" i="3"/>
  <c r="BH498" i="3"/>
  <c r="BI498" i="3"/>
  <c r="BI5" i="3"/>
  <c r="BJ498" i="3"/>
  <c r="BK498" i="3"/>
  <c r="BM498" i="3"/>
  <c r="BN498" i="3"/>
  <c r="BL498" i="3"/>
  <c r="BO498" i="3"/>
  <c r="BP498" i="3"/>
  <c r="BQ498" i="3"/>
  <c r="BR498" i="3"/>
  <c r="BS498" i="3"/>
  <c r="BT498" i="3"/>
  <c r="H499" i="3"/>
  <c r="AC499" i="3"/>
  <c r="G499" i="3"/>
  <c r="BB499" i="3"/>
  <c r="BC499" i="3"/>
  <c r="BD499" i="3"/>
  <c r="BE499" i="3"/>
  <c r="BA499" i="3"/>
  <c r="BF499" i="3"/>
  <c r="BG499" i="3"/>
  <c r="BH499" i="3"/>
  <c r="BI499" i="3"/>
  <c r="BJ499" i="3"/>
  <c r="BK499" i="3"/>
  <c r="BM499" i="3"/>
  <c r="BN499" i="3"/>
  <c r="BO499" i="3"/>
  <c r="BP499" i="3"/>
  <c r="BR499" i="3"/>
  <c r="BS499" i="3"/>
  <c r="BS5" i="3"/>
  <c r="BT499" i="3"/>
  <c r="H500" i="3"/>
  <c r="AC500" i="3"/>
  <c r="BB500" i="3"/>
  <c r="BA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K501" i="3"/>
  <c r="BM501" i="3"/>
  <c r="BN501" i="3"/>
  <c r="BO501" i="3"/>
  <c r="BL501" i="3"/>
  <c r="BP501" i="3"/>
  <c r="BR501" i="3"/>
  <c r="BS501" i="3"/>
  <c r="BT501" i="3"/>
  <c r="H502" i="3"/>
  <c r="AC502" i="3"/>
  <c r="BB502" i="3"/>
  <c r="BC502" i="3"/>
  <c r="BA502" i="3"/>
  <c r="BD502" i="3"/>
  <c r="BE502" i="3"/>
  <c r="BF502" i="3"/>
  <c r="BG502" i="3"/>
  <c r="BH502" i="3"/>
  <c r="BI502" i="3"/>
  <c r="BJ502" i="3"/>
  <c r="BK502" i="3"/>
  <c r="BM502" i="3"/>
  <c r="BN502" i="3"/>
  <c r="BO502" i="3"/>
  <c r="BP502" i="3"/>
  <c r="BL502" i="3"/>
  <c r="AZ502" i="3"/>
  <c r="BQ502" i="3"/>
  <c r="BR502" i="3"/>
  <c r="BS502" i="3"/>
  <c r="BT502" i="3"/>
  <c r="H503" i="3"/>
  <c r="AC503" i="3"/>
  <c r="BB503" i="3"/>
  <c r="BC503" i="3"/>
  <c r="BA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L505" i="3"/>
  <c r="BN505" i="3"/>
  <c r="BO505" i="3"/>
  <c r="BP505" i="3"/>
  <c r="BR505" i="3"/>
  <c r="BS505" i="3"/>
  <c r="BT505" i="3"/>
  <c r="H506" i="3"/>
  <c r="AC506" i="3"/>
  <c r="BB506" i="3"/>
  <c r="BC506" i="3"/>
  <c r="BD506" i="3"/>
  <c r="BE506" i="3"/>
  <c r="BA506" i="3"/>
  <c r="BF506" i="3"/>
  <c r="BG506" i="3"/>
  <c r="BH506" i="3"/>
  <c r="BI506" i="3"/>
  <c r="BJ506" i="3"/>
  <c r="BK506" i="3"/>
  <c r="BM506" i="3"/>
  <c r="BN506" i="3"/>
  <c r="BO506" i="3"/>
  <c r="BP506" i="3"/>
  <c r="BQ506" i="3"/>
  <c r="BR506" i="3"/>
  <c r="BS506" i="3"/>
  <c r="BT506" i="3"/>
  <c r="H507" i="3"/>
  <c r="AC507" i="3"/>
  <c r="G507" i="3"/>
  <c r="BB507" i="3"/>
  <c r="BC507" i="3"/>
  <c r="BD507" i="3"/>
  <c r="BE507" i="3"/>
  <c r="BA507" i="3"/>
  <c r="BF507" i="3"/>
  <c r="BG507" i="3"/>
  <c r="BH507" i="3"/>
  <c r="BI507" i="3"/>
  <c r="BJ507" i="3"/>
  <c r="BK507" i="3"/>
  <c r="BM507" i="3"/>
  <c r="BN507" i="3"/>
  <c r="BO507" i="3"/>
  <c r="BP507" i="3"/>
  <c r="BR507" i="3"/>
  <c r="BS507" i="3"/>
  <c r="BT507" i="3"/>
  <c r="H508" i="3"/>
  <c r="AC508" i="3"/>
  <c r="BB508" i="3"/>
  <c r="BA508" i="3"/>
  <c r="AZ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c r="BR509" i="3"/>
  <c r="BS509" i="3"/>
  <c r="BT509" i="3"/>
  <c r="H510" i="3"/>
  <c r="G510" i="3"/>
  <c r="AC510" i="3"/>
  <c r="BB510" i="3"/>
  <c r="BC510" i="3"/>
  <c r="BD510" i="3"/>
  <c r="BA510" i="3"/>
  <c r="AZ510" i="3"/>
  <c r="BE510" i="3"/>
  <c r="BF510" i="3"/>
  <c r="BG510" i="3"/>
  <c r="BH510" i="3"/>
  <c r="BI510" i="3"/>
  <c r="BJ510" i="3"/>
  <c r="BK510" i="3"/>
  <c r="BM510" i="3"/>
  <c r="BN510" i="3"/>
  <c r="BO510" i="3"/>
  <c r="BP510" i="3"/>
  <c r="BQ510" i="3"/>
  <c r="BR510" i="3"/>
  <c r="BS510" i="3"/>
  <c r="BT510" i="3"/>
  <c r="H511" i="3"/>
  <c r="AC511" i="3"/>
  <c r="BB511" i="3"/>
  <c r="BC511" i="3"/>
  <c r="BD511" i="3"/>
  <c r="BA511" i="3"/>
  <c r="BE511" i="3"/>
  <c r="BF511" i="3"/>
  <c r="BG511" i="3"/>
  <c r="BH511" i="3"/>
  <c r="BI511" i="3"/>
  <c r="BJ511" i="3"/>
  <c r="BK511" i="3"/>
  <c r="BM511" i="3"/>
  <c r="BN511" i="3"/>
  <c r="BO511" i="3"/>
  <c r="BP511" i="3"/>
  <c r="BR511" i="3"/>
  <c r="BS511" i="3"/>
  <c r="BT511" i="3"/>
  <c r="H512" i="3"/>
  <c r="AC512" i="3"/>
  <c r="G512" i="3"/>
  <c r="BB512" i="3"/>
  <c r="BC512" i="3"/>
  <c r="BD512" i="3"/>
  <c r="BE512" i="3"/>
  <c r="BA512" i="3"/>
  <c r="BF512" i="3"/>
  <c r="BG512" i="3"/>
  <c r="BH512" i="3"/>
  <c r="BI512" i="3"/>
  <c r="BJ512" i="3"/>
  <c r="BK512" i="3"/>
  <c r="BM512" i="3"/>
  <c r="BN512" i="3"/>
  <c r="BL512" i="3"/>
  <c r="BO512" i="3"/>
  <c r="BP512" i="3"/>
  <c r="BQ512" i="3"/>
  <c r="BR512" i="3"/>
  <c r="BS512" i="3"/>
  <c r="BT512" i="3"/>
  <c r="H513" i="3"/>
  <c r="AC513" i="3"/>
  <c r="G513" i="3"/>
  <c r="BB513" i="3"/>
  <c r="BC513" i="3"/>
  <c r="BD513" i="3"/>
  <c r="BE513" i="3"/>
  <c r="BF513" i="3"/>
  <c r="BG513" i="3"/>
  <c r="BH513" i="3"/>
  <c r="BI513" i="3"/>
  <c r="BJ513" i="3"/>
  <c r="BK513" i="3"/>
  <c r="BM513" i="3"/>
  <c r="BN513" i="3"/>
  <c r="BL513" i="3"/>
  <c r="BO513" i="3"/>
  <c r="BP513" i="3"/>
  <c r="BR513" i="3"/>
  <c r="BS513" i="3"/>
  <c r="BT513" i="3"/>
  <c r="H514" i="3"/>
  <c r="AC514" i="3"/>
  <c r="BB514" i="3"/>
  <c r="BC514" i="3"/>
  <c r="BD514" i="3"/>
  <c r="BE514" i="3"/>
  <c r="BF514" i="3"/>
  <c r="BG514" i="3"/>
  <c r="BH514" i="3"/>
  <c r="BI514" i="3"/>
  <c r="BJ514" i="3"/>
  <c r="BK514" i="3"/>
  <c r="BM514" i="3"/>
  <c r="BN514" i="3"/>
  <c r="BO514" i="3"/>
  <c r="BL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c r="AZ516" i="3"/>
  <c r="BD516" i="3"/>
  <c r="BE516" i="3"/>
  <c r="BF516" i="3"/>
  <c r="BG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L517" i="3"/>
  <c r="BR517" i="3"/>
  <c r="BS517" i="3"/>
  <c r="BT517" i="3"/>
  <c r="H518" i="3"/>
  <c r="G518" i="3"/>
  <c r="AC518" i="3"/>
  <c r="BB518" i="3"/>
  <c r="BC518" i="3"/>
  <c r="BD518" i="3"/>
  <c r="BA518" i="3"/>
  <c r="BE518" i="3"/>
  <c r="BF518" i="3"/>
  <c r="BG518" i="3"/>
  <c r="BH518" i="3"/>
  <c r="BI518" i="3"/>
  <c r="BJ518" i="3"/>
  <c r="BK518" i="3"/>
  <c r="BM518" i="3"/>
  <c r="BL518" i="3"/>
  <c r="BN518" i="3"/>
  <c r="BO518" i="3"/>
  <c r="BP518" i="3"/>
  <c r="BQ518" i="3"/>
  <c r="BR518" i="3"/>
  <c r="BS518" i="3"/>
  <c r="BT518" i="3"/>
  <c r="H519" i="3"/>
  <c r="AC519" i="3"/>
  <c r="BB519" i="3"/>
  <c r="BC519" i="3"/>
  <c r="BD519" i="3"/>
  <c r="BA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L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c r="BQ522" i="3"/>
  <c r="BR522" i="3"/>
  <c r="BS522" i="3"/>
  <c r="BT522" i="3"/>
  <c r="H523" i="3"/>
  <c r="AC523" i="3"/>
  <c r="BB523" i="3"/>
  <c r="BC523" i="3"/>
  <c r="BA523" i="3"/>
  <c r="BD523" i="3"/>
  <c r="BE523" i="3"/>
  <c r="BF523" i="3"/>
  <c r="BG523" i="3"/>
  <c r="BH523" i="3"/>
  <c r="BI523" i="3"/>
  <c r="BJ523" i="3"/>
  <c r="BK523" i="3"/>
  <c r="BM523" i="3"/>
  <c r="BN523" i="3"/>
  <c r="BO523" i="3"/>
  <c r="BP523" i="3"/>
  <c r="BR523" i="3"/>
  <c r="BS523" i="3"/>
  <c r="BT523" i="3"/>
  <c r="H524" i="3"/>
  <c r="G524" i="3"/>
  <c r="AC524" i="3"/>
  <c r="BB524" i="3"/>
  <c r="BC524" i="3"/>
  <c r="BD524" i="3"/>
  <c r="BA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L525" i="3"/>
  <c r="BN525" i="3"/>
  <c r="BO525" i="3"/>
  <c r="BP525" i="3"/>
  <c r="BR525" i="3"/>
  <c r="BS525" i="3"/>
  <c r="BT525" i="3"/>
  <c r="H526" i="3"/>
  <c r="AC526" i="3"/>
  <c r="BB526" i="3"/>
  <c r="BC526" i="3"/>
  <c r="BD526" i="3"/>
  <c r="BE526" i="3"/>
  <c r="BA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A528" i="3"/>
  <c r="AZ528" i="3"/>
  <c r="BC528" i="3"/>
  <c r="BD528" i="3"/>
  <c r="BE528" i="3"/>
  <c r="BF528" i="3"/>
  <c r="BG528" i="3"/>
  <c r="BH528" i="3"/>
  <c r="BI528" i="3"/>
  <c r="BJ528" i="3"/>
  <c r="BK528" i="3"/>
  <c r="BM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L529" i="3"/>
  <c r="BP529" i="3"/>
  <c r="BR529" i="3"/>
  <c r="BS529" i="3"/>
  <c r="BT529" i="3"/>
  <c r="H530" i="3"/>
  <c r="AC530" i="3"/>
  <c r="BB530" i="3"/>
  <c r="BC530" i="3"/>
  <c r="BD530" i="3"/>
  <c r="BE530" i="3"/>
  <c r="BF530" i="3"/>
  <c r="BG530" i="3"/>
  <c r="BH530" i="3"/>
  <c r="BI530" i="3"/>
  <c r="BJ530" i="3"/>
  <c r="BK530" i="3"/>
  <c r="BM530" i="3"/>
  <c r="BN530" i="3"/>
  <c r="BO530" i="3"/>
  <c r="BP530" i="3"/>
  <c r="BL530" i="3"/>
  <c r="BQ530" i="3"/>
  <c r="BR530" i="3"/>
  <c r="BS530" i="3"/>
  <c r="BT530" i="3"/>
  <c r="H531" i="3"/>
  <c r="AC531" i="3"/>
  <c r="BB531" i="3"/>
  <c r="BC531" i="3"/>
  <c r="BA531" i="3"/>
  <c r="BD531" i="3"/>
  <c r="BE531" i="3"/>
  <c r="BF531" i="3"/>
  <c r="BG531" i="3"/>
  <c r="BH531" i="3"/>
  <c r="BI531" i="3"/>
  <c r="BJ531" i="3"/>
  <c r="BK531" i="3"/>
  <c r="BM531" i="3"/>
  <c r="BN531" i="3"/>
  <c r="BO531" i="3"/>
  <c r="BP531" i="3"/>
  <c r="BR531" i="3"/>
  <c r="BS531" i="3"/>
  <c r="BT531" i="3"/>
  <c r="H532" i="3"/>
  <c r="AC532" i="3"/>
  <c r="BB532" i="3"/>
  <c r="BC532" i="3"/>
  <c r="BD532" i="3"/>
  <c r="BA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L533" i="3"/>
  <c r="BN533" i="3"/>
  <c r="BO533" i="3"/>
  <c r="BP533" i="3"/>
  <c r="BR533" i="3"/>
  <c r="BS533" i="3"/>
  <c r="BT533" i="3"/>
  <c r="H534" i="3"/>
  <c r="AC534" i="3"/>
  <c r="G534" i="3"/>
  <c r="BB534" i="3"/>
  <c r="BC534" i="3"/>
  <c r="BD534" i="3"/>
  <c r="BE534" i="3"/>
  <c r="BF534" i="3"/>
  <c r="BG534" i="3"/>
  <c r="BH534" i="3"/>
  <c r="BI534" i="3"/>
  <c r="BJ534" i="3"/>
  <c r="BK534" i="3"/>
  <c r="BM534" i="3"/>
  <c r="BN534" i="3"/>
  <c r="BL534" i="3"/>
  <c r="BO534" i="3"/>
  <c r="BP534" i="3"/>
  <c r="BQ534" i="3"/>
  <c r="BR534" i="3"/>
  <c r="BS534" i="3"/>
  <c r="BT534" i="3"/>
  <c r="H535" i="3"/>
  <c r="AC535" i="3"/>
  <c r="G535" i="3"/>
  <c r="BB535" i="3"/>
  <c r="BC535" i="3"/>
  <c r="BD535" i="3"/>
  <c r="BE535" i="3"/>
  <c r="BA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c r="BD539" i="3"/>
  <c r="BE539" i="3"/>
  <c r="BF539" i="3"/>
  <c r="BG539" i="3"/>
  <c r="BH539" i="3"/>
  <c r="BI539" i="3"/>
  <c r="BJ539" i="3"/>
  <c r="BK539" i="3"/>
  <c r="BM539" i="3"/>
  <c r="BN539" i="3"/>
  <c r="BO539" i="3"/>
  <c r="BP539" i="3"/>
  <c r="BR539" i="3"/>
  <c r="BS539" i="3"/>
  <c r="BT539" i="3"/>
  <c r="H540" i="3"/>
  <c r="G540" i="3"/>
  <c r="AC540" i="3"/>
  <c r="BB540" i="3"/>
  <c r="BC540" i="3"/>
  <c r="BD540" i="3"/>
  <c r="BA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L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A543" i="3"/>
  <c r="BF543" i="3"/>
  <c r="BG543" i="3"/>
  <c r="BH543" i="3"/>
  <c r="BI543" i="3"/>
  <c r="BJ543" i="3"/>
  <c r="BK543" i="3"/>
  <c r="BM543" i="3"/>
  <c r="BN543" i="3"/>
  <c r="BO543" i="3"/>
  <c r="BP543" i="3"/>
  <c r="BR543" i="3"/>
  <c r="BS543" i="3"/>
  <c r="BT543" i="3"/>
  <c r="H544" i="3"/>
  <c r="AC544" i="3"/>
  <c r="BB544" i="3"/>
  <c r="BA544" i="3"/>
  <c r="BC544" i="3"/>
  <c r="BD544" i="3"/>
  <c r="BE544" i="3"/>
  <c r="BF544" i="3"/>
  <c r="BG544" i="3"/>
  <c r="BH544" i="3"/>
  <c r="BI544" i="3"/>
  <c r="BJ544" i="3"/>
  <c r="BK544" i="3"/>
  <c r="BM544" i="3"/>
  <c r="BN544" i="3"/>
  <c r="BO544" i="3"/>
  <c r="BP544" i="3"/>
  <c r="BQ544" i="3"/>
  <c r="BR544" i="3"/>
  <c r="BS544" i="3"/>
  <c r="BT544" i="3"/>
  <c r="H545" i="3"/>
  <c r="AC545" i="3"/>
  <c r="BB545" i="3"/>
  <c r="BA545" i="3"/>
  <c r="BC545" i="3"/>
  <c r="BD545" i="3"/>
  <c r="BE545" i="3"/>
  <c r="BF545" i="3"/>
  <c r="BG545" i="3"/>
  <c r="BH545" i="3"/>
  <c r="BI545" i="3"/>
  <c r="BJ545" i="3"/>
  <c r="BK545" i="3"/>
  <c r="BM545" i="3"/>
  <c r="BN545" i="3"/>
  <c r="BO545" i="3"/>
  <c r="BL545" i="3"/>
  <c r="BP545" i="3"/>
  <c r="BR545" i="3"/>
  <c r="BS545" i="3"/>
  <c r="BT545" i="3"/>
  <c r="H546" i="3"/>
  <c r="AC546" i="3"/>
  <c r="BB546" i="3"/>
  <c r="BC546" i="3"/>
  <c r="BA546" i="3"/>
  <c r="BD546" i="3"/>
  <c r="BE546" i="3"/>
  <c r="BF546" i="3"/>
  <c r="BG546" i="3"/>
  <c r="BH546" i="3"/>
  <c r="BI546" i="3"/>
  <c r="BJ546" i="3"/>
  <c r="BK546" i="3"/>
  <c r="BM546" i="3"/>
  <c r="BN546" i="3"/>
  <c r="BO546" i="3"/>
  <c r="BP546" i="3"/>
  <c r="BL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A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L549" i="3"/>
  <c r="BN549" i="3"/>
  <c r="BO549" i="3"/>
  <c r="BP549" i="3"/>
  <c r="BR549" i="3"/>
  <c r="BS549" i="3"/>
  <c r="BT549" i="3"/>
  <c r="H550" i="3"/>
  <c r="AC550" i="3"/>
  <c r="G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c r="BO551" i="3"/>
  <c r="BP551" i="3"/>
  <c r="BR551" i="3"/>
  <c r="BS551" i="3"/>
  <c r="BT551" i="3"/>
  <c r="H552" i="3"/>
  <c r="AC552" i="3"/>
  <c r="G552" i="3"/>
  <c r="BB552" i="3"/>
  <c r="BC552" i="3"/>
  <c r="BD552" i="3"/>
  <c r="BE552" i="3"/>
  <c r="BF552" i="3"/>
  <c r="BG552" i="3"/>
  <c r="BH552" i="3"/>
  <c r="BI552" i="3"/>
  <c r="BJ552" i="3"/>
  <c r="BK552" i="3"/>
  <c r="BM552" i="3"/>
  <c r="BN552" i="3"/>
  <c r="BL552" i="3"/>
  <c r="BO552" i="3"/>
  <c r="BP552" i="3"/>
  <c r="BQ552" i="3"/>
  <c r="BR552" i="3"/>
  <c r="BS552" i="3"/>
  <c r="BT552" i="3"/>
  <c r="H553" i="3"/>
  <c r="AC553" i="3"/>
  <c r="G553" i="3"/>
  <c r="BB553" i="3"/>
  <c r="BC553" i="3"/>
  <c r="BD553" i="3"/>
  <c r="BE553" i="3"/>
  <c r="BA553" i="3"/>
  <c r="BF553" i="3"/>
  <c r="BG553" i="3"/>
  <c r="BH553" i="3"/>
  <c r="BI553" i="3"/>
  <c r="BJ553" i="3"/>
  <c r="BK553" i="3"/>
  <c r="BM553" i="3"/>
  <c r="BN553" i="3"/>
  <c r="BO553" i="3"/>
  <c r="BP553" i="3"/>
  <c r="BR553" i="3"/>
  <c r="BS553" i="3"/>
  <c r="BT553" i="3"/>
  <c r="H554" i="3"/>
  <c r="AC554" i="3"/>
  <c r="BB554" i="3"/>
  <c r="BA554" i="3"/>
  <c r="BC554" i="3"/>
  <c r="BD554" i="3"/>
  <c r="BE554" i="3"/>
  <c r="BF554" i="3"/>
  <c r="BG554" i="3"/>
  <c r="BH554" i="3"/>
  <c r="BI554" i="3"/>
  <c r="BJ554" i="3"/>
  <c r="BK554" i="3"/>
  <c r="BM554" i="3"/>
  <c r="BN554" i="3"/>
  <c r="BO554" i="3"/>
  <c r="BL554" i="3"/>
  <c r="BP554" i="3"/>
  <c r="BQ554" i="3"/>
  <c r="BR554" i="3"/>
  <c r="BS554" i="3"/>
  <c r="BT554" i="3"/>
  <c r="H555" i="3"/>
  <c r="AC555" i="3"/>
  <c r="BB555" i="3"/>
  <c r="BA555" i="3"/>
  <c r="BC555" i="3"/>
  <c r="BD555" i="3"/>
  <c r="BE555" i="3"/>
  <c r="BF555" i="3"/>
  <c r="BG555" i="3"/>
  <c r="BH555" i="3"/>
  <c r="BI555" i="3"/>
  <c r="BJ555" i="3"/>
  <c r="BK555" i="3"/>
  <c r="BM555" i="3"/>
  <c r="BN555" i="3"/>
  <c r="BO555" i="3"/>
  <c r="BL555" i="3"/>
  <c r="BP555" i="3"/>
  <c r="BR555" i="3"/>
  <c r="BS555" i="3"/>
  <c r="BT555" i="3"/>
  <c r="H556" i="3"/>
  <c r="AC556" i="3"/>
  <c r="G556" i="3"/>
  <c r="BB556" i="3"/>
  <c r="BA556" i="3"/>
  <c r="BC556" i="3"/>
  <c r="BD556" i="3"/>
  <c r="BE556" i="3"/>
  <c r="BF556" i="3"/>
  <c r="BG556" i="3"/>
  <c r="BH556" i="3"/>
  <c r="BI556" i="3"/>
  <c r="BJ556" i="3"/>
  <c r="BK556" i="3"/>
  <c r="BM556" i="3"/>
  <c r="BN556" i="3"/>
  <c r="BO556" i="3"/>
  <c r="BL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G558" i="3"/>
  <c r="AC558" i="3"/>
  <c r="BB558" i="3"/>
  <c r="BC558" i="3"/>
  <c r="BD558" i="3"/>
  <c r="BA558" i="3"/>
  <c r="BE558" i="3"/>
  <c r="BF558" i="3"/>
  <c r="BG558" i="3"/>
  <c r="BH558" i="3"/>
  <c r="BI558" i="3"/>
  <c r="BJ558" i="3"/>
  <c r="BK558" i="3"/>
  <c r="BM558" i="3"/>
  <c r="BN558" i="3"/>
  <c r="BO558" i="3"/>
  <c r="BP558" i="3"/>
  <c r="BQ558" i="3"/>
  <c r="BR558" i="3"/>
  <c r="BS558" i="3"/>
  <c r="BT558" i="3"/>
  <c r="H559" i="3"/>
  <c r="G559" i="3"/>
  <c r="AC559" i="3"/>
  <c r="BB559" i="3"/>
  <c r="BC559" i="3"/>
  <c r="BD559" i="3"/>
  <c r="BA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L560" i="3"/>
  <c r="BO560" i="3"/>
  <c r="BP560" i="3"/>
  <c r="BQ560" i="3"/>
  <c r="BR560" i="3"/>
  <c r="BS560" i="3"/>
  <c r="BT560" i="3"/>
  <c r="H561" i="3"/>
  <c r="AC561" i="3"/>
  <c r="BB561" i="3"/>
  <c r="BC561" i="3"/>
  <c r="BD561" i="3"/>
  <c r="BE561" i="3"/>
  <c r="BF561" i="3"/>
  <c r="BG561" i="3"/>
  <c r="BH561" i="3"/>
  <c r="BI561" i="3"/>
  <c r="BJ561" i="3"/>
  <c r="BK561" i="3"/>
  <c r="BM561" i="3"/>
  <c r="BN561" i="3"/>
  <c r="BL561" i="3"/>
  <c r="BO561" i="3"/>
  <c r="BP561" i="3"/>
  <c r="BR561" i="3"/>
  <c r="BS561" i="3"/>
  <c r="BT561" i="3"/>
  <c r="H562" i="3"/>
  <c r="AC562" i="3"/>
  <c r="BB562" i="3"/>
  <c r="BA562" i="3"/>
  <c r="BC562" i="3"/>
  <c r="BD562" i="3"/>
  <c r="BE562" i="3"/>
  <c r="BF562" i="3"/>
  <c r="BG562" i="3"/>
  <c r="BH562" i="3"/>
  <c r="BI562" i="3"/>
  <c r="BJ562" i="3"/>
  <c r="BK562" i="3"/>
  <c r="BM562" i="3"/>
  <c r="BN562" i="3"/>
  <c r="BO562" i="3"/>
  <c r="BL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AB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S515" i="31"/>
  <c r="S516" i="31"/>
  <c r="S517" i="31"/>
  <c r="S518" i="31"/>
  <c r="S519" i="31"/>
  <c r="S520" i="31"/>
  <c r="S521" i="31"/>
  <c r="S522" i="31"/>
  <c r="S523" i="31"/>
  <c r="S524" i="31"/>
  <c r="F41" i="21"/>
  <c r="J41" i="21"/>
  <c r="AC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F14" i="39"/>
  <c r="S14"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J38" i="37"/>
  <c r="AC3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F13" i="37"/>
  <c r="S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77" i="35"/>
  <c r="J25" i="35"/>
  <c r="B75" i="35"/>
  <c r="J24" i="35"/>
  <c r="AC24" i="35"/>
  <c r="B73" i="35"/>
  <c r="J23" i="35"/>
  <c r="AC23" i="35"/>
  <c r="H23" i="35"/>
  <c r="U23" i="35"/>
  <c r="B57" i="35"/>
  <c r="F11" i="35"/>
  <c r="S11" i="35"/>
  <c r="B61" i="35"/>
  <c r="B59"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H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A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J45" i="39"/>
  <c r="W45" i="39"/>
  <c r="J44" i="39"/>
  <c r="AC44" i="39"/>
  <c r="F36" i="39"/>
  <c r="S36" i="39"/>
  <c r="H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W22" i="35"/>
  <c r="F36" i="34"/>
  <c r="J35" i="34"/>
  <c r="H39" i="33"/>
  <c r="AB39" i="33"/>
  <c r="F26" i="33"/>
  <c r="AA26" i="33"/>
  <c r="U35" i="33"/>
  <c r="S40" i="33"/>
  <c r="W39" i="33"/>
  <c r="H39" i="37"/>
  <c r="AB39" i="37"/>
  <c r="S27" i="35"/>
  <c r="F11" i="40"/>
  <c r="AA11" i="40"/>
  <c r="H11" i="40"/>
  <c r="AB11" i="40"/>
  <c r="W8" i="40"/>
  <c r="AB39" i="40"/>
  <c r="U9" i="40"/>
  <c r="S34" i="40"/>
  <c r="U38" i="40"/>
  <c r="U34" i="40"/>
  <c r="F42" i="39"/>
  <c r="AA42" i="39"/>
  <c r="F41" i="39"/>
  <c r="S41" i="39"/>
  <c r="H40" i="39"/>
  <c r="AB40" i="39"/>
  <c r="H39" i="39"/>
  <c r="U39"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5"/>
  <c r="AB12" i="36"/>
  <c r="W32" i="40"/>
  <c r="F37" i="39"/>
  <c r="AA37" i="39"/>
  <c r="J34" i="36"/>
  <c r="W34" i="36"/>
  <c r="J30" i="35"/>
  <c r="W30" i="35"/>
  <c r="H30" i="35"/>
  <c r="AB30" i="35"/>
  <c r="F22" i="35"/>
  <c r="AA22" i="35"/>
  <c r="U10" i="35"/>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AC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F28" i="34"/>
  <c r="AA28" i="34"/>
  <c r="F25" i="34"/>
  <c r="S25" i="34"/>
  <c r="H23" i="34"/>
  <c r="U23" i="34"/>
  <c r="J23" i="34"/>
  <c r="F19" i="34"/>
  <c r="H17" i="34"/>
  <c r="W8" i="34"/>
  <c r="J28" i="34"/>
  <c r="F41" i="33"/>
  <c r="AA41" i="33"/>
  <c r="S38" i="33"/>
  <c r="F32" i="33"/>
  <c r="AA32" i="33"/>
  <c r="J19" i="33"/>
  <c r="AC19" i="33"/>
  <c r="F11" i="33"/>
  <c r="AA11" i="33"/>
  <c r="S26" i="33"/>
  <c r="U40" i="33"/>
  <c r="W40" i="33"/>
  <c r="F37" i="40"/>
  <c r="AA37" i="40"/>
  <c r="F36" i="40"/>
  <c r="AA36" i="40"/>
  <c r="H28" i="40"/>
  <c r="U28" i="40"/>
  <c r="F23" i="40"/>
  <c r="AA23" i="40"/>
  <c r="F17" i="40"/>
  <c r="AA17" i="40"/>
  <c r="J17" i="40"/>
  <c r="W17" i="40"/>
  <c r="F15" i="40"/>
  <c r="S15" i="40"/>
  <c r="H15" i="40"/>
  <c r="AB15" i="40"/>
  <c r="AC11" i="40"/>
  <c r="AA12" i="36"/>
  <c r="F29" i="35"/>
  <c r="S29" i="35"/>
  <c r="H29" i="35"/>
  <c r="AB29" i="35"/>
  <c r="H33" i="37"/>
  <c r="F33" i="37"/>
  <c r="AA33" i="37"/>
  <c r="U34" i="37"/>
  <c r="S34" i="37"/>
  <c r="AA34" i="37"/>
  <c r="J43" i="34"/>
  <c r="AB42" i="34"/>
  <c r="J40" i="34"/>
  <c r="H38" i="34"/>
  <c r="AB38" i="34"/>
  <c r="J36" i="34"/>
  <c r="W36" i="34"/>
  <c r="H25" i="34"/>
  <c r="AB25" i="34"/>
  <c r="J25" i="34"/>
  <c r="AC25" i="34"/>
  <c r="AB23" i="34"/>
  <c r="F23" i="34"/>
  <c r="AA23" i="34"/>
  <c r="J19" i="34"/>
  <c r="AC19" i="34"/>
  <c r="F17" i="34"/>
  <c r="AA17" i="34"/>
  <c r="J17" i="34"/>
  <c r="W17" i="34"/>
  <c r="S41"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I123" i="21"/>
  <c r="J123" i="21"/>
  <c r="K123" i="21"/>
  <c r="L123" i="21"/>
  <c r="M123" i="21"/>
  <c r="J42" i="21"/>
  <c r="AC42" i="21"/>
  <c r="H42" i="21"/>
  <c r="U42" i="21"/>
  <c r="S44" i="34"/>
  <c r="J14" i="21"/>
  <c r="W14" i="21"/>
  <c r="F14" i="21"/>
  <c r="S14" i="21"/>
  <c r="H14" i="21"/>
  <c r="U14" i="21"/>
  <c r="H28" i="21"/>
  <c r="AB28" i="21"/>
  <c r="H30" i="21"/>
  <c r="AB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J14" i="36"/>
  <c r="AC14" i="36"/>
  <c r="H14" i="36"/>
  <c r="U14" i="36"/>
  <c r="F28" i="36"/>
  <c r="AA28" i="36"/>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H14" i="34"/>
  <c r="H30" i="34"/>
  <c r="F30" i="34"/>
  <c r="S30" i="34"/>
  <c r="J30" i="34"/>
  <c r="H32" i="34"/>
  <c r="F32" i="34"/>
  <c r="J32" i="34"/>
  <c r="W32" i="34"/>
  <c r="H46" i="34"/>
  <c r="U46" i="34"/>
  <c r="F46" i="34"/>
  <c r="H11" i="35"/>
  <c r="AB11" i="35"/>
  <c r="J11" i="35"/>
  <c r="W11" i="35"/>
  <c r="AC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H14" i="33"/>
  <c r="U14" i="33"/>
  <c r="F14" i="33"/>
  <c r="S14" i="33"/>
  <c r="J14" i="33"/>
  <c r="H30" i="33"/>
  <c r="AB30" i="33"/>
  <c r="F30" i="33"/>
  <c r="J30" i="33"/>
  <c r="H44" i="33"/>
  <c r="U44" i="33"/>
  <c r="J44" i="33"/>
  <c r="AC44" i="33"/>
  <c r="F44" i="33"/>
  <c r="S44" i="33"/>
  <c r="J46" i="33"/>
  <c r="AC46" i="33"/>
  <c r="F46" i="33"/>
  <c r="AA46" i="33"/>
  <c r="H46" i="33"/>
  <c r="AB46" i="33"/>
  <c r="H13" i="34"/>
  <c r="U13" i="34"/>
  <c r="J13" i="34"/>
  <c r="W13" i="34"/>
  <c r="F13" i="34"/>
  <c r="AA13" i="34"/>
  <c r="J29" i="34"/>
  <c r="W29" i="34"/>
  <c r="F29" i="34"/>
  <c r="S29" i="34"/>
  <c r="H29" i="34"/>
  <c r="AB29" i="34"/>
  <c r="J31" i="34"/>
  <c r="W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28" i="37"/>
  <c r="AA28" i="37"/>
  <c r="J28" i="37"/>
  <c r="AC28" i="37"/>
  <c r="H28" i="37"/>
  <c r="H38" i="37"/>
  <c r="AB38" i="37"/>
  <c r="F38" i="37"/>
  <c r="S38" i="37"/>
  <c r="F43" i="39"/>
  <c r="AA43" i="39"/>
  <c r="H43" i="39"/>
  <c r="J14" i="39"/>
  <c r="AC14" i="39"/>
  <c r="F12" i="40"/>
  <c r="S12" i="40"/>
  <c r="H12" i="40"/>
  <c r="AB12" i="40"/>
  <c r="H30" i="40"/>
  <c r="AB30" i="40"/>
  <c r="F33" i="40"/>
  <c r="AA33" i="40"/>
  <c r="H33" i="40"/>
  <c r="U33" i="40"/>
  <c r="J35" i="40"/>
  <c r="AC35" i="40"/>
  <c r="J37" i="40"/>
  <c r="AC37" i="40"/>
  <c r="H13" i="40"/>
  <c r="U13" i="40"/>
  <c r="J13" i="40"/>
  <c r="W13" i="40"/>
  <c r="F13" i="40"/>
  <c r="AA13" i="40"/>
  <c r="F14" i="37"/>
  <c r="AA14" i="37"/>
  <c r="S14" i="37"/>
  <c r="F27" i="37"/>
  <c r="AA27" i="37"/>
  <c r="F13" i="39"/>
  <c r="J13" i="39"/>
  <c r="W13" i="39"/>
  <c r="H13" i="39"/>
  <c r="H14" i="40"/>
  <c r="AB14" i="40"/>
  <c r="J14" i="40"/>
  <c r="W14" i="40"/>
  <c r="F14" i="40"/>
  <c r="AA14" i="40"/>
  <c r="J14" i="37"/>
  <c r="J27" i="37"/>
  <c r="AC27" i="37"/>
  <c r="AA44" i="33"/>
  <c r="U46" i="33"/>
  <c r="AA14" i="33"/>
  <c r="J36" i="37"/>
  <c r="AC36" i="37"/>
  <c r="AB26" i="33"/>
  <c r="S11" i="36"/>
  <c r="AB46" i="34"/>
  <c r="S45" i="33"/>
  <c r="AB45" i="33"/>
  <c r="BA586" i="3"/>
  <c r="F17" i="21"/>
  <c r="AA17" i="21"/>
  <c r="H17" i="21"/>
  <c r="AB17" i="21"/>
  <c r="F15" i="21"/>
  <c r="S15" i="21"/>
  <c r="J41" i="39"/>
  <c r="W41" i="39"/>
  <c r="W44" i="39"/>
  <c r="S35" i="39"/>
  <c r="G544" i="3"/>
  <c r="G536" i="3"/>
  <c r="G532" i="3"/>
  <c r="G531" i="3"/>
  <c r="G528" i="3"/>
  <c r="G523" i="3"/>
  <c r="G514" i="3"/>
  <c r="G508" i="3"/>
  <c r="G500" i="3"/>
  <c r="G584" i="3"/>
  <c r="G580" i="3"/>
  <c r="G576" i="3"/>
  <c r="G572" i="3"/>
  <c r="G568" i="3"/>
  <c r="G564" i="3"/>
  <c r="G554" i="3"/>
  <c r="BL584" i="3"/>
  <c r="AZ584" i="3"/>
  <c r="BL580" i="3"/>
  <c r="BL576" i="3"/>
  <c r="BL572" i="3"/>
  <c r="BL568" i="3"/>
  <c r="BL538" i="3"/>
  <c r="BL516" i="3"/>
  <c r="BL494" i="3"/>
  <c r="BL582" i="3"/>
  <c r="BL578" i="3"/>
  <c r="BL574" i="3"/>
  <c r="BL570" i="3"/>
  <c r="BL540" i="3"/>
  <c r="G529" i="3"/>
  <c r="BL528" i="3"/>
  <c r="BL510" i="3"/>
  <c r="G493" i="3"/>
  <c r="BA584" i="3"/>
  <c r="BA582" i="3"/>
  <c r="AZ582" i="3"/>
  <c r="BA580" i="3"/>
  <c r="AZ580" i="3"/>
  <c r="BA578" i="3"/>
  <c r="BA576" i="3"/>
  <c r="BA574" i="3"/>
  <c r="BA572" i="3"/>
  <c r="BA570" i="3"/>
  <c r="BA566" i="3"/>
  <c r="BA552" i="3"/>
  <c r="BA542" i="3"/>
  <c r="BA536" i="3"/>
  <c r="BA520" i="3"/>
  <c r="BA504" i="3"/>
  <c r="BA496" i="3"/>
  <c r="BA583" i="3"/>
  <c r="BA581" i="3"/>
  <c r="BA579" i="3"/>
  <c r="BA577" i="3"/>
  <c r="BA575" i="3"/>
  <c r="AZ575" i="3"/>
  <c r="BA573" i="3"/>
  <c r="BA571" i="3"/>
  <c r="BA567" i="3"/>
  <c r="BA563" i="3"/>
  <c r="BA547" i="3"/>
  <c r="BA537" i="3"/>
  <c r="BA527" i="3"/>
  <c r="BA513" i="3"/>
  <c r="BA501" i="3"/>
  <c r="G583" i="3"/>
  <c r="G581" i="3"/>
  <c r="G579" i="3"/>
  <c r="G577" i="3"/>
  <c r="G575" i="3"/>
  <c r="G573" i="3"/>
  <c r="G571" i="3"/>
  <c r="G569" i="3"/>
  <c r="G567" i="3"/>
  <c r="G565" i="3"/>
  <c r="G563" i="3"/>
  <c r="G561" i="3"/>
  <c r="AC557" i="3"/>
  <c r="G557" i="3"/>
  <c r="BQ557" i="3"/>
  <c r="BQ583" i="3"/>
  <c r="BL583" i="3"/>
  <c r="BQ581" i="3"/>
  <c r="BL581" i="3"/>
  <c r="BQ579" i="3"/>
  <c r="BL579" i="3"/>
  <c r="BQ577" i="3"/>
  <c r="BL577" i="3"/>
  <c r="AZ577" i="3"/>
  <c r="BQ575" i="3"/>
  <c r="BL575" i="3"/>
  <c r="BQ573" i="3"/>
  <c r="BL573" i="3"/>
  <c r="BQ571" i="3"/>
  <c r="BL571" i="3"/>
  <c r="BQ569" i="3"/>
  <c r="BL569" i="3"/>
  <c r="BQ567" i="3"/>
  <c r="BL567" i="3"/>
  <c r="BQ565" i="3"/>
  <c r="BQ563" i="3"/>
  <c r="BL563" i="3"/>
  <c r="BQ561" i="3"/>
  <c r="BQ559" i="3"/>
  <c r="G555" i="3"/>
  <c r="G547" i="3"/>
  <c r="G545" i="3"/>
  <c r="G539" i="3"/>
  <c r="G537" i="3"/>
  <c r="BQ555" i="3"/>
  <c r="BQ553" i="3"/>
  <c r="BQ551" i="3"/>
  <c r="BQ549" i="3"/>
  <c r="BQ547" i="3"/>
  <c r="BL547" i="3"/>
  <c r="AZ547" i="3"/>
  <c r="BQ545" i="3"/>
  <c r="BQ543" i="3"/>
  <c r="BQ541" i="3"/>
  <c r="BQ539" i="3"/>
  <c r="BQ537" i="3"/>
  <c r="BQ535" i="3"/>
  <c r="BQ533" i="3"/>
  <c r="BQ531" i="3"/>
  <c r="BQ529" i="3"/>
  <c r="BQ527" i="3"/>
  <c r="BQ525" i="3"/>
  <c r="BQ523" i="3"/>
  <c r="AC521" i="3"/>
  <c r="G521" i="3"/>
  <c r="BQ521" i="3"/>
  <c r="G519" i="3"/>
  <c r="G517" i="3"/>
  <c r="G515" i="3"/>
  <c r="G511" i="3"/>
  <c r="BQ519" i="3"/>
  <c r="BQ517" i="3"/>
  <c r="BQ515" i="3"/>
  <c r="BL515" i="3"/>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G125" i="33"/>
  <c r="H17" i="37"/>
  <c r="U17" i="37"/>
  <c r="AB27" i="37"/>
  <c r="U32" i="33"/>
  <c r="AA36" i="39"/>
  <c r="F39" i="33"/>
  <c r="AA39" i="33"/>
  <c r="E123" i="33"/>
  <c r="F42" i="33"/>
  <c r="AA42" i="33"/>
  <c r="H28" i="34"/>
  <c r="AB28" i="34"/>
  <c r="F14" i="36"/>
  <c r="AA14" i="36"/>
  <c r="F22" i="36"/>
  <c r="S22" i="36"/>
  <c r="F26" i="36"/>
  <c r="S26" i="36"/>
  <c r="H35" i="34"/>
  <c r="U35" i="34"/>
  <c r="F41" i="34"/>
  <c r="H41" i="34"/>
  <c r="U41" i="34"/>
  <c r="J41" i="34"/>
  <c r="AC41" i="34"/>
  <c r="S10" i="35"/>
  <c r="F24" i="35"/>
  <c r="S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S28" i="31"/>
  <c r="S27" i="31"/>
  <c r="S26" i="31"/>
  <c r="U14" i="40"/>
  <c r="W23" i="35"/>
  <c r="U39" i="37"/>
  <c r="U26" i="37"/>
  <c r="W47" i="34"/>
  <c r="AC36" i="34"/>
  <c r="AA13" i="33"/>
  <c r="AC45" i="33"/>
  <c r="W44" i="33"/>
  <c r="U19" i="21"/>
  <c r="AB38" i="21"/>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S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G4" i="4"/>
  <c r="I4" i="4"/>
  <c r="A2" i="9"/>
  <c r="F61" i="43"/>
  <c r="H64" i="43"/>
  <c r="G546" i="3"/>
  <c r="G303" i="3"/>
  <c r="BL304" i="3"/>
  <c r="G305" i="3"/>
  <c r="BL306" i="3"/>
  <c r="BA308" i="3"/>
  <c r="AZ308" i="3"/>
  <c r="BA309" i="3"/>
  <c r="BL309" i="3"/>
  <c r="G310" i="3"/>
  <c r="BA311" i="3"/>
  <c r="G319" i="3"/>
  <c r="BL320" i="3"/>
  <c r="AZ320" i="3"/>
  <c r="G321" i="3"/>
  <c r="BL322" i="3"/>
  <c r="BA324" i="3"/>
  <c r="BA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BL160" i="3"/>
  <c r="AZ160" i="3"/>
  <c r="G161" i="3"/>
  <c r="BA163" i="3"/>
  <c r="AZ163" i="3"/>
  <c r="BL164" i="3"/>
  <c r="G165" i="3"/>
  <c r="BA167" i="3"/>
  <c r="BL168" i="3"/>
  <c r="AZ168" i="3"/>
  <c r="G169" i="3"/>
  <c r="BA171" i="3"/>
  <c r="AZ171" i="3"/>
  <c r="BL172" i="3"/>
  <c r="G173" i="3"/>
  <c r="BA175" i="3"/>
  <c r="AZ175" i="3"/>
  <c r="BL176" i="3"/>
  <c r="G177" i="3"/>
  <c r="BA179" i="3"/>
  <c r="AZ179" i="3"/>
  <c r="BL180" i="3"/>
  <c r="G181" i="3"/>
  <c r="BA183" i="3"/>
  <c r="BL184" i="3"/>
  <c r="G185" i="3"/>
  <c r="BA187" i="3"/>
  <c r="AZ187" i="3"/>
  <c r="BL188" i="3"/>
  <c r="AZ188" i="3"/>
  <c r="G189" i="3"/>
  <c r="BA191" i="3"/>
  <c r="BL192" i="3"/>
  <c r="AZ192" i="3"/>
  <c r="G193" i="3"/>
  <c r="BA195" i="3"/>
  <c r="AZ195" i="3"/>
  <c r="BL196" i="3"/>
  <c r="G197" i="3"/>
  <c r="BA199" i="3"/>
  <c r="AZ199" i="3"/>
  <c r="BL200" i="3"/>
  <c r="AZ200" i="3"/>
  <c r="G201" i="3"/>
  <c r="BA203" i="3"/>
  <c r="BL204" i="3"/>
  <c r="AZ79" i="3"/>
  <c r="AZ176" i="3"/>
  <c r="AZ120" i="3"/>
  <c r="G530" i="3"/>
  <c r="G522" i="3"/>
  <c r="G516" i="3"/>
  <c r="G506"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AZ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62"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G367" i="3"/>
  <c r="BA369" i="3"/>
  <c r="AZ369" i="3"/>
  <c r="BL370" i="3"/>
  <c r="G371" i="3"/>
  <c r="BA373" i="3"/>
  <c r="AZ373" i="3"/>
  <c r="BL374" i="3"/>
  <c r="G375" i="3"/>
  <c r="BA377" i="3"/>
  <c r="AZ377" i="3"/>
  <c r="AZ229" i="3"/>
  <c r="AZ233" i="3"/>
  <c r="AZ249" i="3"/>
  <c r="AZ269" i="3"/>
  <c r="BA379" i="3"/>
  <c r="AZ379" i="3"/>
  <c r="BL380" i="3"/>
  <c r="G381" i="3"/>
  <c r="BA383" i="3"/>
  <c r="AZ383" i="3"/>
  <c r="BL384" i="3"/>
  <c r="G385" i="3"/>
  <c r="BA387" i="3"/>
  <c r="AZ387" i="3"/>
  <c r="BL388" i="3"/>
  <c r="G389" i="3"/>
  <c r="BA391" i="3"/>
  <c r="BL392" i="3"/>
  <c r="AZ392" i="3"/>
  <c r="G393" i="3"/>
  <c r="AZ283" i="3"/>
  <c r="BO5" i="3"/>
  <c r="BJ5" i="3"/>
  <c r="BF5" i="3"/>
  <c r="AZ325" i="3"/>
  <c r="AC5" i="3"/>
  <c r="G538" i="3"/>
  <c r="G502" i="3"/>
  <c r="BP5" i="3"/>
  <c r="BK5" i="3"/>
  <c r="BG5" i="3"/>
  <c r="G17" i="3"/>
  <c r="BA17" i="3"/>
  <c r="BA15" i="3"/>
  <c r="AZ15" i="3"/>
  <c r="AZ380" i="3"/>
  <c r="G509" i="3"/>
  <c r="U36" i="40"/>
  <c r="F83" i="43"/>
  <c r="H85" i="43"/>
  <c r="F50" i="43"/>
  <c r="H54" i="43"/>
  <c r="F72" i="43"/>
  <c r="H75" i="43"/>
  <c r="U17" i="39"/>
  <c r="U43" i="21"/>
  <c r="U35" i="21"/>
  <c r="AC35" i="21"/>
  <c r="AZ563" i="3"/>
  <c r="W37" i="37"/>
  <c r="W44" i="34"/>
  <c r="U13" i="37"/>
  <c r="U12" i="40"/>
  <c r="AA12" i="40"/>
  <c r="J37" i="33"/>
  <c r="W37" i="33"/>
  <c r="F106" i="33"/>
  <c r="G106" i="33"/>
  <c r="H106" i="33"/>
  <c r="I106" i="33"/>
  <c r="J106" i="33"/>
  <c r="K106" i="33"/>
  <c r="L106" i="33"/>
  <c r="M106" i="33"/>
  <c r="J34" i="33"/>
  <c r="W34" i="33"/>
  <c r="F33" i="34"/>
  <c r="S33" i="34"/>
  <c r="W12" i="36"/>
  <c r="AC12" i="36"/>
  <c r="H20" i="36"/>
  <c r="U20" i="36"/>
  <c r="J20" i="36"/>
  <c r="W24" i="36"/>
  <c r="AC33" i="40"/>
  <c r="F111" i="40"/>
  <c r="G111" i="40"/>
  <c r="H111" i="40"/>
  <c r="I111" i="40"/>
  <c r="J111" i="40"/>
  <c r="K111" i="40"/>
  <c r="L111" i="40"/>
  <c r="M111" i="40"/>
  <c r="H35" i="40"/>
  <c r="AB35" i="40"/>
  <c r="W29" i="35"/>
  <c r="H35" i="37"/>
  <c r="U35" i="37"/>
  <c r="AC14" i="35"/>
  <c r="H20" i="35"/>
  <c r="U20" i="35"/>
  <c r="F20" i="35"/>
  <c r="AA20" i="35"/>
  <c r="AB23" i="35"/>
  <c r="AB29" i="36"/>
  <c r="U29" i="36"/>
  <c r="H32" i="37"/>
  <c r="F96" i="37"/>
  <c r="G96" i="37"/>
  <c r="H27" i="40"/>
  <c r="U27" i="40"/>
  <c r="J27" i="40"/>
  <c r="F27" i="40"/>
  <c r="S27" i="40"/>
  <c r="J30" i="40"/>
  <c r="AC30" i="40"/>
  <c r="F30" i="40"/>
  <c r="AC21" i="40"/>
  <c r="S31" i="39"/>
  <c r="S11" i="40"/>
  <c r="E98" i="40"/>
  <c r="F98" i="40"/>
  <c r="G98" i="40"/>
  <c r="H98" i="40"/>
  <c r="I98" i="40"/>
  <c r="J98" i="40"/>
  <c r="K98" i="40"/>
  <c r="L98" i="40"/>
  <c r="M98" i="40"/>
  <c r="S10" i="33"/>
  <c r="F34" i="33"/>
  <c r="S34" i="33"/>
  <c r="H34" i="33"/>
  <c r="U34" i="33"/>
  <c r="F35" i="33"/>
  <c r="S35" i="33"/>
  <c r="F39" i="34"/>
  <c r="AA39" i="34"/>
  <c r="J39" i="34"/>
  <c r="W39" i="34"/>
  <c r="F40" i="34"/>
  <c r="F43" i="34"/>
  <c r="AA43" i="34"/>
  <c r="U44" i="34"/>
  <c r="AC38" i="39"/>
  <c r="F39" i="39"/>
  <c r="J39" i="39"/>
  <c r="AC39" i="39"/>
  <c r="E96" i="39"/>
  <c r="F96" i="39"/>
  <c r="G96" i="39"/>
  <c r="C40" i="11"/>
  <c r="AZ227" i="3"/>
  <c r="AZ235" i="3"/>
  <c r="AZ251" i="3"/>
  <c r="AZ271" i="3"/>
  <c r="AZ280" i="3"/>
  <c r="AZ74" i="3"/>
  <c r="F23" i="39"/>
  <c r="AA23" i="39"/>
  <c r="H27" i="36"/>
  <c r="U27" i="36"/>
  <c r="H33" i="34"/>
  <c r="U33" i="34"/>
  <c r="F32" i="37"/>
  <c r="AA32" i="37"/>
  <c r="H96" i="37"/>
  <c r="I96" i="37"/>
  <c r="J96" i="37"/>
  <c r="K96" i="37"/>
  <c r="L96" i="37"/>
  <c r="M96" i="37"/>
  <c r="F20" i="36"/>
  <c r="AA20" i="36"/>
  <c r="J33" i="34"/>
  <c r="H23" i="39"/>
  <c r="U23" i="39"/>
  <c r="D48" i="9"/>
  <c r="M52" i="9"/>
  <c r="D93" i="9"/>
  <c r="AC26" i="33"/>
  <c r="W26" i="33"/>
  <c r="AC27" i="34"/>
  <c r="AB34" i="36"/>
  <c r="U34" i="36"/>
  <c r="AB33" i="36"/>
  <c r="U33" i="36"/>
  <c r="AC12" i="39"/>
  <c r="W12" i="39"/>
  <c r="AC39" i="40"/>
  <c r="W39" i="40"/>
  <c r="AZ412" i="3"/>
  <c r="AZ433" i="3"/>
  <c r="W12" i="33"/>
  <c r="AC12" i="33"/>
  <c r="S32" i="36"/>
  <c r="AZ437" i="3"/>
  <c r="BL14" i="3"/>
  <c r="U30" i="33"/>
  <c r="AC13" i="34"/>
  <c r="AA47" i="34"/>
  <c r="S19" i="39"/>
  <c r="F12" i="33"/>
  <c r="H12" i="39"/>
  <c r="AB12" i="39"/>
  <c r="F39" i="40"/>
  <c r="S39" i="40"/>
  <c r="AZ286" i="3"/>
  <c r="AZ189" i="3"/>
  <c r="B12" i="1"/>
  <c r="E12" i="1"/>
  <c r="B10" i="1"/>
  <c r="E10" i="1"/>
  <c r="K12" i="1"/>
  <c r="M12" i="1"/>
  <c r="S13" i="1"/>
  <c r="AR13" i="1"/>
  <c r="R13" i="1"/>
  <c r="J51" i="67"/>
  <c r="C42" i="1"/>
  <c r="AA34" i="33"/>
  <c r="B41" i="1"/>
  <c r="F30" i="11"/>
  <c r="C48" i="11"/>
  <c r="AB37" i="40"/>
  <c r="S35" i="40"/>
  <c r="U35" i="40"/>
  <c r="AC36" i="40"/>
  <c r="W38" i="40"/>
  <c r="AA32" i="40"/>
  <c r="S17" i="40"/>
  <c r="S23" i="40"/>
  <c r="AC17" i="40"/>
  <c r="AC15" i="40"/>
  <c r="AA19" i="40"/>
  <c r="S28"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c r="AB40" i="37"/>
  <c r="W27" i="37"/>
  <c r="AC29" i="37"/>
  <c r="U29" i="37"/>
  <c r="S32" i="37"/>
  <c r="AB31" i="37"/>
  <c r="W30" i="37"/>
  <c r="S36" i="37"/>
  <c r="AA38" i="37"/>
  <c r="W38" i="37"/>
  <c r="AC35" i="37"/>
  <c r="W39" i="37"/>
  <c r="S30" i="37"/>
  <c r="S37" i="37"/>
  <c r="J17" i="37"/>
  <c r="W17" i="37"/>
  <c r="G73" i="37"/>
  <c r="F17" i="37"/>
  <c r="AA17" i="37"/>
  <c r="AB17" i="37"/>
  <c r="F75" i="37"/>
  <c r="F19" i="37"/>
  <c r="S19" i="37"/>
  <c r="F79" i="37"/>
  <c r="F23" i="37"/>
  <c r="U23" i="37"/>
  <c r="U15" i="37"/>
  <c r="AA13" i="37"/>
  <c r="H10" i="37"/>
  <c r="AB10" i="37"/>
  <c r="F63" i="37"/>
  <c r="G63" i="37"/>
  <c r="H63" i="37"/>
  <c r="I63" i="37"/>
  <c r="F11" i="37"/>
  <c r="S11" i="37"/>
  <c r="W25" i="34"/>
  <c r="AB8" i="34"/>
  <c r="AA33" i="34"/>
  <c r="U43" i="34"/>
  <c r="AC39" i="34"/>
  <c r="W41" i="34"/>
  <c r="AC42" i="34"/>
  <c r="AB35" i="34"/>
  <c r="U39" i="34"/>
  <c r="S43" i="34"/>
  <c r="AB41" i="34"/>
  <c r="AA45" i="34"/>
  <c r="AA25" i="34"/>
  <c r="U28" i="34"/>
  <c r="AA29" i="34"/>
  <c r="S23" i="34"/>
  <c r="S13" i="34"/>
  <c r="F11" i="34"/>
  <c r="S11" i="34"/>
  <c r="F70" i="34"/>
  <c r="G70" i="34"/>
  <c r="H70" i="34"/>
  <c r="I70" i="34"/>
  <c r="J70" i="34"/>
  <c r="K70" i="34"/>
  <c r="L70" i="34"/>
  <c r="M70" i="34"/>
  <c r="W42" i="33"/>
  <c r="AA35"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U9" i="33"/>
  <c r="W10" i="33"/>
  <c r="U10" i="33"/>
  <c r="AB14" i="33"/>
  <c r="W43" i="21"/>
  <c r="W36" i="21"/>
  <c r="W41" i="21"/>
  <c r="AB39" i="21"/>
  <c r="AA43" i="21"/>
  <c r="S39" i="21"/>
  <c r="AA38" i="21"/>
  <c r="AA36" i="21"/>
  <c r="AC40" i="21"/>
  <c r="J15" i="21"/>
  <c r="F77" i="21"/>
  <c r="G77" i="21"/>
  <c r="F23" i="21"/>
  <c r="E85" i="21"/>
  <c r="AA14" i="21"/>
  <c r="D120" i="9"/>
  <c r="F34" i="67"/>
  <c r="F62" i="67"/>
  <c r="M20" i="67"/>
  <c r="F34" i="15"/>
  <c r="F62" i="15"/>
  <c r="BL17" i="3"/>
  <c r="AZ17" i="3"/>
  <c r="BL13" i="3"/>
  <c r="J56" i="9"/>
  <c r="J57" i="9"/>
  <c r="J59" i="9"/>
  <c r="J61" i="9"/>
  <c r="A24" i="51"/>
  <c r="B18" i="72"/>
  <c r="U29" i="34"/>
  <c r="E5" i="6"/>
  <c r="E32" i="6"/>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42" i="21"/>
  <c r="AC45" i="21"/>
  <c r="F10" i="21"/>
  <c r="AA10" i="2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AB41" i="33"/>
  <c r="W35" i="33"/>
  <c r="AC35" i="33"/>
  <c r="AC32" i="33"/>
  <c r="W32" i="33"/>
  <c r="U27" i="33"/>
  <c r="G91" i="33"/>
  <c r="H91" i="33"/>
  <c r="I91" i="33"/>
  <c r="J91" i="33"/>
  <c r="K91" i="33"/>
  <c r="L91" i="33"/>
  <c r="M91" i="33"/>
  <c r="J27" i="33"/>
  <c r="AC27" i="33"/>
  <c r="AB25" i="33"/>
  <c r="S25" i="33"/>
  <c r="AA25" i="33"/>
  <c r="G87" i="33"/>
  <c r="H87" i="33"/>
  <c r="I87" i="33"/>
  <c r="J87" i="33"/>
  <c r="K87" i="33"/>
  <c r="L87" i="33"/>
  <c r="M87" i="33"/>
  <c r="J25" i="33"/>
  <c r="AC25" i="33"/>
  <c r="F23" i="33"/>
  <c r="G85" i="33"/>
  <c r="H19" i="33"/>
  <c r="U19" i="33"/>
  <c r="G81" i="33"/>
  <c r="H17" i="33"/>
  <c r="U17" i="33"/>
  <c r="AB15" i="21"/>
  <c r="J23" i="21"/>
  <c r="F85" i="21"/>
  <c r="G85" i="21"/>
  <c r="H23" i="21"/>
  <c r="S13" i="21"/>
  <c r="AP7" i="1"/>
  <c r="AB45" i="21"/>
  <c r="AA32" i="21"/>
  <c r="S32" i="21"/>
  <c r="W9" i="21"/>
  <c r="AC9" i="21"/>
  <c r="AB32" i="21"/>
  <c r="U32" i="21"/>
  <c r="A18" i="62"/>
  <c r="B64" i="72"/>
  <c r="U32" i="39"/>
  <c r="W23" i="37"/>
  <c r="J63" i="37"/>
  <c r="K63" i="37"/>
  <c r="L63" i="37"/>
  <c r="M63" i="37"/>
  <c r="J11" i="37"/>
  <c r="AC11" i="37"/>
  <c r="J11" i="34"/>
  <c r="W11" i="34"/>
  <c r="W2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F20" i="31"/>
  <c r="M6" i="15"/>
  <c r="F6" i="73"/>
  <c r="E7" i="76"/>
  <c r="F8" i="15"/>
  <c r="M24" i="15"/>
  <c r="E13" i="76"/>
  <c r="E8" i="76"/>
  <c r="E11" i="76"/>
  <c r="F7" i="73"/>
  <c r="E9" i="76"/>
  <c r="B13" i="76"/>
  <c r="F3" i="73"/>
  <c r="E2" i="68"/>
  <c r="E12" i="76"/>
  <c r="B7" i="76"/>
  <c r="E10" i="76"/>
  <c r="F13" i="15"/>
  <c r="J15" i="15"/>
  <c r="D6" i="73"/>
  <c r="D34" i="9"/>
  <c r="B9" i="76"/>
  <c r="E2" i="69"/>
  <c r="F5" i="73"/>
  <c r="D35" i="9"/>
  <c r="AO13" i="1"/>
  <c r="B11" i="76"/>
  <c r="B10" i="76"/>
  <c r="B8" i="76"/>
  <c r="C18" i="9"/>
  <c r="D18" i="9"/>
  <c r="F78" i="34"/>
  <c r="G78" i="34"/>
  <c r="H15" i="34"/>
  <c r="AB15" i="34"/>
  <c r="J15" i="34"/>
  <c r="W15" i="34"/>
  <c r="K9" i="1"/>
  <c r="M9" i="1"/>
  <c r="BD5" i="3"/>
  <c r="U30" i="36"/>
  <c r="W14" i="36"/>
  <c r="S14" i="36"/>
  <c r="AB14" i="36"/>
  <c r="F27" i="36"/>
  <c r="AA27" i="36"/>
  <c r="J27" i="36"/>
  <c r="W27" i="36"/>
  <c r="U14" i="35"/>
  <c r="S14" i="35"/>
  <c r="H37" i="34"/>
  <c r="U37" i="34"/>
  <c r="S17" i="34"/>
  <c r="F15" i="34"/>
  <c r="AA15" i="34"/>
  <c r="AC15" i="34"/>
  <c r="U34" i="34"/>
  <c r="F36" i="33"/>
  <c r="J36" i="33"/>
  <c r="W36" i="33"/>
  <c r="H111" i="33"/>
  <c r="I111" i="33"/>
  <c r="J111" i="33"/>
  <c r="K111" i="33"/>
  <c r="L111" i="33"/>
  <c r="M111" i="33"/>
  <c r="H36" i="33"/>
  <c r="F17" i="33"/>
  <c r="S17" i="33"/>
  <c r="F79" i="33"/>
  <c r="G79" i="33"/>
  <c r="W17" i="33"/>
  <c r="AA17" i="33"/>
  <c r="S15" i="33"/>
  <c r="J15" i="33"/>
  <c r="AC15" i="33"/>
  <c r="U15" i="33"/>
  <c r="W15" i="33"/>
  <c r="BC5" i="3"/>
  <c r="D3" i="35"/>
  <c r="S31" i="35"/>
  <c r="U31" i="35"/>
  <c r="U33" i="33"/>
  <c r="W33" i="33"/>
  <c r="U11" i="33"/>
  <c r="S11" i="33"/>
  <c r="AC11" i="33"/>
  <c r="G1" i="84"/>
  <c r="G1" i="86"/>
  <c r="G1" i="85"/>
  <c r="U38" i="39"/>
  <c r="S38" i="39"/>
  <c r="U11" i="39"/>
  <c r="M18" i="15"/>
  <c r="M18" i="67"/>
  <c r="F48" i="9"/>
  <c r="O52" i="9"/>
  <c r="F28" i="86"/>
  <c r="C28" i="86"/>
  <c r="M18" i="86"/>
  <c r="F32" i="85"/>
  <c r="F32" i="86"/>
  <c r="F28" i="85"/>
  <c r="C28" i="85"/>
  <c r="M18" i="85"/>
  <c r="F28" i="84"/>
  <c r="F32" i="84"/>
  <c r="F60" i="84"/>
  <c r="M18" i="84"/>
  <c r="F32" i="15"/>
  <c r="F60" i="15"/>
  <c r="F52" i="9"/>
  <c r="F30" i="68"/>
  <c r="F48" i="68"/>
  <c r="F54" i="9"/>
  <c r="F30" i="69"/>
  <c r="F48" i="69"/>
  <c r="F31" i="12"/>
  <c r="D68" i="9"/>
  <c r="F28" i="15"/>
  <c r="F32" i="67"/>
  <c r="F60" i="67"/>
  <c r="F28" i="67"/>
  <c r="C28" i="67"/>
  <c r="C40" i="68"/>
  <c r="F34" i="68"/>
  <c r="C36" i="68"/>
  <c r="BA14" i="3"/>
  <c r="AZ14" i="3"/>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c r="D6" i="52"/>
  <c r="AA27" i="40"/>
  <c r="AC27" i="40"/>
  <c r="W27" i="40"/>
  <c r="AZ501" i="3"/>
  <c r="AZ520" i="3"/>
  <c r="AC31" i="33"/>
  <c r="H27" i="34"/>
  <c r="BL523" i="3"/>
  <c r="AZ523" i="3"/>
  <c r="AZ572" i="3"/>
  <c r="BL496" i="3"/>
  <c r="AZ496" i="3"/>
  <c r="H14" i="39"/>
  <c r="J13" i="37"/>
  <c r="J13" i="21"/>
  <c r="AA29" i="35"/>
  <c r="S9" i="40"/>
  <c r="AA9" i="40"/>
  <c r="S35" i="35"/>
  <c r="W37" i="40"/>
  <c r="AC15" i="37"/>
  <c r="AC34" i="33"/>
  <c r="W28" i="37"/>
  <c r="AC17" i="34"/>
  <c r="AC11" i="39"/>
  <c r="BE5" i="3"/>
  <c r="BN5" i="3"/>
  <c r="G29" i="6"/>
  <c r="E29" i="6"/>
  <c r="K15" i="1"/>
  <c r="AZ391" i="3"/>
  <c r="AZ318" i="3"/>
  <c r="AZ364" i="3"/>
  <c r="AZ329" i="3"/>
  <c r="AZ304" i="3"/>
  <c r="AZ306" i="3"/>
  <c r="W8" i="39"/>
  <c r="AA15" i="37"/>
  <c r="W16" i="35"/>
  <c r="AA24" i="35"/>
  <c r="S21" i="40"/>
  <c r="BL535" i="3"/>
  <c r="AZ535" i="3"/>
  <c r="BL565" i="3"/>
  <c r="AZ565" i="3"/>
  <c r="AZ571" i="3"/>
  <c r="AZ579" i="3"/>
  <c r="AZ574" i="3"/>
  <c r="S14" i="34"/>
  <c r="AA14" i="34"/>
  <c r="F28" i="21"/>
  <c r="W28" i="34"/>
  <c r="AC28" i="34"/>
  <c r="S35" i="34"/>
  <c r="AA35" i="34"/>
  <c r="J12" i="34"/>
  <c r="H12" i="34"/>
  <c r="F12" i="34"/>
  <c r="S12" i="34"/>
  <c r="AZ513" i="3"/>
  <c r="AZ537" i="3"/>
  <c r="AZ552" i="3"/>
  <c r="AZ566" i="3"/>
  <c r="AZ540" i="3"/>
  <c r="U17" i="34"/>
  <c r="AB17" i="34"/>
  <c r="AB36" i="39"/>
  <c r="U36" i="39"/>
  <c r="BL585" i="3"/>
  <c r="AZ585" i="3"/>
  <c r="U34" i="35"/>
  <c r="AA44" i="39"/>
  <c r="S44" i="39"/>
  <c r="AC31" i="40"/>
  <c r="W31" i="40"/>
  <c r="AB41" i="21"/>
  <c r="U41" i="21"/>
  <c r="BL564" i="3"/>
  <c r="AZ564" i="3"/>
  <c r="BA561" i="3"/>
  <c r="AZ561" i="3"/>
  <c r="BA560" i="3"/>
  <c r="AZ560" i="3"/>
  <c r="BL558" i="3"/>
  <c r="AZ558" i="3"/>
  <c r="BA549" i="3"/>
  <c r="AZ549" i="3"/>
  <c r="BL544" i="3"/>
  <c r="AZ544" i="3"/>
  <c r="BL542" i="3"/>
  <c r="AZ542" i="3"/>
  <c r="BA541" i="3"/>
  <c r="AZ541" i="3"/>
  <c r="BA538" i="3"/>
  <c r="AZ538" i="3"/>
  <c r="BL537" i="3"/>
  <c r="BA534" i="3"/>
  <c r="AZ534" i="3"/>
  <c r="BA533" i="3"/>
  <c r="AZ533" i="3"/>
  <c r="BL532" i="3"/>
  <c r="AZ532" i="3"/>
  <c r="BA530" i="3"/>
  <c r="AZ530" i="3"/>
  <c r="BL526" i="3"/>
  <c r="AZ526" i="3"/>
  <c r="BA525" i="3"/>
  <c r="AZ525" i="3"/>
  <c r="BL524" i="3"/>
  <c r="AZ524" i="3"/>
  <c r="BA522" i="3"/>
  <c r="AZ522" i="3"/>
  <c r="BL521" i="3"/>
  <c r="AZ521" i="3"/>
  <c r="BA521" i="3"/>
  <c r="BA515" i="3"/>
  <c r="AZ515" i="3"/>
  <c r="BA514" i="3"/>
  <c r="AZ514" i="3"/>
  <c r="BL506" i="3"/>
  <c r="AZ506" i="3"/>
  <c r="BA505" i="3"/>
  <c r="AZ505" i="3"/>
  <c r="BL504" i="3"/>
  <c r="AZ504" i="3"/>
  <c r="BL499" i="3"/>
  <c r="AZ499" i="3"/>
  <c r="BA497" i="3"/>
  <c r="AZ497" i="3"/>
  <c r="AA15" i="21"/>
  <c r="AB45" i="34"/>
  <c r="S27" i="33"/>
  <c r="F9" i="35"/>
  <c r="S9" i="35"/>
  <c r="AZ388" i="3"/>
  <c r="AZ345" i="3"/>
  <c r="AZ372" i="3"/>
  <c r="AZ347" i="3"/>
  <c r="AZ337" i="3"/>
  <c r="AZ376" i="3"/>
  <c r="AZ324" i="3"/>
  <c r="AZ309" i="3"/>
  <c r="AA11" i="39"/>
  <c r="H5" i="3"/>
  <c r="AC12" i="37"/>
  <c r="W44" i="21"/>
  <c r="BL503" i="3"/>
  <c r="AZ503" i="3"/>
  <c r="BL511" i="3"/>
  <c r="AZ511" i="3"/>
  <c r="BL527" i="3"/>
  <c r="AZ527" i="3"/>
  <c r="BL539" i="3"/>
  <c r="AZ539" i="3"/>
  <c r="BL543" i="3"/>
  <c r="AZ543" i="3"/>
  <c r="BL553" i="3"/>
  <c r="AZ553" i="3"/>
  <c r="BL557" i="3"/>
  <c r="AZ557" i="3"/>
  <c r="AZ570" i="3"/>
  <c r="AC28" i="21"/>
  <c r="AC9" i="34"/>
  <c r="W9" i="34"/>
  <c r="S38" i="40"/>
  <c r="AA38" i="40"/>
  <c r="BA569" i="3"/>
  <c r="AZ569" i="3"/>
  <c r="BA568" i="3"/>
  <c r="AZ568" i="3"/>
  <c r="BL566" i="3"/>
  <c r="G585" i="3"/>
  <c r="BL587" i="3"/>
  <c r="AZ587" i="3"/>
  <c r="BL586" i="3"/>
  <c r="AZ586" i="3"/>
  <c r="F12" i="35"/>
  <c r="J12" i="35"/>
  <c r="AZ400" i="3"/>
  <c r="BL519" i="3"/>
  <c r="AZ519" i="3"/>
  <c r="BL531" i="3"/>
  <c r="AZ531" i="3"/>
  <c r="BL559" i="3"/>
  <c r="AZ559" i="3"/>
  <c r="AZ573" i="3"/>
  <c r="AZ583" i="3"/>
  <c r="AZ576" i="3"/>
  <c r="G587" i="3"/>
  <c r="H25" i="37"/>
  <c r="F25" i="37"/>
  <c r="G574" i="3"/>
  <c r="AZ458" i="3"/>
  <c r="AZ462" i="3"/>
  <c r="AZ402" i="3"/>
  <c r="AZ406" i="3"/>
  <c r="B75" i="43"/>
  <c r="J9" i="36"/>
  <c r="H24" i="36"/>
  <c r="G570" i="3"/>
  <c r="G551" i="3"/>
  <c r="BL550" i="3"/>
  <c r="G542" i="3"/>
  <c r="BA551" i="3"/>
  <c r="AZ551" i="3"/>
  <c r="BA550" i="3"/>
  <c r="BL548" i="3"/>
  <c r="AZ548" i="3"/>
  <c r="G398" i="3"/>
  <c r="BL400" i="3"/>
  <c r="BL408" i="3"/>
  <c r="BL411" i="3"/>
  <c r="BL413" i="3"/>
  <c r="AZ413" i="3"/>
  <c r="G415" i="3"/>
  <c r="BL417" i="3"/>
  <c r="BL418" i="3"/>
  <c r="AZ418" i="3"/>
  <c r="BL420" i="3"/>
  <c r="G422" i="3"/>
  <c r="G423" i="3"/>
  <c r="BL424" i="3"/>
  <c r="G426"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G484" i="3"/>
  <c r="BA488" i="3"/>
  <c r="AZ488" i="3"/>
  <c r="BA491" i="3"/>
  <c r="AZ491" i="3"/>
  <c r="BL324" i="3"/>
  <c r="BL328" i="3"/>
  <c r="AZ328" i="3"/>
  <c r="BA335" i="3"/>
  <c r="AZ335" i="3"/>
  <c r="BA339" i="3"/>
  <c r="AZ339" i="3"/>
  <c r="G343" i="3"/>
  <c r="G347" i="3"/>
  <c r="BA348" i="3"/>
  <c r="BA350" i="3"/>
  <c r="AZ350" i="3"/>
  <c r="BA354" i="3"/>
  <c r="BA366" i="3"/>
  <c r="AZ366" i="3"/>
  <c r="BL375" i="3"/>
  <c r="AZ375" i="3"/>
  <c r="BL225" i="3"/>
  <c r="BL226" i="3"/>
  <c r="BA239" i="3"/>
  <c r="BL239" i="3"/>
  <c r="BA241" i="3"/>
  <c r="AZ241" i="3"/>
  <c r="BL241" i="3"/>
  <c r="BA244" i="3"/>
  <c r="AZ244" i="3"/>
  <c r="BL398" i="3"/>
  <c r="BL403" i="3"/>
  <c r="G405" i="3"/>
  <c r="BA408" i="3"/>
  <c r="AZ408" i="3"/>
  <c r="BA409" i="3"/>
  <c r="AZ409" i="3"/>
  <c r="BA411" i="3"/>
  <c r="BL414" i="3"/>
  <c r="BL415" i="3"/>
  <c r="AZ415" i="3"/>
  <c r="BA417" i="3"/>
  <c r="AZ417" i="3"/>
  <c r="BL421" i="3"/>
  <c r="BL422" i="3"/>
  <c r="BL425" i="3"/>
  <c r="BL426" i="3"/>
  <c r="BA428" i="3"/>
  <c r="AZ428" i="3"/>
  <c r="BA429" i="3"/>
  <c r="AZ429" i="3"/>
  <c r="BA430" i="3"/>
  <c r="AZ430" i="3"/>
  <c r="BA432" i="3"/>
  <c r="BA434" i="3"/>
  <c r="BA436" i="3"/>
  <c r="BA438" i="3"/>
  <c r="G442" i="3"/>
  <c r="BA446" i="3"/>
  <c r="BA450" i="3"/>
  <c r="BA453" i="3"/>
  <c r="AZ453" i="3"/>
  <c r="BA455" i="3"/>
  <c r="AZ455" i="3"/>
  <c r="BL457" i="3"/>
  <c r="AZ457" i="3"/>
  <c r="BL460" i="3"/>
  <c r="AZ460" i="3"/>
  <c r="BL461" i="3"/>
  <c r="AZ461" i="3"/>
  <c r="BL463" i="3"/>
  <c r="G465" i="3"/>
  <c r="BA471" i="3"/>
  <c r="AZ471" i="3"/>
  <c r="G486" i="3"/>
  <c r="G488" i="3"/>
  <c r="BL317" i="3"/>
  <c r="G318" i="3"/>
  <c r="BA349" i="3"/>
  <c r="AZ349" i="3"/>
  <c r="BA353" i="3"/>
  <c r="AZ353" i="3"/>
  <c r="BL353" i="3"/>
  <c r="BA358" i="3"/>
  <c r="AZ358" i="3"/>
  <c r="G362" i="3"/>
  <c r="BL365" i="3"/>
  <c r="AZ365" i="3"/>
  <c r="G366" i="3"/>
  <c r="BA368" i="3"/>
  <c r="BL368" i="3"/>
  <c r="BA374" i="3"/>
  <c r="AZ374" i="3"/>
  <c r="BA388" i="3"/>
  <c r="BA396" i="3"/>
  <c r="BA209" i="3"/>
  <c r="BL217" i="3"/>
  <c r="AZ217" i="3"/>
  <c r="BA219" i="3"/>
  <c r="AZ219" i="3"/>
  <c r="BA221" i="3"/>
  <c r="BA223" i="3"/>
  <c r="AZ223" i="3"/>
  <c r="BL228" i="3"/>
  <c r="AZ228" i="3"/>
  <c r="BA230" i="3"/>
  <c r="AZ230" i="3"/>
  <c r="BL232" i="3"/>
  <c r="BL234" i="3"/>
  <c r="BA236" i="3"/>
  <c r="BA238" i="3"/>
  <c r="AZ238" i="3"/>
  <c r="BA243" i="3"/>
  <c r="AZ243" i="3"/>
  <c r="G249" i="3"/>
  <c r="G253" i="3"/>
  <c r="AZ398" i="3"/>
  <c r="AZ414" i="3"/>
  <c r="AZ421" i="3"/>
  <c r="AZ425" i="3"/>
  <c r="AZ435" i="3"/>
  <c r="AZ451" i="3"/>
  <c r="AZ454" i="3"/>
  <c r="AZ459" i="3"/>
  <c r="AZ469" i="3"/>
  <c r="AZ483"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16" i="3"/>
  <c r="AZ16" i="3"/>
  <c r="BA401" i="3"/>
  <c r="AZ401" i="3"/>
  <c r="BA403" i="3"/>
  <c r="AZ403" i="3"/>
  <c r="BA404" i="3"/>
  <c r="AZ404" i="3"/>
  <c r="BA405" i="3"/>
  <c r="AZ405" i="3"/>
  <c r="G409" i="3"/>
  <c r="BL410" i="3"/>
  <c r="G412" i="3"/>
  <c r="G418" i="3"/>
  <c r="G419" i="3"/>
  <c r="BA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G491" i="3"/>
  <c r="BA303" i="3"/>
  <c r="AZ303" i="3"/>
  <c r="BA307" i="3"/>
  <c r="AZ307" i="3"/>
  <c r="G311" i="3"/>
  <c r="BL314" i="3"/>
  <c r="AZ314" i="3"/>
  <c r="G315" i="3"/>
  <c r="BA332" i="3"/>
  <c r="BL332" i="3"/>
  <c r="G339" i="3"/>
  <c r="G364" i="3"/>
  <c r="BA367" i="3"/>
  <c r="AZ367" i="3"/>
  <c r="BA370" i="3"/>
  <c r="AZ370" i="3"/>
  <c r="BA386" i="3"/>
  <c r="AZ386" i="3"/>
  <c r="G397" i="3"/>
  <c r="G210" i="3"/>
  <c r="BA218" i="3"/>
  <c r="AZ218" i="3"/>
  <c r="BL218" i="3"/>
  <c r="BL220" i="3"/>
  <c r="BA247" i="3"/>
  <c r="BL247" i="3"/>
  <c r="BL255" i="3"/>
  <c r="G257" i="3"/>
  <c r="BL257" i="3"/>
  <c r="AZ257" i="3"/>
  <c r="BL258" i="3"/>
  <c r="G259" i="3"/>
  <c r="BA262" i="3"/>
  <c r="AZ262" i="3"/>
  <c r="BL265" i="3"/>
  <c r="AZ265" i="3"/>
  <c r="BA273" i="3"/>
  <c r="AZ273" i="3"/>
  <c r="BA278" i="3"/>
  <c r="AZ278" i="3"/>
  <c r="G288" i="3"/>
  <c r="BL292" i="3"/>
  <c r="BA114" i="3"/>
  <c r="G159" i="3"/>
  <c r="BL167" i="3"/>
  <c r="AZ167" i="3"/>
  <c r="G175" i="3"/>
  <c r="G176" i="3"/>
  <c r="BL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BL47" i="3"/>
  <c r="AZ47" i="3"/>
  <c r="G49" i="3"/>
  <c r="G50" i="3"/>
  <c r="BA50" i="3"/>
  <c r="BA55" i="3"/>
  <c r="AZ55" i="3"/>
  <c r="BA56" i="3"/>
  <c r="BA57" i="3"/>
  <c r="BL58" i="3"/>
  <c r="BA60" i="3"/>
  <c r="BA71" i="3"/>
  <c r="BA88" i="3"/>
  <c r="AZ88" i="3"/>
  <c r="G102"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AZ125" i="3"/>
  <c r="BL126" i="3"/>
  <c r="BA144" i="3"/>
  <c r="AZ144" i="3"/>
  <c r="BA153" i="3"/>
  <c r="BL155" i="3"/>
  <c r="AZ155" i="3"/>
  <c r="BA164" i="3"/>
  <c r="AZ164" i="3"/>
  <c r="BA166" i="3"/>
  <c r="AZ166" i="3"/>
  <c r="BA178" i="3"/>
  <c r="AZ178" i="3"/>
  <c r="BA184" i="3"/>
  <c r="AZ184" i="3"/>
  <c r="AZ64" i="3"/>
  <c r="AZ65" i="3"/>
  <c r="BA92" i="3"/>
  <c r="BL96" i="3"/>
  <c r="BL100" i="3"/>
  <c r="C47" i="71"/>
  <c r="D47" i="71"/>
  <c r="D46" i="71"/>
  <c r="BL244" i="3"/>
  <c r="BA246" i="3"/>
  <c r="BA252" i="3"/>
  <c r="AZ252" i="3"/>
  <c r="BA254" i="3"/>
  <c r="AZ254" i="3"/>
  <c r="BA256" i="3"/>
  <c r="BL256" i="3"/>
  <c r="BA258" i="3"/>
  <c r="BA268" i="3"/>
  <c r="BL273" i="3"/>
  <c r="G274" i="3"/>
  <c r="BA277" i="3"/>
  <c r="AZ277" i="3"/>
  <c r="BL277" i="3"/>
  <c r="BA282" i="3"/>
  <c r="BL282" i="3"/>
  <c r="BA284" i="3"/>
  <c r="AZ284" i="3"/>
  <c r="BL290" i="3"/>
  <c r="BL291" i="3"/>
  <c r="AZ291" i="3"/>
  <c r="BL293" i="3"/>
  <c r="BL294" i="3"/>
  <c r="AZ294" i="3"/>
  <c r="BA297" i="3"/>
  <c r="AZ297" i="3"/>
  <c r="BL297" i="3"/>
  <c r="BL300" i="3"/>
  <c r="BA302" i="3"/>
  <c r="AZ302" i="3"/>
  <c r="G115" i="3"/>
  <c r="BA117" i="3"/>
  <c r="BA130" i="3"/>
  <c r="BL130" i="3"/>
  <c r="BA137" i="3"/>
  <c r="AZ137" i="3"/>
  <c r="BL138" i="3"/>
  <c r="BA140" i="3"/>
  <c r="AZ140" i="3"/>
  <c r="BA142" i="3"/>
  <c r="BL149" i="3"/>
  <c r="AZ149" i="3"/>
  <c r="BL150" i="3"/>
  <c r="AZ150" i="3"/>
  <c r="G151" i="3"/>
  <c r="BA152" i="3"/>
  <c r="AZ152" i="3"/>
  <c r="BA154" i="3"/>
  <c r="AZ154" i="3"/>
  <c r="BL170" i="3"/>
  <c r="BA173" i="3"/>
  <c r="AZ173" i="3"/>
  <c r="BA174" i="3"/>
  <c r="BA181" i="3"/>
  <c r="AZ181" i="3"/>
  <c r="BA182" i="3"/>
  <c r="BL193" i="3"/>
  <c r="BL194" i="3"/>
  <c r="AZ194" i="3"/>
  <c r="BA198" i="3"/>
  <c r="AZ198" i="3"/>
  <c r="G199" i="3"/>
  <c r="G205" i="3"/>
  <c r="BL206" i="3"/>
  <c r="BA19" i="3"/>
  <c r="AZ19" i="3"/>
  <c r="G27" i="3"/>
  <c r="BA27" i="3"/>
  <c r="AZ27" i="3"/>
  <c r="BL30" i="3"/>
  <c r="BL31" i="3"/>
  <c r="AZ31" i="3"/>
  <c r="G37" i="3"/>
  <c r="BL40" i="3"/>
  <c r="BL41" i="3"/>
  <c r="AZ41" i="3"/>
  <c r="BL45" i="3"/>
  <c r="BA48" i="3"/>
  <c r="BA49" i="3"/>
  <c r="BL50" i="3"/>
  <c r="BL51" i="3"/>
  <c r="AZ51" i="3"/>
  <c r="D31" i="71"/>
  <c r="C32" i="71"/>
  <c r="C52" i="71"/>
  <c r="D51" i="71"/>
  <c r="C55" i="71"/>
  <c r="D54" i="71"/>
  <c r="C60" i="71"/>
  <c r="D59" i="71"/>
  <c r="N67" i="71"/>
  <c r="B66" i="71"/>
  <c r="F66" i="71"/>
  <c r="Q67" i="71"/>
  <c r="BL248" i="3"/>
  <c r="AZ248" i="3"/>
  <c r="G250" i="3"/>
  <c r="BL250" i="3"/>
  <c r="AZ250" i="3"/>
  <c r="G252" i="3"/>
  <c r="G254" i="3"/>
  <c r="BA259" i="3"/>
  <c r="AZ259" i="3"/>
  <c r="BL261" i="3"/>
  <c r="BA263" i="3"/>
  <c r="AZ263" i="3"/>
  <c r="BA267" i="3"/>
  <c r="AZ267" i="3"/>
  <c r="BA276" i="3"/>
  <c r="BA279" i="3"/>
  <c r="BA281" i="3"/>
  <c r="BA296" i="3"/>
  <c r="BA116" i="3"/>
  <c r="AZ116" i="3"/>
  <c r="BA121" i="3"/>
  <c r="AZ121" i="3"/>
  <c r="BL121" i="3"/>
  <c r="BA124" i="3"/>
  <c r="AZ124" i="3"/>
  <c r="BA126" i="3"/>
  <c r="AZ126" i="3"/>
  <c r="BA129" i="3"/>
  <c r="BL133" i="3"/>
  <c r="AZ133" i="3"/>
  <c r="BL139" i="3"/>
  <c r="AZ139" i="3"/>
  <c r="G140" i="3"/>
  <c r="BL141" i="3"/>
  <c r="BL143" i="3"/>
  <c r="AZ143" i="3"/>
  <c r="G146" i="3"/>
  <c r="G147" i="3"/>
  <c r="G154" i="3"/>
  <c r="G156" i="3"/>
  <c r="BL157" i="3"/>
  <c r="AZ157" i="3"/>
  <c r="BL159" i="3"/>
  <c r="AZ159" i="3"/>
  <c r="BL177" i="3"/>
  <c r="AZ177" i="3"/>
  <c r="BL183" i="3"/>
  <c r="AZ183" i="3"/>
  <c r="BA186" i="3"/>
  <c r="AZ186" i="3"/>
  <c r="BA190" i="3"/>
  <c r="AZ190" i="3"/>
  <c r="BA197" i="3"/>
  <c r="AZ197" i="3"/>
  <c r="BL201" i="3"/>
  <c r="AZ201" i="3"/>
  <c r="BL203" i="3"/>
  <c r="AZ203" i="3"/>
  <c r="BA204" i="3"/>
  <c r="AZ204" i="3"/>
  <c r="BA18" i="3"/>
  <c r="BL21" i="3"/>
  <c r="G23" i="3"/>
  <c r="BL29" i="3"/>
  <c r="G33" i="3"/>
  <c r="G34" i="3"/>
  <c r="BA37" i="3"/>
  <c r="BL39" i="3"/>
  <c r="G43" i="3"/>
  <c r="G44" i="3"/>
  <c r="BA45" i="3"/>
  <c r="AZ45" i="3"/>
  <c r="BA46" i="3"/>
  <c r="BL49" i="3"/>
  <c r="BL54" i="3"/>
  <c r="BA63" i="3"/>
  <c r="BL68" i="3"/>
  <c r="BA69" i="3"/>
  <c r="AZ69" i="3"/>
  <c r="BA77" i="3"/>
  <c r="AZ77" i="3"/>
  <c r="P65" i="71"/>
  <c r="P66" i="71"/>
  <c r="G81" i="3"/>
  <c r="G85" i="3"/>
  <c r="BL85" i="3"/>
  <c r="BA86" i="3"/>
  <c r="AZ86" i="3"/>
  <c r="BA87" i="3"/>
  <c r="BA91" i="3"/>
  <c r="AZ91" i="3"/>
  <c r="G96" i="3"/>
  <c r="BL97" i="3"/>
  <c r="AZ97" i="3"/>
  <c r="BL101" i="3"/>
  <c r="AZ101" i="3"/>
  <c r="BL102" i="3"/>
  <c r="G104" i="3"/>
  <c r="G105" i="3"/>
  <c r="BL106" i="3"/>
  <c r="BA108" i="3"/>
  <c r="BA110" i="3"/>
  <c r="AZ110" i="3"/>
  <c r="F3" i="35"/>
  <c r="S21" i="33"/>
  <c r="S21" i="37"/>
  <c r="W29" i="39"/>
  <c r="S25" i="40"/>
  <c r="B77" i="43"/>
  <c r="AA18" i="35"/>
  <c r="O67" i="71"/>
  <c r="AA28" i="71"/>
  <c r="C87" i="71"/>
  <c r="E79" i="71"/>
  <c r="E78" i="71"/>
  <c r="E75" i="71"/>
  <c r="E74" i="71"/>
  <c r="AB25" i="71"/>
  <c r="C43" i="71"/>
  <c r="Y25" i="71"/>
  <c r="Z25" i="71"/>
  <c r="X38" i="71"/>
  <c r="C35" i="71"/>
  <c r="N68" i="71"/>
  <c r="E38" i="71"/>
  <c r="E39" i="71"/>
  <c r="E40" i="71"/>
  <c r="U40" i="71"/>
  <c r="B34" i="71"/>
  <c r="B35" i="71"/>
  <c r="B36" i="71"/>
  <c r="S36" i="71"/>
  <c r="X33" i="71"/>
  <c r="AB37" i="71"/>
  <c r="G54" i="3"/>
  <c r="G55" i="3"/>
  <c r="BL56" i="3"/>
  <c r="BA58" i="3"/>
  <c r="BL59" i="3"/>
  <c r="AZ59" i="3"/>
  <c r="BL60" i="3"/>
  <c r="BA61" i="3"/>
  <c r="AZ61" i="3"/>
  <c r="BA68" i="3"/>
  <c r="BA73" i="3"/>
  <c r="BA80" i="3"/>
  <c r="G84" i="3"/>
  <c r="BL84" i="3"/>
  <c r="AZ84" i="3"/>
  <c r="BA89" i="3"/>
  <c r="G99" i="3"/>
  <c r="BA103" i="3"/>
  <c r="AZ103" i="3"/>
  <c r="BA104" i="3"/>
  <c r="BA106" i="3"/>
  <c r="BL108" i="3"/>
  <c r="G110" i="3"/>
  <c r="BL111" i="3"/>
  <c r="C5" i="68"/>
  <c r="C21" i="68"/>
  <c r="C66" i="71"/>
  <c r="AA27" i="71"/>
  <c r="AB26" i="71"/>
  <c r="S28" i="71"/>
  <c r="C83" i="71"/>
  <c r="C79" i="71"/>
  <c r="C71" i="71"/>
  <c r="C39" i="71"/>
  <c r="Y28" i="71"/>
  <c r="Z28" i="71"/>
  <c r="C28" i="71"/>
  <c r="Y37" i="71"/>
  <c r="Z37" i="71"/>
  <c r="X35" i="71"/>
  <c r="Y30" i="71"/>
  <c r="Z30" i="71"/>
  <c r="X28" i="71"/>
  <c r="X32" i="71"/>
  <c r="F40" i="71"/>
  <c r="V40" i="71"/>
  <c r="AB38" i="71"/>
  <c r="AA39" i="71"/>
  <c r="F75" i="71"/>
  <c r="F74" i="71"/>
  <c r="E23" i="71"/>
  <c r="E22" i="71"/>
  <c r="E21" i="71"/>
  <c r="E20" i="71"/>
  <c r="G52" i="3"/>
  <c r="BA52" i="3"/>
  <c r="AZ52" i="3"/>
  <c r="BA53" i="3"/>
  <c r="AZ53" i="3"/>
  <c r="BA54" i="3"/>
  <c r="BL57" i="3"/>
  <c r="G59" i="3"/>
  <c r="G62" i="3"/>
  <c r="BL62" i="3"/>
  <c r="AZ62" i="3"/>
  <c r="BL63" i="3"/>
  <c r="G65" i="3"/>
  <c r="BL65" i="3"/>
  <c r="BL66" i="3"/>
  <c r="AZ66" i="3"/>
  <c r="BL67" i="3"/>
  <c r="AZ67" i="3"/>
  <c r="G69" i="3"/>
  <c r="G70" i="3"/>
  <c r="BL70" i="3"/>
  <c r="AZ70" i="3"/>
  <c r="BL71" i="3"/>
  <c r="BL72" i="3"/>
  <c r="AZ72" i="3"/>
  <c r="G74" i="3"/>
  <c r="G75" i="3"/>
  <c r="BL75" i="3"/>
  <c r="AZ75" i="3"/>
  <c r="BL81" i="3"/>
  <c r="BA82" i="3"/>
  <c r="AZ82" i="3"/>
  <c r="BL83" i="3"/>
  <c r="G88" i="3"/>
  <c r="BA90" i="3"/>
  <c r="BL94" i="3"/>
  <c r="AZ94" i="3"/>
  <c r="BA100" i="3"/>
  <c r="AZ100" i="3"/>
  <c r="BA102" i="3"/>
  <c r="AZ102" i="3"/>
  <c r="BL105" i="3"/>
  <c r="AZ105" i="3"/>
  <c r="BL107" i="3"/>
  <c r="BA111" i="3"/>
  <c r="AZ111" i="3"/>
  <c r="K13" i="1"/>
  <c r="M13" i="1"/>
  <c r="O13" i="1"/>
  <c r="P13" i="1"/>
  <c r="S18" i="36"/>
  <c r="AB28" i="71"/>
  <c r="AB33" i="71"/>
  <c r="AA30" i="71"/>
  <c r="E35" i="71"/>
  <c r="E36" i="71"/>
  <c r="U36" i="71"/>
  <c r="AB31" i="71"/>
  <c r="AA36" i="71"/>
  <c r="B47" i="71"/>
  <c r="B48" i="71"/>
  <c r="S48" i="71"/>
  <c r="F9" i="1"/>
  <c r="G9" i="1"/>
  <c r="F10" i="1"/>
  <c r="G10" i="1"/>
  <c r="F8" i="1"/>
  <c r="G8" i="1"/>
  <c r="H69" i="43"/>
  <c r="S23" i="33"/>
  <c r="AA23" i="33"/>
  <c r="C20" i="71"/>
  <c r="E19" i="71"/>
  <c r="E18" i="71"/>
  <c r="E17" i="71"/>
  <c r="E16" i="71"/>
  <c r="V20" i="71"/>
  <c r="AB17" i="33"/>
  <c r="S29" i="21"/>
  <c r="S39" i="34"/>
  <c r="AZ382" i="3"/>
  <c r="AZ321" i="3"/>
  <c r="AZ343" i="3"/>
  <c r="AZ517" i="3"/>
  <c r="AZ562" i="3"/>
  <c r="AZ578" i="3"/>
  <c r="AC13" i="36"/>
  <c r="W13" i="36"/>
  <c r="AB31" i="33"/>
  <c r="U31" i="33"/>
  <c r="AB33" i="35"/>
  <c r="U33" i="35"/>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E28" i="6"/>
  <c r="K14" i="1"/>
  <c r="AB35" i="35"/>
  <c r="U35" i="35"/>
  <c r="S13" i="35"/>
  <c r="AA13" i="35"/>
  <c r="AB31" i="34"/>
  <c r="U31" i="34"/>
  <c r="S12" i="21"/>
  <c r="AA12" i="21"/>
  <c r="S12" i="35"/>
  <c r="AA12" i="35"/>
  <c r="AC45" i="39"/>
  <c r="AA12" i="34"/>
  <c r="S34" i="21"/>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AZ95" i="3"/>
  <c r="BL98" i="3"/>
  <c r="AZ98" i="3"/>
  <c r="BL109" i="3"/>
  <c r="AZ109" i="3"/>
  <c r="AB21" i="21"/>
  <c r="AZ78"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W31" i="36"/>
  <c r="W33" i="36"/>
  <c r="AC34" i="36"/>
  <c r="AA31" i="36"/>
  <c r="S28" i="36"/>
  <c r="S30" i="36"/>
  <c r="S29" i="36"/>
  <c r="W8" i="36"/>
  <c r="AB8" i="36"/>
  <c r="W11" i="36"/>
  <c r="S8" i="36"/>
  <c r="AB11" i="36"/>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J26" i="43"/>
  <c r="G30" i="6"/>
  <c r="G31" i="6"/>
  <c r="L19" i="6"/>
  <c r="L27" i="6"/>
  <c r="M6" i="1"/>
  <c r="O6" i="1"/>
  <c r="T13" i="1"/>
  <c r="C58" i="21"/>
  <c r="D58" i="21"/>
  <c r="C58" i="33"/>
  <c r="C59" i="34"/>
  <c r="D59" i="34"/>
  <c r="E59" i="34"/>
  <c r="F59" i="34"/>
  <c r="G59" i="34"/>
  <c r="H59" i="34"/>
  <c r="I59" i="34"/>
  <c r="J59" i="34"/>
  <c r="K59" i="34"/>
  <c r="L59" i="34"/>
  <c r="M59" i="34"/>
  <c r="N59" i="34"/>
  <c r="O59" i="34"/>
  <c r="C28" i="15"/>
  <c r="W10" i="36"/>
  <c r="U10" i="36"/>
  <c r="S10" i="36"/>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B20" i="31"/>
  <c r="B21" i="31"/>
  <c r="F51" i="15"/>
  <c r="B13" i="70"/>
  <c r="D9" i="68"/>
  <c r="D4" i="73"/>
  <c r="M23" i="86"/>
  <c r="F9" i="15"/>
  <c r="M26" i="84"/>
  <c r="J15" i="85"/>
  <c r="M26" i="86"/>
  <c r="M26" i="67"/>
  <c r="M24" i="85"/>
  <c r="F42" i="15"/>
  <c r="M28" i="86"/>
  <c r="M27" i="85"/>
  <c r="M28" i="84"/>
  <c r="M29" i="84"/>
  <c r="M29" i="86"/>
  <c r="F26" i="15"/>
  <c r="F7" i="15"/>
  <c r="F6" i="15"/>
  <c r="C76" i="86"/>
  <c r="M27" i="86"/>
  <c r="M8" i="15"/>
  <c r="M24" i="67"/>
  <c r="D3" i="73"/>
  <c r="M29" i="15"/>
  <c r="D9" i="69"/>
  <c r="L47" i="84"/>
  <c r="M23" i="15"/>
  <c r="L47" i="86"/>
  <c r="M23" i="85"/>
  <c r="M28" i="67"/>
  <c r="M22" i="15"/>
  <c r="M27" i="84"/>
  <c r="F36" i="15"/>
  <c r="M26" i="15"/>
  <c r="M22" i="84"/>
  <c r="M29" i="85"/>
  <c r="L47" i="85"/>
  <c r="M23" i="67"/>
  <c r="M26" i="85"/>
  <c r="M29" i="67"/>
  <c r="J15" i="84"/>
  <c r="M9" i="15"/>
  <c r="M24" i="86"/>
  <c r="F43" i="15"/>
  <c r="F37" i="15"/>
  <c r="F38" i="15"/>
  <c r="J15" i="86"/>
  <c r="L47" i="15"/>
  <c r="C76" i="84"/>
  <c r="M22" i="85"/>
  <c r="F16" i="15"/>
  <c r="F40" i="15"/>
  <c r="M23" i="84"/>
  <c r="J15" i="67"/>
  <c r="C76" i="15"/>
  <c r="L47" i="67"/>
  <c r="C76" i="85"/>
  <c r="L48" i="15"/>
  <c r="M22" i="67"/>
  <c r="M28" i="15"/>
  <c r="M28" i="85"/>
  <c r="C76" i="67"/>
  <c r="M24" i="84"/>
  <c r="M22" i="86"/>
  <c r="S15" i="34"/>
  <c r="U15" i="34"/>
  <c r="J19" i="85"/>
  <c r="F50" i="85"/>
  <c r="Q71" i="85"/>
  <c r="F51" i="85"/>
  <c r="F68" i="85"/>
  <c r="N59" i="85"/>
  <c r="L58" i="85"/>
  <c r="L59" i="85"/>
  <c r="M59" i="85"/>
  <c r="F71" i="85"/>
  <c r="F64" i="85"/>
  <c r="Q50" i="85"/>
  <c r="L56" i="85"/>
  <c r="I54" i="85"/>
  <c r="F66" i="85"/>
  <c r="F65" i="85"/>
  <c r="Q71" i="86"/>
  <c r="F50" i="86"/>
  <c r="J19" i="86"/>
  <c r="F51" i="86"/>
  <c r="F68" i="86"/>
  <c r="L59" i="86"/>
  <c r="N59" i="86"/>
  <c r="L58" i="86"/>
  <c r="M59" i="86"/>
  <c r="F65" i="86"/>
  <c r="F71" i="86"/>
  <c r="F64" i="86"/>
  <c r="L56" i="86"/>
  <c r="Q50" i="86"/>
  <c r="I54" i="86"/>
  <c r="F66" i="86"/>
  <c r="L59" i="84"/>
  <c r="Q61" i="84"/>
  <c r="N59" i="84"/>
  <c r="M59" i="84"/>
  <c r="L58" i="84"/>
  <c r="Q73" i="84"/>
  <c r="F51" i="84"/>
  <c r="F66" i="84"/>
  <c r="F64" i="84"/>
  <c r="F68" i="84"/>
  <c r="F65" i="84"/>
  <c r="Q71" i="84"/>
  <c r="F71" i="84"/>
  <c r="J19" i="84"/>
  <c r="F50" i="84"/>
  <c r="Q50" i="84"/>
  <c r="L56" i="84"/>
  <c r="I54" i="84"/>
  <c r="J18" i="86"/>
  <c r="F60" i="85"/>
  <c r="F60" i="86"/>
  <c r="P6" i="1"/>
  <c r="C13" i="12"/>
  <c r="J18" i="67"/>
  <c r="F50" i="67"/>
  <c r="F68" i="67"/>
  <c r="Q71" i="67"/>
  <c r="F64" i="67"/>
  <c r="Q16" i="1"/>
  <c r="H16" i="1"/>
  <c r="N370" i="46"/>
  <c r="F26" i="43"/>
  <c r="G26" i="43"/>
  <c r="E26" i="43"/>
  <c r="H26" i="43"/>
  <c r="N94" i="46"/>
  <c r="K16" i="1"/>
  <c r="F30" i="6"/>
  <c r="E59" i="40"/>
  <c r="F71" i="67"/>
  <c r="F65" i="67"/>
  <c r="M7" i="15"/>
  <c r="J6" i="15"/>
  <c r="J18" i="15"/>
  <c r="F50" i="15"/>
  <c r="F59" i="15"/>
  <c r="Q71" i="15"/>
  <c r="C27" i="15"/>
  <c r="L58" i="67"/>
  <c r="Q60" i="67"/>
  <c r="L59" i="67"/>
  <c r="Q61" i="67"/>
  <c r="M59" i="67"/>
  <c r="N59" i="67"/>
  <c r="F66" i="15"/>
  <c r="F71" i="15"/>
  <c r="C6" i="15"/>
  <c r="C32" i="15"/>
  <c r="F31" i="15"/>
  <c r="J57" i="15"/>
  <c r="J55" i="15"/>
  <c r="J58" i="15"/>
  <c r="Q50" i="15"/>
  <c r="J53" i="15"/>
  <c r="L56" i="15"/>
  <c r="I54" i="15"/>
  <c r="F65" i="15"/>
  <c r="F66" i="67"/>
  <c r="F51" i="67"/>
  <c r="F59" i="67"/>
  <c r="F31" i="67"/>
  <c r="L59" i="15"/>
  <c r="Q74" i="15"/>
  <c r="N59" i="15"/>
  <c r="L58" i="15"/>
  <c r="Q73" i="15"/>
  <c r="M59" i="15"/>
  <c r="F68" i="15"/>
  <c r="L56" i="67"/>
  <c r="I54" i="67"/>
  <c r="Q50" i="67"/>
  <c r="F64" i="15"/>
  <c r="C40" i="71"/>
  <c r="D39" i="71"/>
  <c r="AZ63" i="3"/>
  <c r="C56" i="71"/>
  <c r="D55" i="71"/>
  <c r="AZ49" i="3"/>
  <c r="AZ130" i="3"/>
  <c r="AZ57" i="3"/>
  <c r="AZ247" i="3"/>
  <c r="AZ332" i="3"/>
  <c r="AZ368" i="3"/>
  <c r="AZ239" i="3"/>
  <c r="AC9" i="36"/>
  <c r="W9" i="36"/>
  <c r="W12" i="35"/>
  <c r="AC12" i="35"/>
  <c r="W12" i="34"/>
  <c r="AC12" i="34"/>
  <c r="AC13" i="21"/>
  <c r="W13" i="21"/>
  <c r="C70" i="71"/>
  <c r="D70" i="71"/>
  <c r="D71" i="71"/>
  <c r="AZ108" i="3"/>
  <c r="AZ182" i="3"/>
  <c r="AZ282" i="3"/>
  <c r="AZ256" i="3"/>
  <c r="AZ118" i="3"/>
  <c r="AZ71" i="3"/>
  <c r="AZ422" i="3"/>
  <c r="AZ411" i="3"/>
  <c r="AZ550" i="3"/>
  <c r="AA25" i="37"/>
  <c r="S25" i="37"/>
  <c r="S28" i="21"/>
  <c r="AA28" i="21"/>
  <c r="W13" i="37"/>
  <c r="AC13" i="37"/>
  <c r="T28" i="71"/>
  <c r="D28" i="71"/>
  <c r="U28" i="71"/>
  <c r="C27" i="71"/>
  <c r="D79" i="71"/>
  <c r="C78" i="71"/>
  <c r="D78" i="71"/>
  <c r="AZ58" i="3"/>
  <c r="C44" i="71"/>
  <c r="D43" i="71"/>
  <c r="C86" i="71"/>
  <c r="D86" i="71"/>
  <c r="D87" i="71"/>
  <c r="D60" i="71"/>
  <c r="T60" i="71"/>
  <c r="T52" i="71"/>
  <c r="D52" i="71"/>
  <c r="AZ29" i="3"/>
  <c r="AZ432" i="3"/>
  <c r="U25" i="37"/>
  <c r="AB25" i="37"/>
  <c r="AB14" i="39"/>
  <c r="U14" i="39"/>
  <c r="G5" i="3"/>
  <c r="B3" i="3"/>
  <c r="E212" i="3"/>
  <c r="D83" i="71"/>
  <c r="C82" i="71"/>
  <c r="D82" i="71"/>
  <c r="O65" i="71"/>
  <c r="D66" i="71"/>
  <c r="O66" i="71"/>
  <c r="C36" i="71"/>
  <c r="D35" i="71"/>
  <c r="N65" i="71"/>
  <c r="N66" i="71"/>
  <c r="T32" i="71"/>
  <c r="D32" i="71"/>
  <c r="AZ50" i="3"/>
  <c r="AZ39" i="3"/>
  <c r="AB24" i="36"/>
  <c r="U24" i="36"/>
  <c r="AB12" i="34"/>
  <c r="U12" i="34"/>
  <c r="AB27" i="34"/>
  <c r="U27" i="34"/>
  <c r="G16" i="1"/>
  <c r="F10" i="39"/>
  <c r="AA10" i="39"/>
  <c r="J7" i="37"/>
  <c r="K1" i="73"/>
  <c r="AA26" i="37"/>
  <c r="S26" i="37"/>
  <c r="BA5" i="3"/>
  <c r="E27" i="6"/>
  <c r="K26" i="6"/>
  <c r="M26" i="6"/>
  <c r="I26" i="6"/>
  <c r="S26" i="6"/>
  <c r="C19" i="71"/>
  <c r="T20" i="71"/>
  <c r="D20" i="71"/>
  <c r="U20" i="71"/>
  <c r="AZ5" i="3"/>
  <c r="W40" i="40"/>
  <c r="AC40" i="40"/>
  <c r="AC12" i="21"/>
  <c r="W12" i="21"/>
  <c r="AB12" i="21"/>
  <c r="U12" i="21"/>
  <c r="AA27" i="34"/>
  <c r="S27" i="34"/>
  <c r="AC26" i="37"/>
  <c r="W26" i="37"/>
  <c r="BL5" i="3"/>
  <c r="B15" i="71"/>
  <c r="B14" i="71"/>
  <c r="B13" i="71"/>
  <c r="B12" i="71"/>
  <c r="S16" i="71"/>
  <c r="F7" i="36"/>
  <c r="AA7" i="36"/>
  <c r="H7" i="36"/>
  <c r="U7" i="36"/>
  <c r="AA9" i="36"/>
  <c r="S9" i="36"/>
  <c r="S34" i="35"/>
  <c r="E15" i="71"/>
  <c r="E14" i="71"/>
  <c r="E13" i="71"/>
  <c r="E12" i="71"/>
  <c r="V16" i="71"/>
  <c r="S40" i="40"/>
  <c r="AA40" i="40"/>
  <c r="W34" i="35"/>
  <c r="E61" i="43"/>
  <c r="B59" i="43"/>
  <c r="C28" i="43"/>
  <c r="B116" i="43"/>
  <c r="Z7" i="43"/>
  <c r="E30" i="6"/>
  <c r="E56" i="39"/>
  <c r="H7" i="34"/>
  <c r="AB7"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AC7" i="37"/>
  <c r="W7" i="37"/>
  <c r="F7" i="33"/>
  <c r="E58" i="21"/>
  <c r="AC7" i="36"/>
  <c r="I36" i="36"/>
  <c r="W7" i="36"/>
  <c r="F7" i="37"/>
  <c r="M17" i="67"/>
  <c r="P28" i="43"/>
  <c r="B66" i="40"/>
  <c r="P25" i="43"/>
  <c r="P29" i="43"/>
  <c r="P27" i="43"/>
  <c r="B70" i="39"/>
  <c r="F11" i="15"/>
  <c r="M11" i="15"/>
  <c r="J10" i="15"/>
  <c r="AE11" i="1"/>
  <c r="F27" i="68"/>
  <c r="AE12" i="1"/>
  <c r="AE10" i="1"/>
  <c r="C36" i="69"/>
  <c r="F27" i="69"/>
  <c r="C16" i="15"/>
  <c r="AB7" i="36"/>
  <c r="G36" i="36"/>
  <c r="G40" i="36"/>
  <c r="H40" i="36"/>
  <c r="S7" i="36"/>
  <c r="Q60" i="84"/>
  <c r="Q52" i="84"/>
  <c r="J24" i="84"/>
  <c r="J24" i="85"/>
  <c r="J18" i="84"/>
  <c r="C49" i="84"/>
  <c r="C61" i="84"/>
  <c r="C49" i="86"/>
  <c r="C61" i="86"/>
  <c r="C49" i="85"/>
  <c r="C61" i="85"/>
  <c r="Q60" i="86"/>
  <c r="Q73" i="86"/>
  <c r="Q61" i="85"/>
  <c r="Q74" i="85"/>
  <c r="J18" i="85"/>
  <c r="Q52" i="86"/>
  <c r="Q60" i="85"/>
  <c r="Q73" i="85"/>
  <c r="Q74" i="84"/>
  <c r="Q74" i="86"/>
  <c r="Q61" i="86"/>
  <c r="Q52" i="85"/>
  <c r="F45" i="69"/>
  <c r="C29" i="69"/>
  <c r="D27" i="69"/>
  <c r="C53" i="86"/>
  <c r="C53" i="85"/>
  <c r="C47" i="69"/>
  <c r="D45" i="69"/>
  <c r="F27" i="11"/>
  <c r="C29" i="11"/>
  <c r="D27" i="11"/>
  <c r="D26" i="43"/>
  <c r="C25" i="43"/>
  <c r="E445" i="3"/>
  <c r="E301" i="3"/>
  <c r="E296" i="3"/>
  <c r="E505" i="3"/>
  <c r="E118" i="3"/>
  <c r="E570" i="3"/>
  <c r="E337" i="3"/>
  <c r="E131" i="3"/>
  <c r="AY6" i="3"/>
  <c r="AY152" i="3"/>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c r="S10" i="39"/>
  <c r="H10" i="40"/>
  <c r="AB10" i="40"/>
  <c r="J10" i="40"/>
  <c r="AC10" i="40"/>
  <c r="J10" i="39"/>
  <c r="W10" i="39"/>
  <c r="F10" i="40"/>
  <c r="S10" i="40"/>
  <c r="C53" i="84"/>
  <c r="Q60" i="15"/>
  <c r="M17" i="15"/>
  <c r="J5" i="15"/>
  <c r="J24" i="15"/>
  <c r="J24" i="67"/>
  <c r="C49" i="15"/>
  <c r="Q61" i="15"/>
  <c r="Q52" i="67"/>
  <c r="Q73" i="67"/>
  <c r="Q74" i="67"/>
  <c r="Q52" i="15"/>
  <c r="F1" i="15"/>
  <c r="C49" i="67"/>
  <c r="E36" i="36"/>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c r="D27" i="71"/>
  <c r="T40" i="71"/>
  <c r="D40" i="71"/>
  <c r="D56" i="71"/>
  <c r="T56" i="71"/>
  <c r="V42" i="37"/>
  <c r="I42" i="37"/>
  <c r="B11" i="71"/>
  <c r="B10" i="71"/>
  <c r="B9" i="71"/>
  <c r="B8" i="71"/>
  <c r="B7" i="71"/>
  <c r="B6" i="71"/>
  <c r="B5" i="71"/>
  <c r="S12" i="71"/>
  <c r="E65" i="39"/>
  <c r="E11" i="71"/>
  <c r="E10" i="71"/>
  <c r="E9" i="71"/>
  <c r="E8" i="71"/>
  <c r="E7" i="71"/>
  <c r="E6" i="71"/>
  <c r="E5" i="71"/>
  <c r="V12" i="71"/>
  <c r="C18" i="71"/>
  <c r="D19" i="71"/>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F45" i="68"/>
  <c r="C47" i="68"/>
  <c r="D45" i="68"/>
  <c r="C29" i="68"/>
  <c r="D27" i="68"/>
  <c r="K25" i="6"/>
  <c r="K20" i="6"/>
  <c r="K23" i="6"/>
  <c r="K22" i="6"/>
  <c r="E31" i="6"/>
  <c r="K24" i="6"/>
  <c r="K19" i="6"/>
  <c r="S6" i="1"/>
  <c r="O14" i="1"/>
  <c r="O16" i="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c r="C38" i="43"/>
  <c r="U7" i="37"/>
  <c r="G67" i="39"/>
  <c r="F69" i="39"/>
  <c r="F58" i="21"/>
  <c r="F63" i="40"/>
  <c r="E65" i="40"/>
  <c r="W7" i="33"/>
  <c r="AC7" i="33"/>
  <c r="I48" i="33"/>
  <c r="AA7" i="37"/>
  <c r="R42" i="37"/>
  <c r="S7" i="37"/>
  <c r="I40" i="36"/>
  <c r="J40" i="36"/>
  <c r="S7" i="33"/>
  <c r="AA7" i="33"/>
  <c r="G53" i="34"/>
  <c r="H53" i="34"/>
  <c r="G46" i="37"/>
  <c r="H46" i="37"/>
  <c r="G47" i="37"/>
  <c r="H47" i="37"/>
  <c r="I46" i="37"/>
  <c r="J46" i="37"/>
  <c r="G48" i="35"/>
  <c r="U7" i="33"/>
  <c r="AB7" i="33"/>
  <c r="G48" i="33"/>
  <c r="C53" i="67"/>
  <c r="C53" i="15"/>
  <c r="C10" i="15"/>
  <c r="C5" i="15"/>
  <c r="C38" i="15"/>
  <c r="F41" i="15"/>
  <c r="M27" i="15"/>
  <c r="M27" i="67"/>
  <c r="F69" i="84"/>
  <c r="F69" i="67"/>
  <c r="G41" i="36"/>
  <c r="H41"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c r="B1" i="74"/>
  <c r="L18" i="89"/>
  <c r="M18" i="89"/>
  <c r="B118" i="89"/>
  <c r="M18" i="91"/>
  <c r="B118" i="91"/>
  <c r="L18" i="91"/>
  <c r="M18" i="88"/>
  <c r="B118" i="88"/>
  <c r="L18" i="88"/>
  <c r="I53" i="34"/>
  <c r="J53" i="34"/>
  <c r="C48" i="84"/>
  <c r="C60" i="84"/>
  <c r="J24" i="86"/>
  <c r="C48" i="85"/>
  <c r="C60" i="85"/>
  <c r="C48" i="86"/>
  <c r="C66" i="86"/>
  <c r="E8" i="70"/>
  <c r="AB10" i="39"/>
  <c r="C47" i="11"/>
  <c r="D45" i="1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c r="B43" i="72"/>
  <c r="D3" i="33"/>
  <c r="D3" i="34"/>
  <c r="E6" i="6"/>
  <c r="D10" i="11"/>
  <c r="C10" i="11"/>
  <c r="L18" i="9"/>
  <c r="D14" i="12"/>
  <c r="D17" i="12"/>
  <c r="C17" i="12"/>
  <c r="D3" i="37"/>
  <c r="D19" i="11"/>
  <c r="C19" i="11"/>
  <c r="C20" i="11"/>
  <c r="C28" i="11"/>
  <c r="C27" i="11"/>
  <c r="W10" i="40"/>
  <c r="H6" i="3"/>
  <c r="AC6" i="3"/>
  <c r="AA10" i="40"/>
  <c r="U10" i="40"/>
  <c r="L36" i="43"/>
  <c r="L37" i="43"/>
  <c r="Q37" i="43"/>
  <c r="F25" i="12"/>
  <c r="C26" i="12"/>
  <c r="D25" i="12"/>
  <c r="C48" i="15"/>
  <c r="C66" i="15"/>
  <c r="C48" i="67"/>
  <c r="C66" i="67"/>
  <c r="D116" i="43"/>
  <c r="F22" i="68"/>
  <c r="F41" i="68"/>
  <c r="F22" i="11"/>
  <c r="C23" i="11"/>
  <c r="F24" i="15"/>
  <c r="C24" i="15"/>
  <c r="F22" i="69"/>
  <c r="F41" i="69"/>
  <c r="E49" i="34"/>
  <c r="I54" i="34"/>
  <c r="J54" i="34"/>
  <c r="C17" i="71"/>
  <c r="D18" i="71"/>
  <c r="M21" i="6"/>
  <c r="I21" i="6"/>
  <c r="S21" i="6"/>
  <c r="E6" i="70"/>
  <c r="C34" i="43"/>
  <c r="E34" i="43"/>
  <c r="F69"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P14" i="1"/>
  <c r="P16" i="1"/>
  <c r="C11" i="12"/>
  <c r="N16" i="1"/>
  <c r="L16" i="1"/>
  <c r="G42" i="43"/>
  <c r="I42" i="43"/>
  <c r="H67" i="39"/>
  <c r="G69" i="39"/>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C17" i="15"/>
  <c r="C34" i="69"/>
  <c r="D14" i="6"/>
  <c r="D15" i="6"/>
  <c r="D5" i="6"/>
  <c r="F69" i="86"/>
  <c r="C66" i="84"/>
  <c r="F69" i="85"/>
  <c r="C49" i="34"/>
  <c r="E61" i="40"/>
  <c r="D19" i="6"/>
  <c r="M19" i="9"/>
  <c r="C118" i="9"/>
  <c r="B2" i="74"/>
  <c r="D28" i="6"/>
  <c r="D29" i="6"/>
  <c r="D30" i="6"/>
  <c r="D20" i="6"/>
  <c r="D12" i="6"/>
  <c r="D9" i="6"/>
  <c r="D21" i="6"/>
  <c r="M19" i="91"/>
  <c r="C118" i="91"/>
  <c r="L19" i="89"/>
  <c r="M19" i="89"/>
  <c r="C118" i="89"/>
  <c r="L19" i="91"/>
  <c r="M19" i="88"/>
  <c r="C118" i="88"/>
  <c r="L19" i="88"/>
  <c r="E53" i="34"/>
  <c r="F53" i="34"/>
  <c r="C60" i="86"/>
  <c r="C66" i="85"/>
  <c r="O36" i="43"/>
  <c r="D13" i="6"/>
  <c r="D23" i="6"/>
  <c r="L19" i="9"/>
  <c r="D8" i="6"/>
  <c r="D24" i="6"/>
  <c r="D25" i="6"/>
  <c r="H26" i="6"/>
  <c r="D11" i="6"/>
  <c r="C18" i="4"/>
  <c r="A7" i="51"/>
  <c r="B7" i="72"/>
  <c r="D10" i="6"/>
  <c r="D26" i="6"/>
  <c r="D20" i="12"/>
  <c r="C20" i="12"/>
  <c r="C18" i="12"/>
  <c r="D10" i="68"/>
  <c r="D19" i="68"/>
  <c r="D6" i="6"/>
  <c r="H22" i="6"/>
  <c r="R22" i="6"/>
  <c r="E7" i="70"/>
  <c r="E6" i="3"/>
  <c r="H21" i="6"/>
  <c r="H24" i="6"/>
  <c r="E54" i="34"/>
  <c r="F54" i="34"/>
  <c r="M37" i="43"/>
  <c r="P36" i="43"/>
  <c r="N37" i="43"/>
  <c r="P37" i="43"/>
  <c r="M36" i="43"/>
  <c r="O37" i="43"/>
  <c r="N36" i="43"/>
  <c r="Q36" i="43"/>
  <c r="C60" i="15"/>
  <c r="C26" i="11"/>
  <c r="D22" i="11"/>
  <c r="C44" i="68"/>
  <c r="D41" i="68"/>
  <c r="C23" i="68"/>
  <c r="C26" i="68"/>
  <c r="D22" i="68"/>
  <c r="C44" i="11"/>
  <c r="D41" i="11"/>
  <c r="C60" i="67"/>
  <c r="H25" i="6"/>
  <c r="C25" i="11"/>
  <c r="C24" i="11"/>
  <c r="C44" i="69"/>
  <c r="D41" i="69"/>
  <c r="C26" i="69"/>
  <c r="D22" i="69"/>
  <c r="C16" i="71"/>
  <c r="D17" i="71"/>
  <c r="H23" i="6"/>
  <c r="C30" i="43"/>
  <c r="B2" i="43"/>
  <c r="B3" i="43"/>
  <c r="C31" i="43"/>
  <c r="H20" i="6"/>
  <c r="R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H58" i="21"/>
  <c r="E47" i="37"/>
  <c r="F47" i="37"/>
  <c r="E46" i="37"/>
  <c r="F46" i="37"/>
  <c r="I47" i="37"/>
  <c r="J47" i="37"/>
  <c r="E53" i="33"/>
  <c r="F53" i="33"/>
  <c r="E52" i="33"/>
  <c r="F52" i="33"/>
  <c r="C33" i="15"/>
  <c r="J19" i="67"/>
  <c r="C34" i="68"/>
  <c r="E6" i="76"/>
  <c r="M21" i="86"/>
  <c r="C14" i="15"/>
  <c r="B6" i="76"/>
  <c r="D10" i="69"/>
  <c r="D16" i="6"/>
  <c r="R26" i="6"/>
  <c r="R21" i="6"/>
  <c r="Q49" i="85"/>
  <c r="R23" i="6"/>
  <c r="R10" i="1"/>
  <c r="D19" i="69"/>
  <c r="D37" i="69"/>
  <c r="C37" i="69"/>
  <c r="C33" i="69"/>
  <c r="J20" i="86"/>
  <c r="J17" i="86"/>
  <c r="F63" i="86"/>
  <c r="C62" i="86"/>
  <c r="C59" i="86"/>
  <c r="A10" i="51"/>
  <c r="B9" i="72"/>
  <c r="C4" i="52"/>
  <c r="B45" i="72"/>
  <c r="R25" i="6"/>
  <c r="R12" i="1"/>
  <c r="D27" i="6"/>
  <c r="C10" i="68"/>
  <c r="C10" i="69"/>
  <c r="C8" i="69"/>
  <c r="R24" i="6"/>
  <c r="R11" i="1"/>
  <c r="D31" i="6"/>
  <c r="I6" i="6"/>
  <c r="E2" i="70"/>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C24" i="69"/>
  <c r="E2" i="76"/>
  <c r="B2" i="76"/>
  <c r="I69" i="39"/>
  <c r="J67" i="39"/>
  <c r="I63" i="40"/>
  <c r="H65" i="40"/>
  <c r="I58" i="21"/>
  <c r="J58" i="21"/>
  <c r="K58" i="21"/>
  <c r="L58" i="21"/>
  <c r="M58" i="21"/>
  <c r="N58" i="21"/>
  <c r="O58" i="21"/>
  <c r="H7" i="21"/>
  <c r="J48" i="35"/>
  <c r="M21" i="85"/>
  <c r="F63" i="85"/>
  <c r="C62" i="85"/>
  <c r="C59" i="85"/>
  <c r="J20" i="85"/>
  <c r="J17" i="85"/>
  <c r="J14" i="85"/>
  <c r="J13" i="85"/>
  <c r="J23" i="85"/>
  <c r="Q48" i="85"/>
  <c r="Q70" i="85"/>
  <c r="C57" i="85"/>
  <c r="C64" i="85"/>
  <c r="I5" i="6"/>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C56" i="85"/>
  <c r="C65" i="85"/>
  <c r="C58" i="85"/>
  <c r="C67" i="85"/>
  <c r="C68" i="85"/>
  <c r="C71" i="85"/>
  <c r="C75" i="85"/>
  <c r="J22" i="85"/>
  <c r="J16" i="85"/>
  <c r="J25" i="85"/>
  <c r="Q49" i="86"/>
  <c r="J14" i="86"/>
  <c r="J13" i="86"/>
  <c r="J23" i="86"/>
  <c r="C57" i="86"/>
  <c r="C64" i="86"/>
  <c r="Q48" i="86"/>
  <c r="D14" i="71"/>
  <c r="C13" i="71"/>
  <c r="W7" i="21"/>
  <c r="AA7" i="21"/>
  <c r="R48" i="21"/>
  <c r="R49" i="21"/>
  <c r="J7" i="35"/>
  <c r="W7" i="35"/>
  <c r="Q49" i="67"/>
  <c r="J14" i="67"/>
  <c r="J13" i="67"/>
  <c r="J23" i="67"/>
  <c r="C57" i="67"/>
  <c r="C64" i="67"/>
  <c r="Q70" i="67"/>
  <c r="C33" i="11"/>
  <c r="C39" i="11"/>
  <c r="C61" i="67"/>
  <c r="C42" i="68"/>
  <c r="C32" i="12"/>
  <c r="B2" i="12"/>
  <c r="B3" i="12"/>
  <c r="C23" i="15"/>
  <c r="C29" i="15"/>
  <c r="C41" i="69"/>
  <c r="R27" i="6"/>
  <c r="C46" i="69"/>
  <c r="C45" i="69"/>
  <c r="C25" i="68"/>
  <c r="C22" i="68"/>
  <c r="C31" i="68"/>
  <c r="C46" i="68"/>
  <c r="C45" i="68"/>
  <c r="C43" i="68"/>
  <c r="L67" i="39"/>
  <c r="K69" i="39"/>
  <c r="J65" i="40"/>
  <c r="K63" i="40"/>
  <c r="I52" i="21"/>
  <c r="J52" i="21"/>
  <c r="U7" i="35"/>
  <c r="AB7" i="35"/>
  <c r="G38" i="35"/>
  <c r="G52" i="21"/>
  <c r="H52" i="21"/>
  <c r="G53" i="21"/>
  <c r="H53" i="21"/>
  <c r="F7" i="35"/>
  <c r="L51" i="85"/>
  <c r="F35" i="15"/>
  <c r="M21" i="15"/>
  <c r="M21" i="84"/>
  <c r="M21" i="67"/>
  <c r="C80" i="85"/>
  <c r="C79" i="85"/>
  <c r="Q47" i="85"/>
  <c r="Q53" i="85"/>
  <c r="Q69" i="85"/>
  <c r="Q68" i="85"/>
  <c r="C75" i="86"/>
  <c r="Q70" i="86"/>
  <c r="C56" i="86"/>
  <c r="C65" i="86"/>
  <c r="C58" i="86"/>
  <c r="C67" i="86"/>
  <c r="C68" i="86"/>
  <c r="C71" i="86"/>
  <c r="J22" i="86"/>
  <c r="J16" i="86"/>
  <c r="J25" i="86"/>
  <c r="L57" i="86"/>
  <c r="L60" i="86"/>
  <c r="Q67" i="85"/>
  <c r="L57" i="85"/>
  <c r="L60" i="85"/>
  <c r="J14" i="84"/>
  <c r="J13" i="84"/>
  <c r="J23" i="84"/>
  <c r="Q48" i="84"/>
  <c r="C57" i="84"/>
  <c r="C64" i="84"/>
  <c r="Q49" i="84"/>
  <c r="C56" i="84"/>
  <c r="C65" i="84"/>
  <c r="C75" i="84"/>
  <c r="Q70" i="84"/>
  <c r="J20" i="84"/>
  <c r="J17" i="84"/>
  <c r="F63" i="84"/>
  <c r="C62" i="84"/>
  <c r="C59" i="84"/>
  <c r="E48" i="21"/>
  <c r="AC7" i="35"/>
  <c r="I38" i="35"/>
  <c r="G43" i="35"/>
  <c r="H43"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C49" i="21"/>
  <c r="C48" i="21"/>
  <c r="E52" i="21"/>
  <c r="F52" i="21"/>
  <c r="E53" i="21"/>
  <c r="F53" i="21"/>
  <c r="G42" i="35"/>
  <c r="H42" i="35"/>
  <c r="I53" i="21"/>
  <c r="J53" i="21"/>
  <c r="K65" i="40"/>
  <c r="L63" i="40"/>
  <c r="L51" i="86"/>
  <c r="B2" i="85"/>
  <c r="Q56" i="85"/>
  <c r="Q65" i="85"/>
  <c r="C45" i="85"/>
  <c r="C46" i="85"/>
  <c r="C43" i="85"/>
  <c r="C83" i="85"/>
  <c r="C82" i="85"/>
  <c r="Q67" i="86"/>
  <c r="C80" i="86"/>
  <c r="C79" i="86"/>
  <c r="Q69" i="86"/>
  <c r="Q68" i="86"/>
  <c r="C45" i="86"/>
  <c r="C46" i="86"/>
  <c r="Q66" i="86"/>
  <c r="Q57" i="86"/>
  <c r="Q66" i="85"/>
  <c r="Q57" i="85"/>
  <c r="J22" i="84"/>
  <c r="J16" i="84"/>
  <c r="J25" i="84"/>
  <c r="C58" i="84"/>
  <c r="C67" i="84"/>
  <c r="C68" i="84"/>
  <c r="C71" i="84"/>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8"/>
  <c r="C56" i="68"/>
  <c r="M69" i="39"/>
  <c r="N67" i="39"/>
  <c r="E38" i="35"/>
  <c r="M63" i="40"/>
  <c r="L65" i="40"/>
  <c r="D2" i="21"/>
  <c r="Q75" i="85"/>
  <c r="Q62" i="85"/>
  <c r="C43" i="86"/>
  <c r="Q56" i="86"/>
  <c r="Q62" i="86"/>
  <c r="Q65" i="86"/>
  <c r="Q75" i="86"/>
  <c r="Q47" i="86"/>
  <c r="Q53" i="86"/>
  <c r="C83" i="86"/>
  <c r="C82" i="86"/>
  <c r="C45" i="84"/>
  <c r="C46" i="84"/>
  <c r="C80" i="84"/>
  <c r="C79" i="84"/>
  <c r="Q69" i="84"/>
  <c r="Q68" i="84"/>
  <c r="L57" i="84"/>
  <c r="L60" i="84"/>
  <c r="Q47" i="84"/>
  <c r="Q53" i="84"/>
  <c r="C43" i="84"/>
  <c r="Q65" i="84"/>
  <c r="Q56" i="84"/>
  <c r="C83" i="84"/>
  <c r="C82" i="84"/>
  <c r="C10" i="71"/>
  <c r="D11" i="71"/>
  <c r="C80" i="67"/>
  <c r="C79" i="67"/>
  <c r="C45" i="67"/>
  <c r="C56" i="11"/>
  <c r="C57" i="11"/>
  <c r="B2" i="21"/>
  <c r="B3" i="21"/>
  <c r="J16" i="15"/>
  <c r="J25" i="15"/>
  <c r="J26" i="15"/>
  <c r="J29" i="15"/>
  <c r="C58" i="15"/>
  <c r="C67" i="15"/>
  <c r="C68" i="15"/>
  <c r="C71" i="15"/>
  <c r="C30" i="15"/>
  <c r="C39" i="15"/>
  <c r="Q69" i="15"/>
  <c r="Q68" i="15"/>
  <c r="O67" i="39"/>
  <c r="O69" i="39"/>
  <c r="N69" i="39"/>
  <c r="F7" i="39"/>
  <c r="C38" i="35"/>
  <c r="N63" i="40"/>
  <c r="M65" i="40"/>
  <c r="E43" i="35"/>
  <c r="F43" i="35"/>
  <c r="E42" i="35"/>
  <c r="F42" i="35"/>
  <c r="I43" i="35"/>
  <c r="J43" i="35"/>
  <c r="L51" i="67"/>
  <c r="L51" i="84"/>
  <c r="D2" i="33"/>
  <c r="Q67" i="84"/>
  <c r="B2" i="86"/>
  <c r="Q66" i="84"/>
  <c r="Q75" i="84"/>
  <c r="Q57" i="84"/>
  <c r="Q62" i="84"/>
  <c r="B2" i="84"/>
  <c r="D10" i="71"/>
  <c r="C9" i="71"/>
  <c r="L57" i="67"/>
  <c r="L60" i="67"/>
  <c r="B2" i="67"/>
  <c r="Q67" i="67"/>
  <c r="Q65" i="67"/>
  <c r="B2" i="33"/>
  <c r="C83" i="67"/>
  <c r="C82" i="67"/>
  <c r="Q47" i="67"/>
  <c r="Q53" i="67"/>
  <c r="C46" i="67"/>
  <c r="Q56" i="67"/>
  <c r="C43" i="67"/>
  <c r="C80" i="15"/>
  <c r="C79" i="15"/>
  <c r="C40" i="15"/>
  <c r="C46" i="15"/>
  <c r="H7" i="39"/>
  <c r="J7" i="39"/>
  <c r="S7" i="39"/>
  <c r="AA7" i="39"/>
  <c r="R47" i="39"/>
  <c r="O63" i="40"/>
  <c r="O65" i="40"/>
  <c r="N65" i="40"/>
  <c r="C19" i="9"/>
  <c r="D19" i="9"/>
  <c r="D2" i="35"/>
  <c r="D2" i="37"/>
  <c r="L51" i="15"/>
  <c r="D2" i="36"/>
  <c r="D2" i="34"/>
  <c r="C19" i="89"/>
  <c r="C19" i="91"/>
  <c r="C19" i="88"/>
  <c r="D102" i="9"/>
  <c r="D21" i="9"/>
  <c r="C102" i="91"/>
  <c r="C21" i="91"/>
  <c r="C103" i="91"/>
  <c r="C102" i="89"/>
  <c r="C21" i="89"/>
  <c r="C103" i="89"/>
  <c r="C102" i="88"/>
  <c r="C21" i="88"/>
  <c r="D22" i="9"/>
  <c r="C102" i="9"/>
  <c r="G19" i="9"/>
  <c r="G21" i="9"/>
  <c r="C21" i="9"/>
  <c r="C8" i="71"/>
  <c r="D9" i="71"/>
  <c r="Q57" i="67"/>
  <c r="Q62" i="67"/>
  <c r="Q66" i="67"/>
  <c r="Q75" i="67"/>
  <c r="L57" i="15"/>
  <c r="L60" i="15"/>
  <c r="Q57" i="15"/>
  <c r="Q67" i="15"/>
  <c r="B2" i="36"/>
  <c r="B2" i="35"/>
  <c r="M3" i="35"/>
  <c r="B2" i="37"/>
  <c r="B3" i="37"/>
  <c r="B2" i="34"/>
  <c r="Q47" i="15"/>
  <c r="Q53" i="15"/>
  <c r="C43" i="15"/>
  <c r="Q65" i="15"/>
  <c r="C83" i="15"/>
  <c r="C82" i="15"/>
  <c r="Q56" i="15"/>
  <c r="W7" i="39"/>
  <c r="AC7" i="39"/>
  <c r="V47" i="39"/>
  <c r="I47" i="39"/>
  <c r="E47" i="39"/>
  <c r="U7" i="39"/>
  <c r="AB7" i="39"/>
  <c r="T47" i="39"/>
  <c r="G47" i="39"/>
  <c r="J7" i="40"/>
  <c r="F7" i="40"/>
  <c r="H7" i="40"/>
  <c r="AO8" i="1"/>
  <c r="AO6" i="1"/>
  <c r="D19" i="89"/>
  <c r="AO12" i="1"/>
  <c r="AO7" i="1"/>
  <c r="AO10" i="1"/>
  <c r="D19" i="91"/>
  <c r="AO9" i="1"/>
  <c r="D19" i="88"/>
  <c r="AO11" i="1"/>
  <c r="D103" i="9"/>
  <c r="D102" i="89"/>
  <c r="D21" i="89"/>
  <c r="D22" i="89"/>
  <c r="G19" i="89"/>
  <c r="G21" i="89"/>
  <c r="D21" i="91"/>
  <c r="D102" i="91"/>
  <c r="G19" i="91"/>
  <c r="G21" i="91"/>
  <c r="D22" i="91"/>
  <c r="D21" i="88"/>
  <c r="D102" i="88"/>
  <c r="D22" i="88"/>
  <c r="G19" i="88"/>
  <c r="G21" i="88"/>
  <c r="C103" i="88"/>
  <c r="C103" i="9"/>
  <c r="R48" i="39"/>
  <c r="C47" i="39"/>
  <c r="C6" i="69"/>
  <c r="C7" i="71"/>
  <c r="D8" i="71"/>
  <c r="L46" i="15"/>
  <c r="B2" i="15"/>
  <c r="B3" i="15"/>
  <c r="Q66" i="15"/>
  <c r="Q75" i="15"/>
  <c r="Q62" i="15"/>
  <c r="B9" i="70"/>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D103" i="91"/>
  <c r="D103" i="89"/>
  <c r="C32" i="9"/>
  <c r="C35" i="9"/>
  <c r="C34" i="9"/>
  <c r="S25" i="82"/>
  <c r="D103" i="88"/>
  <c r="C7" i="69"/>
  <c r="C5" i="69"/>
  <c r="C48" i="39"/>
  <c r="B63" i="39"/>
  <c r="F63" i="39"/>
  <c r="D7" i="71"/>
  <c r="C6" i="71"/>
  <c r="B2" i="70"/>
  <c r="B3" i="70"/>
  <c r="I46" i="40"/>
  <c r="J46" i="40"/>
  <c r="R43" i="40"/>
  <c r="E42" i="40"/>
  <c r="G47" i="40"/>
  <c r="H47" i="40"/>
  <c r="G46" i="40"/>
  <c r="H46" i="40"/>
  <c r="S39" i="82"/>
  <c r="R40" i="82"/>
  <c r="R48" i="82"/>
  <c r="T25" i="82"/>
  <c r="U25" i="82"/>
  <c r="U26" i="82"/>
  <c r="V25" i="82"/>
  <c r="V26" i="82"/>
  <c r="C32" i="91"/>
  <c r="C35" i="91"/>
  <c r="C34" i="91"/>
  <c r="C32" i="88"/>
  <c r="C35" i="88"/>
  <c r="C34" i="88"/>
  <c r="S34" i="82"/>
  <c r="R35" i="82"/>
  <c r="R46" i="82"/>
  <c r="S26" i="82"/>
  <c r="S32" i="82"/>
  <c r="S33" i="82"/>
  <c r="C32" i="89"/>
  <c r="C35" i="89"/>
  <c r="C34" i="89"/>
  <c r="S27" i="82"/>
  <c r="C23" i="69"/>
  <c r="C20" i="69"/>
  <c r="B56" i="39"/>
  <c r="F56" i="39"/>
  <c r="B61" i="39"/>
  <c r="F61" i="39"/>
  <c r="B59" i="39"/>
  <c r="F59" i="39"/>
  <c r="B62" i="39"/>
  <c r="F62" i="39"/>
  <c r="B60" i="39"/>
  <c r="F60" i="39"/>
  <c r="B58" i="39"/>
  <c r="F58" i="39"/>
  <c r="B64" i="39"/>
  <c r="F64" i="39"/>
  <c r="B57" i="39"/>
  <c r="F57" i="39"/>
  <c r="D6" i="71"/>
  <c r="C5" i="71"/>
  <c r="D5" i="71"/>
  <c r="M24" i="43"/>
  <c r="C42" i="40"/>
  <c r="C43" i="40"/>
  <c r="E47" i="40"/>
  <c r="F47" i="40"/>
  <c r="E46" i="40"/>
  <c r="F46" i="40"/>
  <c r="I47" i="40"/>
  <c r="J47" i="40"/>
  <c r="T46" i="82"/>
  <c r="D15" i="74"/>
  <c r="T48" i="82"/>
  <c r="D17" i="74"/>
  <c r="R28" i="82"/>
  <c r="S41" i="82"/>
  <c r="R42" i="82"/>
  <c r="T26" i="82"/>
  <c r="R26" i="82"/>
  <c r="R25" i="82"/>
  <c r="T32" i="82"/>
  <c r="T33" i="82"/>
  <c r="R33" i="82"/>
  <c r="R32" i="82"/>
  <c r="C28" i="69"/>
  <c r="C27" i="69"/>
  <c r="C25" i="69"/>
  <c r="C22" i="69"/>
  <c r="F65" i="39"/>
  <c r="B2" i="39"/>
  <c r="B3" i="39"/>
  <c r="B58" i="40"/>
  <c r="F58" i="40"/>
  <c r="B54" i="40"/>
  <c r="F54" i="40"/>
  <c r="B53" i="40"/>
  <c r="F53" i="40"/>
  <c r="B59" i="40"/>
  <c r="F59" i="40"/>
  <c r="B52" i="40"/>
  <c r="F52" i="40"/>
  <c r="B56" i="40"/>
  <c r="F56" i="40"/>
  <c r="B60" i="40"/>
  <c r="F60" i="40"/>
  <c r="B57" i="40"/>
  <c r="F57" i="40"/>
  <c r="B51" i="40"/>
  <c r="F51" i="40"/>
  <c r="F61" i="40"/>
  <c r="B2" i="40"/>
  <c r="B3" i="40"/>
  <c r="AR3" i="92"/>
  <c r="AQ74" i="92"/>
  <c r="E17" i="74"/>
  <c r="F17" i="74"/>
  <c r="E15" i="74"/>
  <c r="F15" i="74"/>
  <c r="R47" i="82"/>
  <c r="R45" i="82"/>
  <c r="C31" i="69"/>
  <c r="C52" i="69"/>
  <c r="C57" i="69"/>
  <c r="C56" i="69"/>
  <c r="T47" i="82"/>
  <c r="D16" i="74"/>
  <c r="D14" i="74"/>
  <c r="F14" i="74"/>
  <c r="R49" i="82"/>
  <c r="T49" i="82"/>
  <c r="T45" i="82"/>
  <c r="B2" i="69"/>
  <c r="B6" i="74"/>
  <c r="D6" i="74"/>
  <c r="B3" i="69"/>
  <c r="H4" i="92"/>
  <c r="H13" i="92"/>
  <c r="BJ3" i="92"/>
  <c r="E16" i="74"/>
  <c r="F16" i="74"/>
  <c r="B5" i="74"/>
  <c r="D5" i="74"/>
  <c r="E14" i="74"/>
  <c r="BI108" i="92"/>
  <c r="C5" i="74"/>
  <c r="Z3" i="92"/>
  <c r="Y201" i="92"/>
  <c r="C32" i="92"/>
  <c r="H10" i="92"/>
  <c r="G33" i="92"/>
  <c r="A13" i="92"/>
  <c r="A14" i="92"/>
  <c r="H7" i="92"/>
  <c r="E32" i="92"/>
  <c r="E97" i="89"/>
  <c r="E96" i="89"/>
  <c r="C96" i="89"/>
  <c r="D54" i="89"/>
  <c r="C68" i="89"/>
  <c r="B47" i="72"/>
  <c r="D4" i="52"/>
  <c r="D54" i="9"/>
  <c r="C68" i="9"/>
  <c r="M55" i="88"/>
  <c r="D59" i="88"/>
  <c r="E97" i="88"/>
  <c r="E96" i="88"/>
  <c r="C96" i="88"/>
  <c r="C86" i="89"/>
  <c r="C93" i="89"/>
  <c r="D123" i="88"/>
  <c r="D122" i="88"/>
  <c r="B49" i="72"/>
  <c r="D5" i="52"/>
  <c r="D118" i="9"/>
  <c r="D119" i="9"/>
  <c r="M54" i="88"/>
  <c r="D56" i="88"/>
  <c r="D58" i="88"/>
  <c r="C85" i="88"/>
  <c r="C95" i="88"/>
  <c r="C97" i="88"/>
  <c r="D119" i="88"/>
  <c r="D118" i="88"/>
  <c r="E118" i="88"/>
  <c r="E81" i="9"/>
  <c r="E80" i="9"/>
  <c r="C80" i="9"/>
  <c r="M55" i="89"/>
  <c r="C64" i="89"/>
  <c r="C63" i="89"/>
  <c r="C67" i="89"/>
  <c r="D59" i="89"/>
  <c r="C104" i="9"/>
  <c r="H4" i="52"/>
  <c r="D54" i="91"/>
  <c r="C68" i="91"/>
  <c r="N58" i="91"/>
  <c r="P57" i="91"/>
  <c r="B21" i="72"/>
  <c r="D7" i="53"/>
  <c r="H102" i="9"/>
  <c r="D9" i="52"/>
  <c r="D123" i="9"/>
  <c r="B30" i="72"/>
  <c r="M55" i="91"/>
  <c r="C64" i="91"/>
  <c r="C63" i="91"/>
  <c r="C67" i="91"/>
  <c r="D59" i="91"/>
  <c r="D123" i="91"/>
  <c r="D122" i="91"/>
  <c r="B22" i="72"/>
  <c r="D6" i="53"/>
  <c r="D123" i="89"/>
  <c r="D122" i="89"/>
  <c r="D13" i="53"/>
  <c r="D14" i="53"/>
  <c r="B32" i="72"/>
  <c r="C73" i="89"/>
  <c r="C78" i="89"/>
  <c r="E81" i="91"/>
  <c r="E80" i="91"/>
  <c r="C80" i="91"/>
  <c r="B52" i="72"/>
  <c r="G4" i="52"/>
  <c r="C73" i="88"/>
  <c r="C78" i="88"/>
  <c r="P57" i="89"/>
  <c r="N58" i="89"/>
  <c r="E118" i="89"/>
  <c r="D118" i="89"/>
  <c r="D119" i="89"/>
  <c r="H119" i="9"/>
  <c r="H5" i="52"/>
  <c r="C96" i="91"/>
  <c r="E96" i="91"/>
  <c r="E97" i="91"/>
  <c r="B51" i="72"/>
  <c r="F4" i="52"/>
  <c r="C85" i="91"/>
  <c r="C95" i="91"/>
  <c r="C97" i="91"/>
  <c r="D58" i="91"/>
  <c r="D56" i="91"/>
  <c r="M54" i="91"/>
  <c r="C81" i="88"/>
  <c r="C97" i="9"/>
  <c r="D58" i="9"/>
  <c r="D56" i="9"/>
  <c r="M54" i="9"/>
  <c r="M54" i="89"/>
  <c r="D56" i="89"/>
  <c r="D58" i="89"/>
  <c r="C85" i="89"/>
  <c r="C95" i="89"/>
  <c r="C97" i="89"/>
  <c r="M55" i="9"/>
  <c r="C64" i="9"/>
  <c r="C63" i="9"/>
  <c r="C67" i="9"/>
  <c r="D59" i="9"/>
  <c r="E81" i="89"/>
  <c r="E80" i="89"/>
  <c r="C80" i="89"/>
  <c r="D122" i="9"/>
  <c r="D8" i="52"/>
  <c r="G118" i="91"/>
  <c r="F118" i="91"/>
  <c r="F119" i="91"/>
  <c r="D5" i="53"/>
  <c r="B20" i="72"/>
  <c r="H107" i="89"/>
  <c r="H108" i="89"/>
  <c r="N61" i="89"/>
  <c r="D55" i="89"/>
  <c r="M53" i="89"/>
  <c r="N57" i="89"/>
  <c r="N59" i="89"/>
  <c r="N60" i="89"/>
  <c r="E118" i="9"/>
  <c r="E4" i="52"/>
  <c r="B48" i="72"/>
  <c r="E118" i="91"/>
  <c r="D118" i="91"/>
  <c r="D119" i="91"/>
  <c r="C72" i="9"/>
  <c r="C79" i="9"/>
  <c r="C81" i="9"/>
  <c r="C6" i="74"/>
  <c r="C85" i="9"/>
  <c r="C95" i="9"/>
  <c r="C96" i="9"/>
  <c r="E96" i="9"/>
  <c r="E97" i="9"/>
  <c r="C64" i="88"/>
  <c r="C63" i="88"/>
  <c r="C67" i="88"/>
  <c r="C68" i="88"/>
  <c r="D54" i="88"/>
  <c r="C73" i="9"/>
  <c r="C78" i="9"/>
  <c r="C105" i="91"/>
  <c r="H102" i="91"/>
  <c r="C86" i="91"/>
  <c r="C93" i="91"/>
  <c r="M48" i="88"/>
  <c r="G118" i="89"/>
  <c r="F118" i="89"/>
  <c r="F119" i="89"/>
  <c r="C104" i="91"/>
  <c r="H119" i="91"/>
  <c r="N61" i="9"/>
  <c r="N59" i="9"/>
  <c r="N60" i="9"/>
  <c r="C72" i="89"/>
  <c r="C79" i="89"/>
  <c r="C81" i="89"/>
  <c r="N60" i="91"/>
  <c r="D55" i="91"/>
  <c r="M53" i="91"/>
  <c r="N57" i="91"/>
  <c r="N59" i="91"/>
  <c r="N61" i="91"/>
  <c r="H102" i="88"/>
  <c r="C105" i="88"/>
  <c r="M48" i="91"/>
  <c r="D52" i="9"/>
  <c r="D53" i="9"/>
  <c r="H119" i="88"/>
  <c r="C104" i="88"/>
  <c r="M48" i="9"/>
  <c r="M48" i="89"/>
  <c r="C73" i="91"/>
  <c r="C78" i="91"/>
  <c r="N61" i="88"/>
  <c r="N59" i="88"/>
  <c r="N60" i="88"/>
  <c r="N58" i="9"/>
  <c r="D55" i="9"/>
  <c r="M53" i="9"/>
  <c r="N57" i="9"/>
  <c r="P57" i="9"/>
  <c r="G118" i="88"/>
  <c r="F118" i="88"/>
  <c r="F119" i="88"/>
  <c r="H119" i="89"/>
  <c r="C104" i="89"/>
  <c r="D52" i="88"/>
  <c r="D53" i="88"/>
  <c r="I4" i="52"/>
  <c r="C105" i="9"/>
  <c r="C72" i="91"/>
  <c r="C79" i="91"/>
  <c r="C81" i="91"/>
  <c r="N58" i="88"/>
  <c r="D55" i="88"/>
  <c r="M53" i="88"/>
  <c r="N57" i="88"/>
  <c r="P57" i="88"/>
  <c r="D52" i="89"/>
  <c r="H101" i="89"/>
  <c r="D45" i="89"/>
  <c r="D53" i="89"/>
  <c r="H107" i="88"/>
  <c r="H108" i="88"/>
  <c r="G118" i="9"/>
  <c r="F118" i="9"/>
  <c r="F119" i="9"/>
  <c r="F5" i="52"/>
  <c r="B53" i="72"/>
  <c r="C105" i="89"/>
  <c r="H118" i="89"/>
  <c r="I118" i="89"/>
  <c r="H102" i="89"/>
  <c r="D45" i="9"/>
  <c r="C93" i="9"/>
  <c r="C86" i="9"/>
  <c r="D53" i="91"/>
  <c r="D45" i="91"/>
  <c r="D52" i="91"/>
  <c r="I118" i="91"/>
  <c r="H118" i="91"/>
  <c r="H101" i="91"/>
  <c r="H107" i="91"/>
  <c r="H108" i="91"/>
  <c r="C93" i="88"/>
  <c r="C86" i="88"/>
  <c r="I118" i="88"/>
  <c r="H118" i="88"/>
  <c r="H101" i="88"/>
  <c r="D45" i="88"/>
  <c r="C72" i="88"/>
  <c r="C79" i="88"/>
  <c r="C80" i="88"/>
  <c r="E80" i="88"/>
  <c r="E81" i="88"/>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<sst xmlns="http://schemas.openxmlformats.org/spreadsheetml/2006/main" count="24074" uniqueCount="4959">
  <si>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</si>
  <si>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</si>
  <si>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</si>
  <si>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</si>
  <si>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</si>
  <si>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</si>
  <si>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</si>
  <si>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</si>
  <si>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</si>
  <si>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</si>
  <si>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</si>
  <si>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</si>
  <si>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</si>
  <si>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</si>
  <si>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</si>
  <si>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</si>
  <si>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</si>
  <si>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</si>
  <si>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</si>
  <si>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</si>
  <si>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</si>
  <si>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</si>
  <si>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</si>
  <si>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</si>
  <si>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</si>
  <si>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</si>
  <si>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</si>
  <si>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</si>
  <si>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</si>
  <si>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</si>
  <si>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</si>
  <si>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</si>
  <si>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</si>
  <si>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</si>
  <si>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</si>
  <si>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</si>
  <si>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</si>
  <si>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</si>
  <si>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</si>
  <si>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</si>
  <si>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</si>
  <si>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</si>
  <si>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</si>
  <si>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</si>
  <si>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</si>
  <si>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</si>
  <si>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</si>
  <si>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</si>
  <si>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</si>
  <si>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</si>
  <si>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</si>
  <si>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</si>
  <si>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</si>
  <si>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</si>
  <si>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</si>
  <si>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</si>
  <si>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</si>
  <si>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</si>
  <si>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</si>
  <si>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</si>
  <si>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</si>
  <si>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</si>
  <si>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</si>
  <si>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</si>
  <si>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</si>
  <si>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</si>
  <si>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</si>
  <si>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</si>
  <si>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</si>
  <si>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</si>
  <si>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</si>
  <si>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</si>
  <si>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</si>
  <si>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</si>
  <si>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</si>
  <si>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</si>
  <si>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</si>
  <si>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</si>
  <si>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</si>
  <si>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</si>
  <si>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</si>
  <si>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</si>
  <si>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</si>
  <si>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</si>
  <si>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</si>
  <si>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</si>
  <si>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</si>
  <si>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</si>
  <si>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</si>
  <si>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</si>
  <si>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</si>
  <si>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</si>
  <si>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</si>
  <si>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</si>
  <si>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</si>
  <si>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</si>
  <si>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</si>
  <si>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</si>
  <si>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</si>
  <si>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</si>
  <si>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</si>
  <si>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</si>
  <si>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</si>
  <si>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</si>
  <si>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</si>
  <si>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</si>
  <si>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</si>
  <si>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</si>
  <si>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</si>
  <si>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</si>
  <si>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</si>
  <si>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</si>
  <si>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</si>
  <si>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</si>
  <si>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</si>
  <si>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</si>
  <si>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</si>
  <si>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</si>
  <si>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</si>
  <si>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</si>
  <si>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</si>
  <si>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</si>
  <si>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</si>
  <si>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</si>
  <si>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</si>
  <si>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</si>
  <si>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</si>
  <si>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</si>
  <si>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</si>
  <si>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</si>
  <si>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</si>
  <si>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</si>
  <si>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</si>
  <si>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</si>
  <si>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</si>
  <si>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</si>
  <si>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</si>
  <si>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</si>
  <si>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</si>
  <si>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</si>
  <si>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</si>
  <si>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</si>
  <si>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</si>
  <si>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</si>
  <si>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</si>
  <si>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</si>
  <si>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</si>
  <si>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</si>
  <si>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</si>
  <si>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</si>
  <si>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</si>
  <si>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</si>
  <si>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</si>
  <si>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</si>
  <si>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</si>
  <si>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</si>
  <si>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</si>
  <si>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</si>
  <si>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</si>
  <si>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</si>
  <si>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</si>
  <si>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</si>
  <si>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</si>
  <si>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</si>
  <si>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</si>
  <si>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</si>
  <si>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</si>
  <si>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</si>
  <si>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</si>
  <si>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</si>
  <si>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</si>
  <si>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</si>
  <si>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</si>
  <si>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</si>
  <si>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</si>
  <si>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</si>
  <si>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</si>
  <si>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</si>
  <si>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</si>
  <si>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</si>
  <si>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</si>
  <si>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</si>
  <si>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</si>
  <si>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</si>
  <si>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</si>
  <si>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</si>
  <si>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</si>
  <si>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</si>
  <si>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</si>
  <si>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</si>
  <si>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</si>
  <si>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</si>
  <si>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</si>
  <si>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</si>
  <si>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</si>
  <si>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</si>
  <si>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</si>
  <si>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</si>
  <si>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</si>
  <si>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</si>
  <si>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</si>
  <si>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</si>
  <si>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</si>
  <si>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</si>
  <si>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</si>
  <si>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</si>
  <si>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</si>
  <si>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</si>
  <si>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</si>
  <si>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</si>
  <si>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</si>
  <si>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</si>
  <si>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</si>
  <si>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</si>
  <si>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</si>
  <si>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</si>
  <si>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</si>
  <si>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</si>
  <si>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</si>
  <si>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</si>
  <si>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</si>
  <si>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</si>
  <si>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</si>
  <si>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</si>
  <si>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</si>
  <si>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</si>
  <si>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</si>
  <si>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</si>
  <si>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</si>
  <si>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</si>
  <si>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</si>
  <si>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</si>
  <si>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</si>
  <si>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</si>
  <si>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</si>
  <si>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</si>
  <si>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</si>
  <si>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</si>
  <si>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</si>
  <si>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</si>
  <si>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</si>
  <si>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</si>
  <si>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</si>
  <si>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</si>
  <si>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</si>
  <si>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</si>
  <si>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</si>
  <si>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</si>
  <si>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</si>
  <si>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</si>
  <si>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</si>
  <si>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</si>
  <si>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</si>
  <si>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</si>
  <si>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</si>
  <si>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</si>
  <si>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</si>
  <si>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</si>
  <si>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</si>
  <si>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</si>
  <si>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</si>
  <si>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</si>
  <si>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</si>
  <si>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</si>
  <si>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</si>
  <si>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</si>
  <si>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</si>
  <si>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</si>
  <si>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</si>
  <si>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</si>
  <si>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</si>
  <si>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</si>
  <si>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</si>
  <si>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</si>
  <si>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</si>
  <si>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</si>
  <si>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</si>
  <si>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</si>
  <si>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</si>
  <si>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</si>
  <si>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</si>
  <si>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</si>
  <si>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</si>
  <si>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</si>
  <si>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</si>
  <si>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</si>
  <si>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</si>
  <si>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</si>
  <si>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</si>
  <si>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</si>
  <si>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</si>
  <si>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</si>
  <si>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</si>
  <si>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</si>
  <si>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</si>
  <si>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</si>
  <si>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</si>
  <si>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</si>
  <si>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</si>
  <si>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</si>
  <si>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</si>
  <si>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</si>
  <si>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</si>
  <si>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</si>
  <si>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</si>
  <si>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</si>
  <si>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</si>
  <si>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</si>
  <si>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</si>
  <si>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</si>
  <si>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</si>
  <si>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</si>
  <si>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</si>
  <si>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</si>
  <si>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</si>
  <si>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</si>
  <si>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</si>
  <si>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</si>
  <si>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</si>
  <si>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</si>
  <si>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</si>
  <si>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</si>
  <si>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</si>
  <si>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</si>
  <si>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</si>
  <si>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</si>
  <si>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</si>
  <si>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</si>
  <si>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</si>
  <si>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</si>
  <si>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</si>
  <si>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</si>
  <si>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</si>
  <si>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</si>
  <si>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</si>
  <si>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</si>
  <si>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</si>
  <si>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</si>
  <si>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</si>
  <si>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</si>
  <si>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</si>
  <si>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</si>
  <si>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</si>
  <si>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</si>
  <si>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</si>
  <si>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</si>
  <si>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</si>
  <si>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</si>
  <si>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</si>
  <si>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</si>
  <si>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</si>
  <si>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</si>
  <si>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</si>
  <si>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</si>
  <si>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</si>
  <si>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</si>
  <si>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</si>
  <si>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</si>
  <si>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</si>
  <si>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</si>
  <si>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</si>
  <si>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</si>
  <si>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</si>
  <si>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</si>
  <si>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</si>
  <si>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</si>
  <si>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</si>
  <si>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</si>
  <si>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</si>
  <si>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</si>
  <si>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</si>
  <si>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</si>
  <si>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</si>
  <si>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</si>
  <si>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</si>
  <si>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</si>
  <si>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</si>
  <si>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</si>
  <si>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</si>
  <si>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</si>
  <si>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</si>
  <si>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</si>
  <si>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</si>
  <si>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</si>
  <si>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</si>
  <si>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</si>
  <si>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</si>
  <si>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</si>
  <si>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</si>
  <si>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</si>
  <si>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</si>
  <si>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</si>
  <si>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</si>
  <si>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</si>
  <si>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</si>
  <si>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</si>
  <si>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</si>
  <si>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</si>
  <si>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</si>
  <si>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</si>
  <si>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</si>
  <si>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</si>
  <si>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</si>
  <si>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</si>
  <si>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</si>
  <si>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</si>
  <si>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</si>
  <si>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</si>
  <si>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</si>
  <si>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</si>
  <si>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</si>
  <si>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</si>
  <si>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</si>
  <si>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</si>
  <si>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</si>
  <si>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</si>
  <si>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</si>
  <si>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</si>
  <si>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</si>
  <si>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</si>
  <si>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</si>
  <si>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</si>
  <si>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</si>
  <si>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</si>
  <si>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</si>
  <si>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</si>
  <si>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</si>
  <si>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</si>
  <si>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</si>
  <si>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</si>
  <si>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</si>
  <si>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</si>
  <si>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</si>
  <si>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</si>
  <si>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</si>
  <si>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</si>
  <si>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</si>
  <si>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</si>
  <si>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</si>
  <si>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</si>
  <si>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</si>
  <si>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</si>
  <si>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</si>
  <si>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</si>
  <si>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</si>
  <si>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</si>
  <si>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</si>
  <si>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</si>
  <si>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</si>
  <si>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</si>
  <si>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</si>
  <si>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</si>
  <si>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</si>
  <si>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</si>
  <si>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</si>
  <si>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</si>
  <si>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</si>
  <si>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</si>
  <si>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</si>
  <si>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</si>
  <si>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</si>
  <si>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</si>
  <si>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</si>
  <si>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</si>
  <si>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</si>
  <si>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</si>
  <si>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</si>
  <si>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</si>
  <si>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</si>
  <si>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</si>
  <si>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</si>
  <si>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</si>
  <si>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</si>
  <si>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</si>
  <si>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</si>
  <si>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</si>
  <si>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</si>
  <si>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</si>
  <si>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</si>
  <si>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</si>
  <si>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</si>
  <si>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</si>
  <si>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</si>
  <si>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</si>
  <si>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</si>
  <si>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</si>
  <si>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</si>
  <si>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</si>
  <si>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</si>
  <si>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</si>
  <si>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</si>
  <si>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</si>
  <si>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</si>
  <si>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</si>
  <si>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</si>
  <si>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</si>
  <si>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</si>
  <si>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</si>
  <si>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</si>
  <si>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</si>
  <si>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</si>
  <si>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</si>
  <si>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</si>
  <si>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</si>
  <si>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</si>
  <si>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</si>
  <si>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</si>
  <si>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</si>
  <si>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</si>
  <si>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</si>
  <si>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</si>
  <si>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</si>
  <si>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</si>
  <si>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</si>
  <si>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</si>
  <si>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</si>
  <si>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</si>
  <si>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</si>
  <si>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</si>
  <si>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</si>
  <si>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</si>
  <si>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</si>
  <si>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</si>
  <si>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</si>
  <si>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</si>
  <si>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</si>
  <si>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</si>
  <si>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</si>
  <si>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</si>
  <si>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</si>
  <si>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</si>
  <si>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</si>
  <si>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</si>
  <si>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</si>
  <si>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</si>
  <si>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</si>
  <si>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</si>
  <si>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</si>
  <si>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</si>
  <si>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</si>
  <si>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</si>
  <si>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</si>
  <si>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</si>
  <si>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</si>
  <si>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</si>
  <si>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</si>
  <si>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</si>
  <si>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</si>
  <si>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</si>
  <si>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</si>
  <si>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</si>
  <si>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</si>
  <si>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</si>
  <si>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</si>
  <si>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</si>
  <si>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</si>
  <si>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</si>
  <si>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</si>
  <si>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</si>
  <si>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</si>
  <si>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</si>
  <si>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</si>
  <si>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</si>
  <si>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</si>
  <si>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</si>
  <si>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</si>
  <si>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</si>
  <si>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</si>
  <si>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</si>
  <si>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</si>
  <si>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</si>
  <si>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</si>
  <si>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</si>
  <si>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</si>
  <si>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</si>
  <si>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</si>
  <si>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</si>
  <si>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</si>
  <si>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</si>
  <si>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</si>
  <si>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</si>
  <si>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</si>
  <si>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</si>
  <si>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</si>
  <si>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</si>
  <si>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</si>
  <si>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</si>
  <si>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</si>
  <si>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</si>
  <si>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</si>
  <si>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</si>
  <si>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</si>
  <si>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</si>
  <si>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</si>
  <si>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</si>
  <si>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</si>
  <si>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</si>
  <si>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</si>
  <si>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</si>
  <si>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</si>
  <si>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</si>
  <si>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</si>
  <si>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</si>
  <si>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</si>
  <si>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</si>
  <si>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</si>
  <si>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</si>
  <si>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</si>
  <si>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</si>
  <si>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</si>
  <si>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</si>
  <si>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</si>
  <si>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</si>
  <si>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</si>
  <si>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</si>
  <si>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</si>
  <si>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</si>
  <si>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</si>
  <si>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</si>
  <si>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</si>
  <si>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</si>
  <si>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</si>
  <si>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</si>
  <si>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</si>
  <si>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</si>
  <si>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</si>
  <si>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</si>
  <si>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</si>
  <si>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</si>
  <si>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</si>
  <si>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</si>
  <si>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</si>
  <si>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</si>
  <si>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</si>
  <si>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</si>
  <si>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</si>
  <si>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</si>
  <si>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</si>
  <si>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</si>
  <si>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</si>
  <si>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</si>
  <si>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</si>
  <si>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</si>
  <si>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</si>
  <si>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</si>
  <si>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</si>
  <si>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</si>
  <si>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</si>
  <si>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</si>
  <si>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</si>
  <si>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</si>
  <si>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</si>
  <si>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</si>
  <si>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</si>
  <si>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</si>
  <si>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</si>
  <si>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</si>
  <si>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</si>
  <si>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</si>
  <si>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</si>
  <si>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</si>
  <si>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</si>
  <si>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</si>
  <si>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</si>
  <si>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</si>
  <si>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</si>
  <si>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</si>
  <si>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</si>
  <si>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</si>
  <si>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</si>
  <si>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</si>
  <si>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</si>
  <si>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</si>
  <si>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</si>
  <si>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</si>
  <si>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</si>
  <si>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</si>
  <si>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</si>
  <si>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</si>
  <si>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</si>
  <si>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</si>
  <si>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</si>
  <si>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</si>
  <si>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</si>
  <si>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</si>
  <si>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</si>
  <si>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</si>
  <si>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</si>
  <si>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</si>
  <si>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</si>
  <si>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</si>
  <si>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</si>
  <si>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</si>
  <si>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</si>
  <si>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</si>
  <si>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</si>
  <si>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</si>
  <si>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</si>
  <si>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</si>
  <si>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</si>
  <si>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</si>
  <si>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</si>
  <si>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</si>
  <si>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</si>
  <si>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</si>
  <si>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</si>
  <si>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</si>
  <si>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</si>
  <si>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</si>
  <si>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</si>
  <si>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</si>
  <si>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</si>
  <si>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</si>
  <si>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</si>
  <si>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</si>
  <si>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</si>
  <si>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</si>
  <si>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</si>
  <si>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</si>
  <si>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</si>
  <si>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</si>
  <si>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</si>
  <si>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</si>
  <si>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</si>
  <si>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</si>
  <si>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</si>
  <si>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</si>
  <si>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</si>
  <si>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</si>
  <si>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</si>
  <si>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</si>
  <si>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</si>
  <si>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</si>
  <si>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</si>
  <si>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</si>
  <si>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</si>
  <si>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</si>
  <si>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</si>
  <si>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</si>
  <si>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</si>
  <si>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</si>
  <si>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</si>
  <si>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</si>
  <si>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</si>
  <si>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</si>
  <si>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</si>
  <si>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</si>
  <si>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</si>
  <si>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</si>
  <si>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</si>
  <si>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</si>
  <si>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</si>
  <si>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</si>
  <si>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</si>
  <si>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</si>
  <si>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</si>
  <si>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</si>
  <si>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</si>
  <si>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</si>
  <si>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</si>
  <si>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</si>
  <si>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</si>
  <si>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</si>
  <si>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</si>
  <si>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</si>
  <si>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</si>
  <si>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</si>
  <si>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</si>
  <si>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</si>
  <si>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</si>
  <si>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</si>
  <si>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</si>
  <si>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</si>
  <si>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</si>
  <si>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</si>
  <si>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</si>
  <si>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</si>
  <si>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</si>
  <si>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</si>
  <si>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</si>
  <si>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</si>
  <si>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</si>
  <si>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</si>
  <si>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</si>
  <si>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</si>
  <si>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</si>
  <si>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</si>
  <si>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</si>
  <si>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</si>
  <si>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</si>
  <si>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</si>
  <si>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</si>
  <si>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</si>
  <si>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</si>
  <si>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</si>
  <si>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</si>
  <si>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</si>
  <si>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</si>
  <si>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</si>
  <si>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</si>
  <si>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</si>
  <si>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</si>
  <si>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</si>
  <si>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</si>
  <si>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</si>
  <si>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</si>
  <si>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</si>
  <si>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</si>
  <si>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</si>
  <si>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</si>
  <si>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</si>
  <si>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</si>
  <si>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</si>
  <si>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</si>
  <si>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</si>
  <si>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</si>
  <si>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</si>
  <si>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</si>
  <si>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</si>
  <si>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</si>
  <si>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</si>
  <si>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</si>
  <si>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</si>
  <si>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</si>
  <si>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</si>
  <si>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</si>
  <si>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</si>
  <si>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</si>
  <si>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</si>
  <si>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</si>
  <si>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</si>
  <si>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</si>
  <si>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</si>
  <si>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</si>
  <si>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</si>
  <si>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</si>
  <si>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</si>
  <si>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</si>
  <si>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</si>
  <si>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</si>
  <si>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</si>
  <si>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</si>
  <si>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</si>
  <si>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</si>
  <si>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</si>
  <si>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</si>
  <si>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</si>
  <si>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</si>
  <si>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</si>
  <si>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</si>
  <si>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</si>
  <si>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</si>
  <si>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</si>
  <si>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</si>
  <si>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</si>
  <si>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</si>
  <si>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</si>
  <si>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</si>
  <si>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</si>
  <si>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</si>
  <si>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</si>
  <si>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</si>
  <si>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</si>
  <si>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</si>
  <si>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</si>
  <si>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</si>
  <si>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</si>
  <si>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</si>
  <si>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</si>
  <si>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</si>
  <si>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</si>
  <si>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</si>
  <si>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</si>
  <si>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</si>
  <si>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</si>
  <si>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</si>
  <si>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</si>
  <si>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</si>
  <si>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</si>
  <si>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</si>
  <si>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</si>
  <si>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</si>
  <si>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</si>
  <si>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</si>
  <si>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</si>
  <si>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</si>
  <si>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</si>
  <si>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</si>
  <si>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</si>
  <si>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</si>
  <si>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</si>
  <si>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</si>
  <si>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</si>
  <si>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</si>
  <si>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</si>
  <si>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</si>
  <si>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</si>
  <si>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</si>
  <si>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</si>
  <si>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</si>
  <si>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</si>
  <si>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</si>
  <si>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</si>
  <si>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</si>
  <si>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</si>
  <si>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</si>
  <si>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</si>
  <si>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</si>
  <si>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</si>
  <si>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</si>
  <si>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</si>
  <si>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</si>
  <si>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</si>
  <si>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</si>
  <si>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</si>
  <si>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</si>
  <si>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</si>
  <si>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</si>
  <si>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</si>
  <si>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</si>
  <si>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</si>
  <si>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</si>
  <si>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</si>
  <si>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</si>
  <si>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</si>
  <si>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</si>
  <si>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</si>
  <si>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</si>
  <si>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</si>
  <si>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</si>
  <si>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</si>
  <si>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</si>
  <si>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</si>
  <si>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</si>
  <si>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</si>
  <si>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</si>
  <si>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</si>
  <si>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</si>
  <si>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</si>
  <si>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</si>
  <si>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</si>
  <si>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</si>
  <si>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</si>
  <si>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</si>
  <si>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</si>
  <si>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</si>
  <si>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</si>
  <si>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</si>
  <si>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</si>
  <si>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</si>
  <si>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</si>
  <si>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</si>
  <si>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</si>
  <si>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</si>
  <si>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</si>
  <si>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</si>
  <si>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</si>
  <si>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</si>
  <si>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</si>
  <si>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</si>
  <si>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</si>
  <si>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</si>
  <si>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</si>
  <si>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</si>
  <si>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</si>
  <si>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</si>
  <si>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</si>
  <si>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</si>
  <si>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</si>
  <si>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</si>
  <si>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</si>
  <si>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</si>
  <si>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</si>
  <si>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</si>
  <si>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</si>
  <si>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</si>
  <si>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</si>
  <si>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</si>
  <si>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</si>
  <si>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</si>
  <si>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</si>
  <si>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</si>
  <si>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</si>
  <si>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</si>
  <si>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</si>
  <si>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</si>
  <si>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</si>
  <si>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</si>
  <si>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</si>
  <si>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</si>
  <si>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</si>
  <si>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</si>
  <si>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</si>
  <si>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</si>
  <si>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</si>
  <si>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</si>
  <si>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</si>
  <si>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</si>
  <si>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</si>
  <si>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</si>
  <si>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</si>
  <si>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</si>
  <si>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</si>
  <si>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</si>
  <si>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</si>
  <si>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</si>
  <si>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</si>
  <si>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</si>
  <si>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</si>
  <si>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</si>
  <si>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</si>
  <si>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</si>
  <si>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</si>
  <si>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</si>
  <si>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</si>
  <si>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</si>
  <si>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</si>
  <si>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</si>
  <si>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</si>
  <si>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</si>
  <si>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</si>
  <si>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</si>
  <si>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</si>
  <si>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</si>
  <si>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</si>
  <si>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</si>
  <si>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</si>
  <si>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</si>
  <si>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</si>
  <si>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</si>
  <si>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</si>
  <si>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</si>
  <si>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</si>
  <si>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</si>
  <si>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</si>
  <si>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</si>
  <si>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</si>
  <si>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</si>
  <si>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</si>
  <si>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</si>
  <si>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</si>
  <si>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</si>
  <si>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</si>
  <si>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</si>
  <si>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</si>
  <si>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</si>
  <si>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</si>
  <si>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</si>
  <si>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</si>
  <si>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</si>
  <si>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</si>
  <si>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</si>
  <si>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</si>
  <si>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</si>
  <si>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</si>
  <si>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</si>
  <si>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</si>
  <si>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</si>
  <si>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</si>
  <si>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</si>
  <si>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</si>
  <si>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</si>
  <si>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</si>
  <si>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</si>
  <si>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</si>
  <si>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</si>
  <si>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</si>
  <si>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</si>
  <si>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</si>
  <si>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</si>
  <si>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</si>
  <si>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</si>
  <si>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</si>
  <si>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</si>
  <si>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</si>
  <si>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</si>
  <si>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</si>
  <si>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</si>
  <si>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</si>
  <si>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</si>
  <si>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</si>
  <si>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</si>
  <si>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</si>
  <si>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</si>
  <si>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</si>
  <si>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</si>
  <si>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</si>
  <si>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</si>
  <si>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</si>
  <si>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</si>
  <si>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</si>
  <si>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</si>
  <si>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</si>
  <si>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</si>
  <si>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</si>
  <si>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</si>
  <si>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</si>
  <si>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</si>
  <si>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</si>
  <si>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</si>
  <si>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</si>
  <si>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</si>
  <si>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</si>
  <si>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</si>
  <si>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</si>
  <si>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</si>
  <si>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</si>
  <si>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</si>
  <si>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</si>
  <si>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</si>
  <si>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</si>
  <si>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</si>
  <si>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</si>
  <si>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</si>
  <si>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</si>
  <si>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</si>
  <si>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</si>
  <si>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</si>
  <si>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</si>
  <si>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</si>
  <si>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</si>
  <si>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</si>
  <si>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</si>
  <si>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</si>
  <si>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</si>
  <si>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</si>
  <si>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</si>
  <si>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</si>
  <si>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</si>
  <si>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</si>
  <si>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</si>
  <si>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</si>
  <si>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</si>
  <si>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</si>
  <si>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</si>
  <si>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</si>
  <si>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</si>
  <si>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</si>
  <si>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</si>
  <si>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</si>
  <si>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</si>
  <si>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</si>
  <si>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</si>
  <si>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</si>
  <si>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</si>
  <si>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</si>
  <si>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</si>
  <si>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</si>
  <si>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</si>
  <si>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</si>
  <si>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</si>
  <si>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</si>
  <si>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</si>
  <si>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</si>
  <si>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</si>
  <si>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</si>
  <si>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</si>
  <si>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</si>
  <si>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</si>
  <si>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</si>
  <si>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</si>
  <si>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</si>
  <si>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</si>
  <si>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</si>
  <si>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</si>
  <si>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</si>
  <si>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</si>
  <si>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</si>
  <si>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</si>
  <si>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</si>
  <si>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</si>
  <si>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</si>
  <si>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</si>
  <si>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</si>
  <si>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</si>
  <si>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</si>
  <si>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</si>
  <si>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</si>
  <si>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</si>
  <si>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</si>
  <si>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</si>
  <si>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</si>
  <si>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</si>
  <si>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</si>
  <si>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</si>
  <si>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</si>
  <si>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</si>
  <si>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</si>
  <si>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</si>
  <si>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</si>
  <si>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</si>
  <si>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</si>
  <si>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</si>
  <si>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</si>
  <si>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</si>
  <si>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</si>
  <si>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</si>
  <si>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</si>
  <si>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</si>
  <si>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</si>
  <si>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</si>
  <si>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</si>
  <si>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</si>
  <si>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</si>
  <si>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</si>
  <si>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</si>
  <si>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</si>
  <si>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</si>
  <si>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</si>
  <si>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</si>
  <si>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</si>
  <si>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</si>
  <si>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</si>
  <si>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</si>
  <si>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</si>
  <si>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</si>
  <si>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</si>
  <si>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</si>
  <si>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</si>
  <si>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</si>
  <si>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</si>
  <si>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</si>
  <si>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</si>
  <si>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</si>
  <si>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</si>
  <si>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</si>
  <si>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</si>
  <si>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</si>
  <si>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</si>
  <si>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</si>
  <si>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</si>
  <si>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</si>
  <si>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</si>
  <si>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</si>
  <si>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</si>
  <si>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</si>
  <si>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</si>
  <si>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</si>
  <si>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</si>
  <si>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</si>
  <si>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</si>
  <si>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</si>
  <si>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</si>
  <si>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</si>
  <si>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</si>
  <si>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</si>
  <si>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</si>
  <si>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</si>
  <si>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</si>
  <si>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</si>
  <si>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</si>
  <si>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</si>
  <si>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</si>
  <si>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</si>
  <si>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</si>
  <si>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</si>
  <si>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</si>
  <si>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</si>
  <si>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</si>
  <si>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</si>
  <si>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</si>
  <si>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</si>
  <si>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</si>
  <si>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</si>
  <si>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</si>
  <si>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</si>
  <si>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</si>
  <si>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</si>
  <si>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</si>
  <si>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</si>
  <si>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</si>
  <si>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</si>
  <si>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</si>
  <si>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</si>
  <si>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</si>
  <si>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</si>
  <si>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</si>
  <si>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</si>
  <si>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</si>
  <si>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</si>
  <si>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</si>
  <si>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</si>
  <si>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</si>
  <si>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</si>
  <si>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</si>
  <si>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</si>
  <si>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</si>
  <si>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</si>
  <si>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</si>
  <si>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</si>
  <si>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</si>
  <si>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</si>
  <si>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</si>
  <si>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</si>
  <si>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</si>
  <si>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</si>
  <si>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</si>
  <si>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</si>
  <si>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</si>
  <si>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</si>
  <si>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</si>
  <si>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</si>
  <si>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</si>
  <si>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</si>
  <si>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</si>
  <si>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</si>
  <si>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</si>
  <si>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</si>
  <si>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</si>
  <si>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</si>
  <si>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</si>
  <si>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</si>
  <si>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</si>
  <si>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</si>
  <si>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</si>
  <si>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</si>
  <si>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</si>
  <si>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</si>
  <si>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</si>
  <si>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</si>
  <si>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</si>
  <si>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</si>
  <si>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</si>
  <si>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</si>
  <si>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</si>
  <si>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</si>
  <si>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</si>
  <si>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</si>
  <si>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</si>
  <si>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</si>
  <si>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</si>
  <si>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</si>
  <si>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</si>
  <si>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</si>
  <si>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</si>
  <si>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</si>
  <si>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</si>
  <si>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</si>
  <si>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</si>
  <si>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</si>
  <si>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</si>
  <si>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</si>
  <si>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</si>
  <si>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</si>
  <si>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</si>
  <si>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</si>
  <si>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</si>
  <si>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</si>
  <si>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</si>
  <si>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</si>
  <si>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</si>
  <si>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</si>
  <si>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</si>
  <si>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</si>
  <si>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</si>
  <si>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</si>
  <si>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</si>
  <si>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</si>
  <si>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</si>
  <si>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</si>
  <si>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</si>
  <si>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</si>
  <si>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</si>
  <si>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</si>
  <si>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</si>
  <si>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</si>
  <si>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</si>
  <si>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</si>
  <si>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</si>
  <si>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</si>
  <si>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</si>
  <si>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</si>
  <si>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</si>
  <si>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</si>
  <si>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</si>
  <si>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</si>
  <si>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</si>
  <si>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</si>
  <si>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</si>
  <si>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</si>
  <si>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</si>
  <si>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</si>
  <si>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</si>
  <si>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</si>
  <si>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</si>
  <si>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</si>
  <si>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</si>
  <si>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</si>
  <si>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</si>
  <si>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</si>
  <si>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</si>
  <si>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</si>
  <si>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</si>
  <si>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</si>
  <si>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</si>
  <si>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</si>
  <si>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</si>
  <si>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</si>
  <si>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</si>
  <si>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</si>
  <si>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</si>
  <si>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</si>
  <si>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</si>
  <si>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</si>
  <si>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</si>
  <si>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</si>
  <si>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</si>
  <si>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</si>
  <si>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</si>
  <si>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</si>
  <si>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</si>
  <si>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</si>
  <si>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</si>
  <si>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</si>
  <si>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</si>
  <si>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</si>
  <si>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</si>
  <si>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</si>
  <si>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</si>
  <si>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</si>
  <si>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</si>
  <si>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</si>
  <si>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</si>
  <si>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</si>
  <si>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</si>
  <si>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</si>
  <si>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</si>
  <si>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</si>
  <si>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</si>
  <si>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</si>
  <si>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</si>
  <si>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</si>
  <si>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</si>
  <si>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</si>
  <si>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</si>
  <si>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</si>
  <si>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</si>
  <si>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</si>
  <si>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</si>
  <si>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</si>
  <si>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</si>
  <si>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</si>
  <si>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</si>
  <si>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</si>
  <si>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</si>
  <si>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</si>
  <si>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</si>
  <si>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</si>
  <si>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</si>
  <si>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</si>
  <si>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</si>
  <si>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</si>
  <si>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</si>
  <si>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</si>
  <si>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</si>
  <si>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</si>
  <si>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</si>
  <si>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</si>
  <si>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</si>
  <si>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</si>
  <si>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</si>
  <si>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</si>
  <si>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</si>
  <si>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</si>
  <si>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</si>
  <si>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</si>
  <si>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</si>
  <si>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</si>
  <si>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</si>
  <si>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</si>
  <si>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</si>
  <si>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</si>
  <si>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</si>
  <si>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</si>
  <si>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</si>
  <si>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</si>
  <si>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</si>
  <si>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</si>
  <si>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</si>
  <si>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</si>
  <si>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</si>
  <si>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</si>
  <si>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</si>
  <si>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</si>
  <si>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</si>
  <si>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</si>
  <si>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</si>
  <si>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</si>
  <si>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</si>
  <si>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</si>
  <si>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</si>
  <si>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</si>
  <si>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</si>
  <si>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</si>
  <si>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</si>
  <si>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</si>
  <si>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</si>
  <si>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</si>
  <si>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</si>
  <si>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</si>
  <si>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</si>
  <si>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</si>
  <si>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</si>
  <si>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</si>
  <si>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</si>
  <si>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</si>
  <si>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</si>
  <si>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</si>
  <si>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</si>
  <si>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</si>
  <si>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</si>
  <si>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</si>
  <si>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</si>
  <si>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</si>
  <si>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</si>
  <si>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</si>
  <si>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</si>
  <si>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</si>
  <si>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</si>
  <si>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</si>
  <si>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</si>
  <si>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</si>
  <si>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</si>
  <si>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</si>
  <si>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</si>
  <si>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</si>
  <si>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</si>
  <si>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</si>
  <si>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</si>
  <si>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</si>
  <si>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</si>
  <si>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</si>
  <si>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</si>
  <si>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</si>
  <si>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</si>
  <si>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</si>
  <si>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</si>
  <si>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</si>
  <si>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</si>
  <si>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</si>
  <si>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</si>
  <si>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</si>
  <si>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</si>
  <si>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</si>
  <si>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</si>
  <si>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</si>
  <si>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</si>
  <si>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</si>
  <si>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</si>
  <si>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</si>
  <si>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</si>
  <si>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</si>
  <si>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</si>
  <si>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</si>
  <si>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</si>
  <si>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</si>
  <si>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</si>
  <si>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</si>
  <si>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</si>
  <si>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</si>
  <si>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</si>
  <si>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</si>
  <si>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</si>
  <si>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</si>
  <si>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</si>
  <si>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</si>
  <si>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</si>
  <si>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</si>
  <si>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</si>
  <si>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</si>
  <si>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</si>
  <si>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</si>
  <si>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</si>
  <si>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</si>
  <si>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</si>
  <si>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</si>
  <si>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</si>
  <si>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</si>
  <si>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</si>
  <si>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</si>
  <si>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</si>
  <si>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</si>
  <si>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</si>
  <si>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</si>
  <si>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</si>
  <si>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</si>
  <si>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</si>
  <si>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</si>
  <si>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</si>
  <si>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</si>
  <si>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</si>
  <si>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</si>
  <si>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</si>
  <si>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</si>
  <si>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</si>
  <si>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</si>
  <si>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</si>
  <si>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</si>
  <si>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</si>
  <si>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</si>
  <si>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</si>
  <si>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</si>
  <si>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</si>
  <si>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</si>
  <si>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</si>
  <si>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</si>
  <si>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</si>
  <si>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</si>
  <si>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</si>
  <si>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</si>
  <si>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</si>
  <si>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</si>
  <si>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</si>
  <si>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</si>
  <si>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</si>
  <si>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</si>
  <si>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</si>
  <si>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</si>
  <si>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</si>
  <si>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</si>
  <si>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</si>
  <si>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</si>
  <si>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</si>
  <si>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</si>
  <si>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</si>
  <si>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</si>
  <si>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</si>
  <si>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</si>
  <si>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</si>
  <si>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</si>
  <si>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</si>
  <si>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</si>
  <si>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</si>
  <si>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</si>
  <si>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</si>
  <si>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</si>
  <si>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</si>
  <si>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</si>
  <si>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</si>
  <si>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</si>
  <si>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</si>
  <si>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</si>
  <si>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</si>
  <si>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</si>
  <si>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</si>
  <si>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</si>
  <si>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</si>
  <si>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</si>
  <si>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</si>
  <si>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</si>
  <si>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</si>
  <si>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</si>
  <si>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</si>
  <si>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</si>
  <si>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</si>
  <si>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</si>
  <si>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</si>
  <si>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</si>
  <si>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</si>
  <si>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</si>
  <si>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</si>
  <si>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</si>
  <si>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</si>
  <si>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</si>
  <si>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</si>
  <si>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</si>
  <si>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</si>
  <si>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</si>
  <si>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</si>
  <si>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</si>
  <si>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</si>
  <si>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</si>
  <si>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</si>
  <si>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</si>
  <si>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</si>
  <si>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</si>
  <si>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</si>
  <si>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</si>
  <si>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</si>
  <si>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</si>
  <si>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</si>
  <si>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</si>
  <si>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</si>
  <si>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</si>
  <si>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</si>
  <si>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</si>
  <si>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</si>
  <si>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</si>
  <si>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</si>
  <si>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</si>
  <si>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</si>
  <si>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</si>
  <si>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</si>
  <si>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</si>
  <si>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</si>
  <si>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</si>
  <si>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</si>
  <si>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</si>
  <si>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</si>
  <si>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</si>
  <si>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</si>
  <si>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</si>
  <si>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</si>
  <si>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</si>
  <si>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</si>
  <si>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</si>
  <si>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</si>
  <si>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</si>
  <si>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</si>
  <si>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</si>
  <si>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</si>
  <si>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</si>
  <si>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</si>
  <si>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</si>
  <si>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</si>
  <si>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</si>
  <si>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</si>
  <si>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</si>
  <si>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</si>
  <si>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</si>
  <si>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</si>
  <si>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</si>
  <si>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</si>
  <si>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</si>
  <si>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</si>
  <si>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</si>
  <si>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</si>
  <si>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</si>
  <si>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</si>
  <si>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</si>
  <si>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</si>
  <si>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</si>
  <si>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</si>
  <si>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</si>
  <si>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</si>
  <si>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</si>
  <si>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</si>
  <si>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</si>
  <si>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</si>
  <si>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</si>
  <si>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</si>
  <si>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</si>
  <si>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</si>
  <si>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</si>
  <si>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</si>
  <si>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</si>
  <si>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</si>
  <si>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</si>
  <si>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</si>
  <si>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</si>
  <si>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</si>
  <si>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</si>
  <si>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</si>
  <si>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</si>
  <si>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</si>
  <si>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</si>
  <si>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</si>
  <si>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</si>
  <si>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</si>
  <si>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</si>
  <si>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</si>
  <si>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</si>
  <si>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</si>
  <si>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</si>
  <si>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</si>
  <si>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</si>
  <si>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</si>
  <si>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</si>
  <si>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</si>
  <si>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</si>
  <si>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</si>
  <si>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</si>
  <si>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</si>
  <si>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</si>
  <si>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</si>
  <si>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</si>
  <si>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</si>
  <si>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</si>
  <si>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</si>
  <si>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</si>
  <si>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</si>
  <si>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</si>
  <si>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</si>
  <si>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</si>
  <si>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</si>
  <si>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</si>
  <si>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</si>
  <si>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</si>
  <si>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</si>
  <si>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</si>
  <si>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</si>
  <si>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</si>
  <si>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</si>
  <si>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</si>
  <si>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</si>
  <si>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</si>
  <si>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</si>
  <si>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</si>
  <si>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</si>
  <si>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</si>
  <si>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</si>
  <si>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</si>
  <si>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</si>
  <si>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</si>
  <si>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</si>
  <si>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</si>
  <si>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</si>
  <si>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</si>
  <si>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</si>
  <si>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</si>
  <si>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</si>
  <si>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</si>
  <si>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</si>
  <si>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</si>
  <si>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</si>
  <si>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</si>
  <si>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</si>
  <si>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</si>
  <si>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</si>
  <si>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</si>
  <si>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</si>
  <si>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</si>
  <si>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</si>
  <si>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</si>
  <si>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</si>
  <si>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</si>
  <si>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</si>
  <si>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</si>
  <si>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</si>
  <si>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</si>
  <si>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</si>
  <si>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</si>
  <si>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</si>
  <si>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</si>
  <si>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</si>
  <si>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</si>
  <si>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</si>
  <si>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</si>
  <si>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</si>
  <si>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</si>
  <si>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</si>
  <si>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</si>
  <si>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</si>
  <si>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</si>
  <si>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</si>
  <si>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</si>
  <si>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</si>
  <si>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</si>
  <si>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</si>
  <si>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</si>
  <si>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</si>
  <si>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</si>
  <si>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</si>
  <si>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</si>
  <si>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</si>
  <si>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</si>
  <si>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</si>
  <si>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</si>
  <si>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</si>
  <si>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</si>
  <si>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</si>
  <si>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</si>
  <si>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</si>
  <si>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</si>
  <si>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</si>
  <si>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</si>
  <si>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</si>
  <si>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</si>
  <si>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</si>
  <si>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</si>
  <si>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</si>
  <si>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</si>
  <si>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</si>
  <si>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</si>
  <si>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</si>
  <si>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</si>
  <si>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</si>
  <si>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</si>
  <si>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</si>
  <si>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</si>
  <si>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</si>
  <si>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</si>
  <si>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</si>
  <si>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</si>
  <si>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</si>
  <si>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</si>
  <si>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</si>
  <si>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</si>
  <si>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</si>
  <si>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</si>
  <si>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</si>
  <si>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</si>
  <si>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</si>
  <si>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</si>
  <si>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</si>
  <si>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</si>
  <si>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</si>
  <si>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</si>
  <si>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</si>
  <si>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</si>
  <si>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</si>
  <si>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</si>
  <si>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</si>
  <si>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</si>
  <si>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</si>
  <si>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</si>
  <si>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</si>
  <si>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</si>
  <si>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</si>
  <si>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</si>
  <si>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</si>
  <si>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</si>
  <si>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</si>
  <si>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</si>
  <si>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</si>
  <si>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</si>
  <si>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</si>
  <si>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</si>
  <si>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</si>
  <si>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</si>
  <si>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</si>
  <si>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</si>
  <si>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</si>
  <si>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</si>
  <si>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</si>
  <si>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</si>
  <si>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</si>
  <si>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</si>
  <si>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</si>
  <si>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</si>
  <si>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</si>
  <si>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</si>
  <si>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</si>
  <si>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</si>
  <si>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</si>
  <si>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</si>
  <si>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</si>
  <si>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</si>
  <si>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</si>
  <si>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</si>
  <si>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</si>
  <si>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</si>
  <si>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</si>
  <si>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</si>
  <si>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</si>
  <si>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</si>
  <si>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</si>
  <si>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</si>
  <si>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</si>
  <si>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</si>
  <si>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</si>
  <si>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</si>
  <si>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</si>
  <si>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</si>
  <si>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</si>
  <si>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</si>
  <si>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</si>
  <si>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</si>
  <si>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</si>
  <si>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</si>
  <si>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</si>
  <si>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</si>
  <si>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</si>
  <si>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</si>
  <si>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</si>
  <si>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</si>
  <si>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</si>
  <si>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</si>
  <si>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</si>
  <si>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</si>
  <si>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</si>
  <si>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</si>
  <si>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</si>
  <si>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</si>
  <si>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</si>
  <si>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</si>
  <si>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</si>
  <si>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</si>
  <si>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</si>
  <si>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</si>
  <si>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</si>
  <si>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</si>
  <si>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</si>
  <si>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</si>
  <si>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</si>
  <si>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</si>
  <si>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</si>
  <si>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</si>
  <si>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</si>
  <si>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</si>
  <si>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</si>
  <si>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</si>
  <si>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</si>
  <si>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</si>
  <si>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</si>
  <si>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</si>
  <si>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</si>
  <si>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</si>
  <si>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</si>
  <si>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</si>
  <si>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</si>
  <si>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</si>
  <si>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</si>
  <si>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</si>
  <si>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</si>
  <si>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</si>
  <si>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</si>
  <si>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</si>
  <si>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</si>
  <si>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</si>
  <si>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</si>
  <si>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</si>
  <si>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</si>
  <si>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</si>
  <si>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</si>
  <si>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</si>
  <si>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</si>
  <si>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</si>
  <si>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</si>
  <si>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</si>
  <si>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</si>
  <si>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</si>
  <si>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</si>
  <si>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</si>
  <si>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</si>
  <si>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</si>
  <si>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</si>
  <si>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</si>
  <si>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</si>
  <si>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</si>
  <si>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</si>
  <si>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</si>
  <si>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</si>
  <si>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</si>
  <si>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</si>
  <si>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</si>
  <si>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</si>
  <si>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</si>
  <si>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</si>
  <si>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</si>
  <si>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</si>
  <si>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</si>
  <si>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</si>
  <si>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</si>
  <si>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</si>
  <si>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</si>
  <si>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</si>
  <si>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</si>
  <si>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</si>
  <si>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</si>
  <si>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</si>
  <si>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</si>
  <si>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</si>
  <si>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</si>
  <si>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</si>
  <si>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</si>
  <si>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</si>
  <si>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</si>
  <si>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</si>
  <si>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</si>
  <si>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</si>
  <si>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</si>
  <si>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</si>
  <si>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</si>
  <si>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</si>
  <si>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</si>
  <si>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</si>
  <si>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</si>
  <si>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</si>
  <si>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</si>
  <si>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</si>
  <si>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</si>
  <si>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</si>
  <si>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</si>
  <si>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</si>
  <si>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</si>
  <si>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</si>
  <si>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</si>
  <si>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</si>
  <si>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</si>
  <si>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</si>
  <si>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</si>
  <si>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</si>
  <si>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</si>
  <si>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</si>
  <si>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</si>
  <si>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</si>
  <si>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</si>
  <si>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</si>
  <si>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</si>
  <si>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</si>
  <si>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</si>
  <si>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</si>
  <si>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</si>
  <si>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</si>
  <si>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</si>
  <si>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</si>
  <si>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</si>
  <si>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</si>
  <si>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</si>
  <si>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</si>
  <si>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</si>
  <si>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</si>
  <si>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</si>
  <si>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</si>
  <si>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</si>
  <si>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</si>
  <si>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</si>
  <si>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</si>
  <si>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</si>
  <si>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</si>
  <si>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</si>
  <si>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</si>
  <si>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</si>
  <si>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</si>
  <si>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</si>
  <si>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</si>
  <si>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</si>
  <si>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</si>
  <si>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</si>
  <si>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</si>
  <si>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</si>
  <si>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</si>
  <si>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</si>
  <si>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</si>
  <si>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</si>
  <si>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</si>
  <si>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</si>
  <si>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</si>
  <si>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</si>
  <si>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</si>
  <si>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</si>
  <si>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</si>
  <si>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</si>
  <si>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</si>
  <si>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</si>
  <si>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</si>
  <si>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</si>
  <si>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</si>
  <si>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</si>
  <si>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</si>
  <si>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</si>
  <si>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</si>
  <si>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</si>
  <si>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</si>
  <si>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</si>
  <si>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</si>
  <si>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</si>
  <si>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</si>
  <si>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</si>
  <si>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</si>
  <si>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</si>
  <si>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</si>
  <si>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</si>
  <si>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</si>
  <si>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</si>
  <si>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</si>
  <si>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</si>
  <si>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</si>
  <si>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</si>
  <si>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</si>
  <si>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</si>
  <si>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</si>
  <si>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</si>
  <si>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</si>
  <si>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</si>
  <si>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</si>
  <si>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</si>
  <si>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</si>
  <si>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</si>
  <si>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</si>
  <si>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</si>
  <si>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</si>
  <si>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</si>
  <si>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</si>
  <si>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</si>
  <si>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</si>
  <si>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</si>
  <si>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</si>
  <si>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</si>
  <si>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</si>
  <si>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</si>
  <si>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</si>
  <si>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</si>
  <si>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</si>
  <si>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</si>
  <si>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</si>
  <si>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</si>
  <si>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</si>
  <si>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</si>
  <si>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</si>
  <si>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</si>
  <si>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</si>
  <si>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</si>
  <si>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</si>
  <si>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</si>
  <si>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</si>
  <si>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</si>
  <si>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</si>
  <si>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</si>
  <si>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</si>
  <si>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</si>
  <si>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</si>
  <si>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</si>
  <si>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</si>
  <si>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</si>
  <si>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</si>
  <si>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</si>
  <si>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</si>
  <si>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</si>
  <si>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</si>
  <si>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</si>
  <si>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</si>
  <si>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</si>
  <si>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</si>
  <si>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</si>
  <si>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</si>
  <si>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</si>
  <si>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</si>
  <si>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</si>
  <si>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</si>
  <si>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</si>
  <si>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</si>
  <si>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</si>
  <si>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</si>
  <si>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</si>
  <si>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</si>
  <si>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</si>
  <si>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</si>
  <si>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</si>
  <si>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</si>
  <si>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</si>
  <si>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</si>
  <si>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</si>
  <si>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</si>
  <si>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</si>
  <si>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</si>
  <si>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</si>
  <si>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</si>
  <si>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</si>
  <si>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</si>
  <si>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</si>
  <si>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</si>
  <si>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</si>
  <si>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</si>
  <si>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</si>
  <si>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</si>
  <si>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</si>
  <si>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</si>
  <si>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</si>
  <si>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</si>
  <si>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</si>
  <si>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</si>
  <si>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</si>
  <si>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</si>
  <si>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</si>
  <si>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</si>
  <si>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</si>
  <si>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</si>
  <si>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</si>
  <si>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</si>
  <si>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</si>
  <si>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</si>
  <si>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</si>
  <si>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</si>
  <si>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</si>
  <si>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</si>
  <si>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</si>
  <si>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</si>
  <si>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</si>
  <si>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</si>
  <si>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</si>
  <si>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</si>
  <si>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</si>
  <si>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</si>
  <si>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</si>
  <si>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</si>
  <si>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</si>
  <si>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</si>
  <si>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</si>
  <si>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</si>
  <si>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</si>
  <si>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</si>
  <si>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</si>
  <si>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</si>
  <si>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</si>
  <si>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</si>
  <si>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</si>
  <si>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</si>
  <si>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</si>
  <si>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</si>
  <si>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</si>
  <si>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</si>
  <si>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</si>
  <si>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</si>
  <si>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</si>
  <si>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</si>
  <si>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</si>
  <si>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</si>
  <si>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</si>
  <si>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</si>
  <si>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</si>
  <si>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</si>
  <si>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</si>
  <si>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</si>
  <si>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</si>
  <si>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</si>
  <si>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</si>
  <si>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</si>
  <si>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</si>
  <si>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</si>
  <si>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</si>
  <si>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</si>
  <si>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</si>
  <si>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</si>
  <si>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</si>
  <si>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</si>
  <si>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</si>
  <si>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</si>
  <si>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</si>
  <si>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</si>
  <si>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</si>
  <si>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</si>
  <si>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</si>
  <si>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</si>
  <si>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</si>
  <si>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</si>
  <si>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</si>
  <si>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</si>
  <si>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</si>
  <si>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</si>
  <si>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</si>
  <si>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</si>
  <si>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</si>
  <si>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</si>
  <si>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</si>
  <si>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</si>
  <si>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</si>
  <si>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</si>
  <si>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</si>
  <si>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</si>
  <si>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</si>
  <si>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</si>
  <si>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</si>
  <si>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</si>
  <si>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</si>
  <si>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</si>
  <si>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</si>
  <si>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</si>
  <si>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</si>
  <si>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</si>
  <si>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</si>
  <si>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</si>
  <si>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</si>
  <si>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</si>
  <si>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</si>
  <si>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</si>
  <si>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</si>
  <si>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</si>
  <si>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</si>
  <si>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</si>
  <si>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</si>
  <si>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</si>
  <si>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</si>
  <si>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</si>
  <si>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</si>
  <si>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</si>
  <si>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</si>
  <si>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</si>
  <si>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</si>
  <si>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</si>
  <si>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</si>
  <si>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</si>
  <si>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</si>
  <si>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</si>
  <si>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</si>
  <si>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</si>
  <si>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</si>
  <si>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</si>
  <si>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</si>
  <si>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</si>
  <si>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</si>
  <si>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</si>
  <si>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</si>
  <si>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</si>
  <si>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</si>
  <si>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</si>
  <si>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</si>
  <si>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</si>
  <si>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</si>
  <si>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</si>
  <si>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</si>
  <si>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</si>
  <si>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</si>
  <si>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</si>
  <si>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</si>
  <si>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</si>
  <si>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</si>
  <si>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</si>
  <si>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</si>
  <si>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</si>
  <si>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</si>
  <si>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</si>
  <si>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</si>
  <si>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</si>
  <si>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</si>
  <si>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</si>
  <si>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</si>
  <si>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</si>
  <si>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</si>
  <si>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</si>
  <si>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</si>
  <si>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</si>
  <si>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</si>
  <si>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</si>
  <si>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</si>
  <si>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</si>
  <si>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</si>
  <si>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</si>
  <si>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</si>
  <si>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</si>
  <si>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</si>
  <si>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</si>
  <si>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</si>
  <si>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</si>
  <si>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</si>
  <si>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</si>
  <si>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</si>
  <si>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</si>
  <si>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</si>
  <si>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</si>
  <si>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</si>
  <si>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</si>
  <si>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</si>
  <si>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</si>
  <si>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</si>
  <si>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</si>
  <si>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</si>
  <si>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</si>
  <si>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</si>
  <si>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</si>
  <si>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</si>
  <si>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</si>
  <si>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</si>
  <si>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</si>
  <si>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</si>
  <si>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</si>
  <si>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</si>
  <si>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</si>
  <si>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</si>
  <si>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</si>
  <si>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</si>
  <si>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</si>
  <si>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</si>
  <si>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</si>
  <si>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</si>
  <si>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</si>
  <si>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</si>
  <si>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</si>
  <si>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</si>
  <si>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</si>
  <si>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</si>
  <si>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</si>
  <si>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</si>
  <si>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</si>
  <si>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</si>
  <si>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</si>
  <si>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</si>
  <si>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</si>
  <si>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</si>
  <si>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</si>
  <si>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</si>
  <si>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</si>
  <si>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</si>
  <si>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</si>
  <si>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</si>
  <si>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</si>
  <si>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</si>
  <si>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</si>
  <si>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</si>
  <si>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</si>
  <si>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</si>
  <si>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</si>
  <si>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</si>
  <si>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</si>
  <si>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</si>
  <si>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</si>
  <si>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</si>
  <si>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</si>
  <si>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</si>
  <si>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</si>
  <si>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</si>
  <si>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</si>
  <si>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</si>
  <si>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</si>
  <si>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</si>
  <si>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</si>
  <si>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</si>
  <si>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</si>
  <si>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</si>
  <si>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</si>
  <si>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</si>
  <si>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</si>
  <si>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</si>
  <si>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</si>
  <si>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</si>
  <si>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</si>
  <si>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</si>
  <si>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</si>
  <si>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</si>
  <si>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</si>
  <si>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</si>
  <si>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</si>
  <si>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</si>
  <si>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</si>
  <si>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</si>
  <si>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</si>
  <si>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</si>
  <si>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</si>
  <si>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</si>
  <si>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</si>
  <si>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</si>
  <si>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</si>
  <si>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</si>
  <si>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</si>
  <si>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</si>
  <si>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</si>
  <si>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</si>
  <si>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</si>
  <si>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</si>
  <si>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</si>
  <si>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</si>
  <si>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</si>
  <si>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</si>
  <si>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</si>
  <si>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</si>
  <si>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</si>
  <si>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</si>
  <si>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</si>
  <si>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</si>
  <si>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</si>
  <si>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</si>
  <si>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</si>
  <si>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</si>
  <si>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</si>
  <si>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</si>
  <si>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</si>
  <si>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</si>
  <si>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</si>
  <si>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</si>
  <si>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</si>
  <si>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</si>
  <si>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</si>
  <si>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</si>
  <si>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</si>
  <si>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</si>
  <si>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</si>
  <si>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</si>
  <si>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</si>
  <si>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</si>
  <si>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</si>
  <si>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</si>
  <si>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</si>
  <si>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</si>
  <si>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</si>
  <si>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</si>
  <si>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</si>
  <si>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</si>
  <si>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</si>
  <si>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</si>
  <si>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</si>
  <si>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</si>
  <si>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</si>
  <si>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</si>
  <si>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</si>
  <si>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</si>
  <si>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</si>
  <si>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</si>
  <si>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</si>
  <si>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</si>
  <si>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</si>
  <si>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</si>
  <si>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</si>
  <si>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</si>
  <si>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</si>
  <si>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</si>
  <si>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</si>
  <si>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</si>
  <si>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</si>
  <si>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</si>
  <si>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</si>
  <si>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</si>
  <si>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</si>
  <si>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</si>
  <si>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</si>
  <si>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</si>
  <si>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</si>
  <si>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</si>
  <si>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</si>
  <si>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</si>
  <si>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</si>
  <si>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</si>
  <si>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</si>
  <si>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</si>
  <si>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</si>
  <si>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</si>
  <si>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</si>
  <si>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</si>
  <si>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</si>
  <si>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</si>
  <si>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</si>
  <si>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</si>
  <si>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</si>
  <si>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</si>
  <si>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</si>
  <si>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</si>
  <si>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</si>
  <si>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</si>
  <si>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</si>
  <si>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</si>
  <si>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</si>
  <si>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</si>
  <si>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</si>
  <si>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</si>
  <si>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</si>
  <si>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</si>
  <si>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</si>
  <si>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</si>
  <si>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</si>
  <si>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</si>
  <si>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</si>
  <si>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</si>
  <si>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</si>
  <si>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</si>
  <si>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</si>
  <si>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</si>
  <si>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</si>
  <si>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</si>
  <si>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</si>
  <si>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</si>
  <si>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</si>
  <si>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</si>
  <si>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</si>
  <si>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</si>
  <si>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</si>
  <si>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</si>
  <si>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</si>
  <si>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</si>
  <si>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</si>
  <si>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</si>
  <si>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</si>
  <si>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</si>
  <si>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</si>
  <si>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</si>
  <si>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</si>
  <si>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</si>
  <si>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</si>
  <si>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</si>
  <si>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</si>
  <si>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</si>
  <si>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</si>
  <si>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</si>
  <si>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</si>
  <si>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</si>
  <si>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</si>
  <si>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</si>
  <si>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</si>
  <si>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</si>
  <si>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</si>
  <si>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</si>
  <si>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</si>
  <si>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</si>
  <si>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</si>
  <si>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</si>
  <si>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</si>
  <si>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</si>
  <si>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</si>
  <si>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</si>
  <si>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</si>
  <si>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</si>
  <si>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</si>
  <si>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</si>
  <si>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</si>
  <si>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</si>
  <si>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</si>
  <si>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</si>
  <si>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</si>
  <si>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</si>
  <si>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</si>
  <si>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</si>
  <si>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</si>
  <si>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</si>
  <si>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</si>
  <si>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</si>
  <si>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</si>
  <si>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</si>
  <si>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</si>
  <si>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</si>
  <si>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</si>
  <si>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</si>
  <si>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</si>
  <si>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</si>
  <si>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</si>
  <si>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</si>
  <si>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</si>
  <si>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</si>
  <si>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</si>
  <si>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</si>
  <si>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</si>
  <si>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</si>
  <si>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</si>
  <si>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</si>
  <si>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</si>
  <si>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</si>
  <si>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</si>
  <si>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</si>
  <si>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</si>
  <si>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</si>
  <si>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</si>
  <si>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</si>
  <si>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</si>
  <si>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</si>
  <si>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</si>
  <si>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</si>
  <si>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</si>
  <si>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</si>
  <si>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</si>
  <si>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</si>
  <si>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</si>
  <si>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</si>
  <si>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</si>
  <si>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</si>
  <si>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</si>
  <si>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</si>
  <si>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</si>
  <si>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</si>
  <si>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</si>
  <si>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</si>
  <si>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</si>
  <si>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</si>
  <si>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</si>
  <si>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</si>
  <si>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</si>
  <si>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</si>
  <si>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</si>
  <si>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</si>
  <si>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</si>
  <si>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</si>
  <si>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</si>
  <si>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</si>
  <si>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</si>
  <si>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</si>
  <si>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</si>
  <si>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</si>
  <si>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</si>
  <si>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</si>
  <si>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</si>
  <si>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</si>
  <si>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</si>
  <si>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</si>
  <si>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</si>
  <si>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</si>
  <si>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</si>
  <si>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</si>
  <si>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</si>
  <si>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</si>
  <si>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</si>
  <si>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</si>
  <si>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</si>
  <si>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</si>
  <si>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</si>
  <si>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</si>
  <si>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</si>
  <si>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</si>
  <si>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</si>
  <si>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</si>
  <si>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</si>
  <si>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</si>
  <si>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</si>
  <si>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</si>
  <si>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</si>
  <si>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</si>
  <si>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</si>
  <si>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</si>
  <si>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</si>
  <si>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</si>
  <si>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</si>
  <si>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</si>
  <si>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</si>
  <si>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</si>
  <si>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</si>
  <si>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</si>
  <si>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</si>
  <si>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</si>
  <si>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</si>
  <si>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</si>
  <si>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</si>
  <si>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</si>
  <si>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</si>
  <si>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</si>
  <si>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</si>
  <si>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</si>
  <si>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</si>
  <si>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</si>
  <si>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</si>
  <si>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</si>
  <si>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</si>
  <si>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</si>
  <si>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</si>
  <si>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</si>
  <si>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</si>
  <si>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</si>
  <si>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</si>
  <si>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</si>
  <si>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</si>
  <si>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</si>
  <si>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</si>
  <si>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</si>
  <si>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</si>
  <si>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</si>
  <si>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</si>
  <si>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</si>
  <si>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</si>
  <si>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</si>
  <si>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</si>
  <si>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</si>
  <si>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</si>
  <si>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</si>
  <si>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</si>
  <si>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</si>
  <si>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</si>
  <si>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</si>
  <si>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</si>
  <si>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</si>
  <si>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</si>
  <si>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</si>
  <si>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</si>
  <si>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</si>
  <si>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</si>
  <si>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</si>
  <si>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</si>
  <si>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</si>
  <si>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</si>
  <si>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</si>
  <si>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</si>
  <si>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</si>
  <si>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</si>
  <si>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</si>
  <si>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</si>
  <si>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</si>
  <si>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</si>
  <si>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</si>
  <si>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</si>
  <si>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</si>
  <si>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</si>
  <si>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</si>
  <si>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</si>
  <si>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</si>
  <si>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</si>
  <si>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</si>
  <si>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</si>
  <si>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</si>
  <si>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</si>
  <si>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</si>
  <si>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</si>
  <si>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</si>
  <si>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</si>
  <si>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</si>
  <si>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</si>
  <si>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</si>
  <si>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</si>
  <si>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</si>
  <si>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</si>
  <si>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</si>
  <si>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</si>
  <si>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</si>
  <si>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</si>
  <si>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</si>
  <si>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</si>
  <si>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</si>
  <si>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</si>
  <si>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</si>
  <si>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</si>
  <si>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</si>
  <si>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</si>
  <si>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</si>
  <si>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</si>
  <si>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</si>
  <si>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</si>
  <si>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</si>
  <si>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</si>
  <si>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</si>
  <si>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</si>
  <si>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</si>
  <si>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</si>
  <si>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</si>
  <si>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</si>
  <si>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</si>
  <si>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</si>
  <si>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</si>
  <si>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</si>
  <si>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</si>
  <si>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</si>
  <si>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</si>
  <si>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</si>
  <si>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</si>
  <si>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</si>
  <si>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</si>
  <si>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</si>
  <si>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</si>
  <si>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</si>
  <si>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</si>
  <si>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</si>
  <si>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</si>
  <si>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</si>
  <si>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</si>
  <si>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</si>
  <si>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</si>
  <si>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</si>
  <si>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</si>
  <si>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</si>
  <si>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</si>
  <si>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</si>
  <si>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</si>
  <si>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</si>
  <si>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</si>
  <si>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</si>
  <si>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</si>
  <si>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</si>
  <si>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</si>
  <si>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</si>
  <si>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</si>
  <si>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</si>
  <si>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</si>
  <si>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</si>
  <si>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</si>
  <si>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</si>
  <si>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</si>
  <si>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</si>
  <si>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</si>
  <si>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</si>
  <si>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</si>
  <si>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</si>
  <si>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</si>
  <si>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</si>
  <si>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</si>
  <si>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</si>
  <si>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</si>
  <si>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</si>
  <si>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</si>
  <si>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</si>
  <si>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</si>
  <si>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</si>
  <si>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</si>
  <si>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</si>
  <si>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</si>
  <si>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</si>
  <si>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</si>
  <si>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</si>
  <si>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</si>
  <si>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</si>
  <si>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</si>
  <si>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</si>
  <si>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</si>
  <si>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</si>
  <si>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</si>
  <si>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</si>
  <si>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</si>
  <si>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</si>
  <si>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</si>
  <si>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</si>
  <si>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</si>
  <si>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</si>
  <si>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</si>
  <si>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</si>
  <si>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</si>
  <si>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</si>
  <si>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</si>
  <si>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</si>
  <si>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</si>
  <si>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</si>
  <si>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</si>
  <si>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</si>
  <si>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</si>
  <si>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</si>
  <si>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</si>
  <si>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</si>
  <si>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</si>
  <si>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</si>
  <si>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</si>
  <si>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</si>
  <si>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</si>
  <si>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</si>
  <si>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</si>
  <si>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</si>
  <si>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</si>
  <si>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</si>
  <si>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</si>
  <si>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</si>
  <si>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</si>
  <si>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</si>
  <si>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</si>
  <si>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</si>
  <si>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</si>
  <si>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</si>
  <si>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</si>
  <si>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</si>
  <si>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</si>
  <si>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</si>
  <si>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</si>
  <si>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</si>
  <si>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</si>
  <si>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</si>
  <si>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</si>
  <si>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</si>
  <si>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</si>
  <si>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</si>
  <si>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</si>
  <si>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</si>
  <si>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</si>
  <si>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</si>
  <si>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</si>
  <si>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</si>
  <si>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</si>
  <si>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</si>
  <si>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</si>
  <si>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</si>
  <si>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</si>
  <si>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</si>
  <si>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</si>
  <si>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</si>
  <si>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</si>
  <si>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</si>
  <si>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</si>
  <si>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</si>
  <si>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</si>
  <si>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</si>
  <si>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</si>
  <si>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</si>
  <si>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</si>
  <si>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</si>
  <si>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</si>
  <si>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</si>
  <si>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</si>
  <si>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</si>
  <si>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</si>
  <si>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</si>
  <si>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</si>
  <si>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</si>
  <si>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</si>
  <si>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</si>
  <si>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</si>
  <si>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</si>
  <si>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</si>
  <si>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</si>
  <si>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</si>
  <si>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</si>
  <si>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</si>
  <si>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</si>
  <si>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</si>
  <si>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</si>
  <si>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</si>
  <si>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</si>
  <si>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</si>
  <si>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</si>
  <si>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</si>
  <si>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</si>
  <si>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</si>
  <si>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</si>
  <si>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</si>
  <si>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</si>
  <si>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</si>
  <si>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</si>
  <si>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</si>
  <si>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</si>
  <si>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</si>
  <si>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</si>
  <si>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</si>
  <si>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</si>
  <si>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</si>
  <si>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</si>
  <si>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</si>
  <si>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</si>
  <si>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</si>
  <si>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</si>
  <si>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</si>
  <si>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</si>
  <si>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</si>
  <si>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</si>
  <si>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</si>
  <si>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</si>
  <si>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</si>
  <si>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</si>
  <si>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</si>
  <si>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</si>
  <si>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</si>
  <si>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</si>
  <si>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</si>
  <si>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</si>
  <si>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</si>
  <si>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</si>
  <si>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</si>
  <si>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</si>
  <si>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</si>
  <si>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</si>
  <si>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</si>
  <si>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</si>
  <si>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</si>
  <si>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</si>
  <si>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</si>
  <si>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</si>
  <si>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</si>
  <si>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</si>
  <si>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</si>
  <si>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</si>
  <si>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</si>
  <si>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</si>
  <si>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</si>
  <si>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</si>
  <si>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</si>
  <si>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</si>
  <si>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</si>
  <si>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</si>
  <si>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</si>
  <si>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</si>
  <si>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</si>
  <si>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</si>
  <si>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</si>
  <si>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</si>
  <si>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</si>
  <si>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</si>
  <si>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</si>
  <si>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</si>
  <si>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</si>
  <si>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</si>
  <si>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</si>
  <si>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</si>
  <si>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</si>
  <si>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</si>
  <si>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</si>
  <si>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</si>
  <si>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</si>
  <si>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</si>
  <si>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</si>
  <si>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</si>
  <si>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</si>
  <si>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</si>
  <si>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</si>
  <si>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</si>
  <si>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</si>
  <si>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</si>
  <si>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</si>
  <si>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</si>
  <si>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</si>
  <si>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</si>
  <si>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</si>
  <si>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</si>
  <si>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</si>
  <si>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</si>
  <si>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</si>
  <si>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</si>
  <si>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</si>
  <si>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</si>
  <si>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</si>
  <si>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</si>
  <si>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</si>
  <si>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</si>
  <si>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</si>
  <si>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</si>
  <si>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</si>
  <si>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</si>
  <si>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</si>
  <si>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</si>
  <si>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</si>
  <si>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</si>
  <si>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</si>
  <si>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</si>
  <si>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</si>
  <si>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</si>
  <si>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</si>
  <si>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</si>
  <si>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</si>
  <si>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</si>
  <si>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</si>
  <si>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</si>
  <si>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</si>
  <si>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</si>
  <si>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</si>
  <si>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</si>
  <si>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</si>
  <si>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</si>
  <si>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</si>
  <si>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</si>
  <si>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</si>
  <si>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</si>
  <si>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</si>
  <si>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</si>
  <si>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</si>
  <si>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</si>
  <si>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</si>
  <si>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</si>
  <si>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</si>
  <si>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</si>
  <si>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</si>
  <si>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</si>
  <si>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</si>
  <si>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</si>
  <si>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</si>
  <si>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</si>
  <si>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</si>
  <si>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</si>
  <si>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</si>
  <si>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</si>
  <si>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</si>
  <si>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</si>
  <si>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</si>
  <si>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</si>
  <si>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</si>
  <si>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</si>
  <si>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</si>
  <si>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</si>
  <si>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</si>
  <si>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</si>
  <si>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</si>
  <si>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</si>
  <si>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</si>
  <si>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</si>
  <si>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</si>
  <si>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</si>
  <si>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</si>
  <si>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</si>
  <si>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</si>
  <si>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</si>
  <si>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</si>
  <si>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</si>
  <si>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</si>
  <si>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</si>
  <si>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</si>
  <si>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</si>
  <si>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</si>
  <si>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</si>
  <si>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</si>
  <si>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</si>
  <si>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</si>
  <si>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</si>
  <si>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</si>
  <si>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</si>
  <si>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</si>
  <si>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</si>
  <si>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</si>
  <si>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</si>
  <si>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</si>
  <si>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</si>
  <si>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</si>
  <si>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</si>
  <si>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</si>
  <si>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</si>
  <si>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</si>
  <si>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</si>
  <si>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</si>
  <si>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</si>
  <si>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</si>
  <si>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</si>
  <si>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</si>
  <si>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</si>
  <si>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</si>
  <si>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</si>
  <si>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</si>
  <si>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</si>
  <si>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</si>
  <si>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</si>
  <si>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</si>
  <si>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</si>
  <si>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</si>
  <si>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</si>
  <si>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</si>
  <si>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</si>
  <si>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</si>
  <si>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</si>
  <si>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</si>
  <si>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</si>
  <si>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</si>
  <si>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</si>
  <si>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</si>
  <si>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</si>
  <si>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</si>
  <si>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</si>
  <si>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</si>
  <si>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</si>
  <si>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</si>
  <si>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</si>
  <si>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</si>
  <si>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</si>
  <si>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</si>
  <si>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</si>
  <si>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</si>
  <si>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</si>
  <si>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</si>
  <si>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</si>
  <si>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</si>
  <si>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</si>
  <si>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</si>
  <si>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</si>
  <si>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</si>
  <si>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</si>
  <si>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</si>
  <si>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</si>
  <si>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</si>
  <si>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</si>
  <si>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</si>
  <si>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</si>
  <si>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</si>
  <si>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</si>
  <si>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</si>
  <si>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</si>
  <si>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</si>
  <si>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</si>
  <si>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</si>
  <si>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</si>
  <si>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</si>
  <si>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</si>
  <si>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</si>
  <si>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</si>
  <si>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</si>
  <si>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</si>
  <si>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</si>
  <si>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</si>
  <si>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</si>
  <si>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</si>
  <si>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</si>
  <si>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</si>
  <si>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</si>
  <si>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</si>
  <si>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</si>
  <si>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</si>
  <si>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</si>
  <si>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</si>
  <si>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</si>
  <si>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</si>
  <si>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</si>
  <si>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</si>
  <si>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</si>
  <si>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</si>
  <si>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</si>
  <si>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</si>
  <si>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</si>
  <si>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</si>
  <si>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</si>
  <si>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</si>
  <si>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</si>
  <si>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</si>
  <si>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</si>
  <si>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</si>
  <si>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</si>
  <si>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</si>
  <si>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</si>
  <si>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</si>
  <si>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</si>
  <si>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</si>
  <si>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</si>
  <si>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</si>
  <si>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</si>
  <si>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</si>
  <si>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</si>
  <si>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</si>
  <si>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</si>
  <si>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</si>
  <si>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</si>
  <si>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</si>
  <si>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</si>
  <si>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</si>
  <si>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</si>
  <si>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</si>
  <si>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</si>
  <si>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</si>
  <si>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</si>
  <si>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</si>
  <si>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</si>
  <si>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</si>
  <si>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</si>
  <si>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</si>
  <si>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</si>
  <si>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</si>
  <si>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</si>
  <si>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</si>
  <si>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</si>
  <si>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</si>
  <si>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</si>
  <si>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</si>
  <si>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</si>
  <si>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</si>
  <si>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</si>
  <si>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</si>
  <si>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</si>
  <si>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</si>
  <si>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</si>
  <si>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</si>
  <si>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</si>
  <si>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</si>
  <si>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</si>
  <si>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</si>
  <si>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</si>
  <si>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</si>
  <si>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</si>
  <si>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</si>
  <si>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</si>
  <si>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</si>
  <si>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</si>
  <si>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</si>
  <si>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</si>
  <si>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</si>
  <si>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</si>
  <si>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</si>
  <si>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</si>
  <si>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</si>
  <si>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</si>
  <si>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</si>
  <si>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</si>
  <si>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</si>
  <si>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</si>
  <si>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</si>
  <si>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</si>
  <si>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</si>
  <si>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</si>
  <si>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</si>
  <si>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</si>
  <si>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</si>
  <si>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</si>
  <si>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</si>
  <si>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</si>
  <si>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</si>
  <si>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</si>
  <si>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</si>
  <si>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</si>
  <si>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</si>
  <si>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</si>
  <si>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</si>
  <si>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</si>
  <si>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</si>
  <si>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</si>
  <si>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</si>
  <si>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</si>
  <si>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</si>
  <si>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</si>
  <si>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</si>
  <si>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</si>
  <si>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</si>
  <si>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</si>
  <si>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</si>
  <si>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</si>
  <si>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</si>
  <si>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</si>
  <si>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</si>
  <si>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</si>
  <si>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</si>
  <si>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</si>
  <si>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</si>
  <si>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</si>
  <si>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</si>
  <si>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</si>
  <si>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</si>
  <si>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</si>
  <si>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</si>
  <si>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</si>
  <si>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</si>
  <si>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</si>
  <si>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</si>
  <si>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</si>
  <si>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</si>
  <si>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</si>
  <si>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</si>
  <si>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</si>
  <si>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</si>
  <si>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</si>
  <si>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</si>
  <si>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</si>
  <si>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</si>
  <si>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</si>
  <si>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</si>
  <si>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</si>
  <si>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</si>
  <si>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</si>
  <si>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</si>
  <si>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</si>
  <si>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</si>
  <si>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</si>
  <si>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</si>
  <si>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</si>
  <si>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</si>
  <si>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</si>
  <si>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</si>
  <si>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</si>
  <si>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</si>
  <si>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</si>
  <si>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</si>
  <si>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</si>
  <si>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</si>
  <si>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</si>
  <si>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</si>
  <si>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</si>
  <si>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</si>
  <si>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</si>
  <si>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</si>
  <si>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</si>
  <si>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</si>
  <si>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</si>
  <si>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</si>
  <si>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</si>
  <si>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</si>
  <si>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</si>
  <si>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</si>
  <si>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</si>
  <si>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</si>
  <si>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</si>
  <si>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</si>
  <si>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</si>
  <si>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</si>
  <si>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</si>
  <si>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</si>
  <si>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</si>
  <si>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</si>
  <si>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</si>
  <si>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</si>
  <si>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</si>
  <si>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</si>
  <si>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</si>
  <si>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</si>
  <si>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</si>
  <si>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</si>
  <si>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</si>
  <si>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</si>
  <si>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</si>
  <si>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</si>
  <si>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</si>
  <si>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</si>
  <si>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</si>
  <si>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</si>
  <si>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</si>
  <si>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</si>
  <si>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</si>
  <si>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</si>
  <si>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</si>
  <si>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</si>
  <si>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</si>
  <si>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</si>
  <si>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</si>
  <si>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</si>
  <si>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</si>
  <si>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</si>
  <si>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</si>
  <si>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</si>
  <si>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</si>
  <si>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</si>
  <si>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</si>
  <si>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</si>
  <si>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</si>
  <si>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</si>
  <si>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</si>
  <si>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</si>
  <si>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</si>
  <si>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</si>
  <si>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</si>
  <si>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</si>
  <si>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</si>
  <si>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</si>
  <si>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</si>
  <si>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</si>
  <si>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</si>
  <si>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</si>
  <si>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</si>
  <si>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</si>
  <si>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</si>
  <si>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</si>
  <si>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</si>
  <si>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</si>
  <si>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</si>
  <si>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</si>
  <si>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</si>
  <si>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</si>
  <si>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</si>
  <si>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</si>
  <si>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</si>
  <si>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</si>
  <si>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</si>
  <si>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</si>
  <si>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</si>
  <si>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</si>
  <si>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</si>
  <si>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</si>
  <si>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</si>
  <si>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</si>
  <si>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</si>
  <si>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</si>
  <si>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</si>
  <si>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</si>
  <si>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</si>
  <si>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</si>
  <si>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</si>
  <si>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</si>
  <si>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</si>
  <si>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</si>
  <si>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</si>
  <si>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</si>
  <si>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</si>
  <si>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</si>
  <si>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</si>
  <si>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</si>
  <si>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</si>
  <si>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</si>
  <si>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</si>
  <si>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</si>
  <si>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</si>
  <si>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</si>
  <si>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</si>
  <si>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</si>
  <si>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</si>
  <si>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</si>
  <si>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</si>
  <si>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</si>
  <si>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</si>
  <si>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</si>
  <si>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</si>
  <si>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</si>
  <si>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</si>
  <si>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</si>
  <si>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</si>
  <si>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</si>
  <si>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</si>
  <si>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</si>
  <si>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</si>
  <si>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</si>
  <si>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</si>
  <si>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</si>
  <si>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</si>
  <si>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</si>
  <si>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</si>
  <si>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</si>
  <si>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</si>
  <si>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</si>
  <si>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</si>
  <si>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</si>
  <si>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</si>
  <si>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</si>
  <si>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</si>
  <si>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</si>
  <si>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</si>
  <si>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</si>
  <si>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</si>
  <si>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</si>
  <si>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</si>
  <si>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</si>
  <si>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</si>
  <si>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</si>
  <si>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</si>
  <si>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</si>
  <si>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</si>
  <si>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</si>
  <si>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</si>
  <si>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</si>
  <si>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</si>
  <si>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</si>
  <si>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</si>
  <si>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</si>
  <si>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</si>
  <si>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</si>
  <si>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</si>
  <si>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</si>
  <si>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</si>
  <si>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</si>
  <si>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</si>
  <si>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</si>
  <si>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</si>
  <si>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</si>
  <si>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</si>
  <si>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</si>
  <si>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</si>
  <si>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</si>
  <si>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</si>
  <si>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</si>
  <si>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</si>
  <si>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</si>
  <si>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</si>
  <si>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</si>
  <si>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</si>
  <si>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</si>
  <si>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</si>
  <si>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</si>
  <si>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</si>
  <si>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</si>
  <si>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</si>
  <si>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</si>
  <si>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</si>
  <si>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</si>
  <si>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</si>
  <si>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</si>
  <si>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</si>
  <si>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</si>
  <si>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</si>
  <si>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</si>
  <si>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</si>
  <si>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</si>
  <si>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</si>
  <si>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</si>
  <si>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</si>
  <si>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</si>
  <si>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</si>
  <si>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</si>
  <si>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</si>
  <si>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</si>
  <si>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</si>
  <si>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</si>
  <si>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</si>
  <si>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</si>
  <si>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</si>
  <si>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</si>
  <si>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</si>
  <si>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</si>
  <si>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</si>
  <si>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</si>
  <si>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</si>
  <si>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</si>
  <si>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</si>
  <si>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</si>
  <si>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</si>
  <si>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</si>
  <si>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</si>
  <si>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</si>
  <si>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</si>
  <si>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</si>
  <si>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</si>
  <si>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</si>
  <si>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</si>
  <si>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</si>
  <si>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</si>
  <si>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</si>
  <si>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</si>
  <si>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</si>
  <si>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</si>
  <si>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</si>
  <si>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</si>
  <si>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</si>
  <si>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</si>
  <si>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</si>
  <si>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</si>
  <si>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</si>
  <si>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</si>
  <si>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</si>
  <si>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</si>
  <si>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</si>
  <si>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</si>
  <si>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</si>
  <si>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</si>
  <si>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</si>
  <si>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</si>
  <si>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</si>
  <si>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</si>
  <si>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</si>
  <si>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</si>
  <si>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</si>
  <si>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</si>
  <si>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</si>
  <si>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</si>
  <si>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</si>
  <si>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</si>
  <si>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</si>
  <si>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</si>
  <si>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</si>
  <si>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</si>
  <si>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</si>
  <si>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</si>
  <si>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</si>
  <si>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</si>
  <si>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</si>
  <si>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</si>
  <si>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</si>
  <si>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</si>
  <si>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</si>
  <si>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</si>
  <si>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</si>
  <si>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</si>
  <si>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</si>
  <si>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</si>
  <si>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</si>
  <si>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</si>
  <si>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</si>
  <si>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</si>
  <si>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</si>
  <si>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</si>
  <si>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</si>
  <si>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</si>
  <si>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</si>
  <si>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</si>
  <si>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</si>
  <si>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</si>
  <si>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</si>
  <si>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</si>
  <si>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</si>
  <si>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</si>
  <si>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</si>
  <si>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</si>
  <si>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</si>
  <si>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</si>
  <si>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</si>
  <si>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</si>
  <si>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</si>
  <si>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</si>
  <si>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</si>
  <si>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</si>
  <si>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</si>
  <si>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</si>
  <si>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</si>
  <si>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</si>
  <si>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</si>
  <si>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</si>
  <si>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</si>
  <si>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</si>
  <si>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</si>
  <si>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</si>
  <si>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</si>
  <si>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</si>
  <si>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</si>
  <si>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</si>
  <si>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</si>
  <si>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</si>
  <si>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</si>
  <si>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</si>
  <si>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</si>
  <si>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</si>
  <si>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</si>
  <si>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</si>
  <si>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</si>
  <si>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</si>
  <si>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</si>
  <si>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</si>
  <si>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</si>
  <si>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</si>
  <si>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</si>
  <si>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</si>
  <si>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</si>
  <si>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</si>
  <si>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</si>
  <si>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</si>
  <si>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</si>
  <si>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</si>
  <si>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</si>
  <si>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</si>
  <si>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</si>
  <si>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</si>
  <si>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</si>
  <si>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</si>
  <si>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</si>
  <si>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</si>
  <si>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</si>
  <si>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</si>
  <si>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</si>
  <si>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</si>
  <si>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</si>
  <si>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</si>
  <si>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</si>
  <si>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</si>
  <si>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</si>
  <si>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</si>
  <si>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</si>
  <si>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</si>
  <si>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</si>
  <si>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</si>
  <si>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</si>
  <si>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</si>
  <si>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</si>
  <si>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</si>
  <si>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</si>
  <si>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</si>
  <si>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</si>
  <si>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</si>
  <si>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</si>
  <si>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</si>
  <si>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</si>
  <si>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</si>
  <si>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</si>
  <si>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</si>
  <si>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</si>
  <si>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</si>
  <si>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</si>
  <si>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</si>
  <si>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</si>
  <si>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</si>
  <si>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</si>
  <si>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</si>
  <si>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</si>
  <si>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</si>
  <si>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</si>
  <si>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</si>
  <si>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</si>
  <si>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</si>
  <si>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</si>
  <si>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</si>
  <si>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</si>
  <si>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</si>
  <si>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</si>
  <si>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</si>
  <si>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</si>
  <si>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</si>
  <si>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</si>
  <si>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</si>
  <si>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</si>
  <si>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</si>
  <si>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</si>
  <si>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</si>
  <si>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</si>
  <si>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</si>
  <si>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</si>
  <si>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</si>
  <si>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</si>
  <si>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</si>
  <si>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</si>
  <si>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</si>
  <si>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</si>
  <si>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</si>
  <si>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</si>
  <si>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</si>
  <si>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</si>
  <si>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</si>
  <si>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</si>
  <si>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</si>
  <si>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</si>
  <si>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</si>
  <si>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</si>
  <si>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</si>
  <si>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</si>
  <si>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</si>
  <si>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</si>
  <si>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</si>
  <si>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</si>
  <si>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</si>
  <si>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</si>
  <si>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</si>
  <si>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</si>
  <si>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</si>
  <si>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</si>
  <si>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</si>
  <si>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</si>
  <si>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</si>
  <si>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</si>
  <si>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</si>
  <si>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</si>
  <si>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</si>
  <si>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</si>
  <si>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</si>
  <si>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</si>
  <si>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</si>
  <si>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</si>
  <si>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</si>
  <si>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</si>
  <si>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</si>
  <si>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</si>
  <si>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</si>
  <si>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</si>
  <si>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</si>
  <si>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</si>
  <si>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</si>
  <si>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</si>
  <si>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</si>
  <si>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</si>
  <si>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</si>
  <si>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</si>
  <si>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</si>
  <si>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</si>
  <si>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</si>
  <si>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</si>
  <si>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</si>
  <si>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</si>
  <si>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</si>
  <si>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</si>
  <si>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</si>
  <si>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</si>
  <si>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</si>
  <si>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</si>
  <si>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</si>
  <si>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</si>
  <si>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</si>
  <si>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</si>
  <si>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</si>
  <si>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</si>
  <si>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</si>
  <si>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</si>
  <si>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</si>
  <si>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</si>
  <si>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</si>
  <si>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</si>
  <si>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</si>
  <si>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</si>
  <si>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</si>
  <si>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</si>
  <si>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</si>
  <si>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</si>
  <si>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</si>
  <si>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</si>
  <si>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</si>
  <si>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</si>
  <si>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</si>
  <si>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</si>
  <si>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</si>
  <si>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</si>
  <si>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</si>
  <si>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</si>
  <si>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</si>
  <si>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</si>
  <si>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</si>
  <si>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</si>
  <si>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</si>
  <si>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</si>
  <si>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</si>
  <si>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</si>
  <si>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</si>
  <si>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</si>
  <si>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</si>
  <si>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</si>
  <si>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</si>
  <si>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</si>
  <si>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</si>
  <si>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</si>
  <si>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</si>
  <si>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</si>
  <si>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</si>
  <si>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</si>
  <si>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</si>
  <si>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</si>
  <si>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</si>
  <si>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</si>
  <si>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</si>
  <si>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</si>
  <si>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</si>
  <si>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</si>
  <si>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</si>
  <si>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</si>
  <si>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</si>
  <si>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</si>
  <si>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</si>
  <si>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</si>
  <si>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</si>
  <si>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</si>
  <si>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</si>
  <si>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</si>
  <si>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</si>
  <si>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</si>
  <si>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</si>
  <si>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</si>
  <si>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</si>
  <si>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</si>
  <si>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</si>
  <si>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</si>
  <si>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</si>
  <si>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</si>
  <si>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</si>
  <si>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</si>
  <si>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</si>
  <si>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</si>
  <si>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</si>
  <si>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</si>
  <si>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</si>
  <si>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</si>
  <si>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</si>
  <si>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</si>
  <si>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</si>
  <si>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</si>
  <si>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</si>
  <si>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</si>
  <si>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</si>
  <si>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</si>
  <si>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</si>
  <si>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</si>
  <si>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</si>
  <si>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</si>
  <si>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</si>
  <si>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</si>
  <si>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</si>
  <si>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</si>
  <si>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</si>
  <si>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</si>
  <si>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</si>
  <si>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</si>
  <si>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</si>
  <si>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</si>
  <si>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</si>
  <si>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</si>
  <si>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</si>
  <si>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</si>
  <si>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</si>
  <si>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</si>
  <si>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</si>
  <si>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</si>
  <si>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</si>
  <si>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</si>
  <si>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</si>
  <si>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</si>
  <si>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</si>
  <si>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</si>
  <si>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</si>
  <si>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</si>
  <si>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</si>
  <si>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</si>
  <si>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</si>
  <si>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</si>
  <si>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</si>
  <si>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</si>
  <si>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</si>
  <si>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</si>
  <si>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</si>
  <si>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</si>
  <si>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</si>
  <si>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</si>
  <si>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</si>
  <si>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</si>
  <si>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</si>
  <si>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</si>
  <si>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</si>
  <si>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</si>
  <si>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</si>
  <si>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</si>
  <si>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</si>
  <si>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</si>
  <si>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</si>
  <si>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</si>
  <si>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</si>
  <si>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</si>
  <si>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</si>
  <si>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</si>
  <si>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</si>
  <si>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</si>
  <si>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</si>
  <si>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</si>
  <si>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</si>
  <si>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</si>
  <si>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</si>
  <si>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</si>
  <si>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</si>
  <si>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</si>
  <si>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</si>
  <si>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</si>
  <si>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</si>
  <si>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</si>
  <si>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</si>
  <si>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</si>
  <si>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</si>
  <si>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</si>
  <si>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</si>
  <si>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</si>
  <si>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</si>
  <si>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</si>
  <si>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</si>
  <si>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</si>
  <si>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</si>
  <si>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</si>
  <si>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</si>
  <si>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</si>
  <si>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</si>
  <si>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</si>
  <si>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</si>
  <si>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</si>
  <si>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</si>
  <si>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</si>
  <si>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</si>
  <si>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</si>
  <si>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</si>
  <si>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</si>
  <si>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</si>
  <si>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</si>
  <si>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</si>
  <si>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</si>
  <si>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</si>
  <si>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</si>
  <si>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</si>
  <si>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</si>
  <si>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</si>
  <si>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</si>
  <si>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</si>
  <si>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</si>
  <si>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</si>
  <si>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</si>
  <si>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</si>
  <si>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</si>
  <si>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</si>
  <si>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</si>
  <si>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</si>
  <si>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</si>
  <si>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</si>
  <si>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</si>
  <si>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</si>
  <si>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</si>
  <si>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</si>
  <si>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</si>
  <si>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</si>
  <si>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</si>
  <si>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</si>
  <si>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</si>
  <si>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</si>
  <si>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</si>
  <si>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</si>
  <si>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</si>
  <si>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</si>
  <si>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</si>
  <si>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</si>
  <si>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</si>
  <si>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</si>
  <si>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</si>
  <si>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</si>
  <si>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</si>
  <si>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</si>
  <si>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</si>
  <si>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</si>
  <si>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</si>
  <si>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</si>
  <si>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</si>
  <si>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</si>
  <si>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</si>
  <si>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</si>
  <si>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</si>
  <si>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</si>
  <si>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</si>
  <si>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</si>
  <si>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</si>
  <si>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</si>
  <si>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</si>
  <si>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</si>
  <si>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</si>
  <si>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</si>
  <si>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</si>
  <si>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</si>
  <si>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</si>
  <si>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</si>
  <si>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</si>
  <si>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</si>
  <si>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</si>
  <si>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</si>
  <si>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</si>
  <si>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</si>
  <si>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</si>
  <si>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</si>
  <si>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</si>
  <si>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</si>
  <si>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</si>
  <si>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</si>
  <si>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</si>
  <si>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</si>
  <si>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</si>
  <si>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</si>
  <si>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</si>
  <si>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</si>
  <si>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</si>
  <si>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</si>
  <si>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</si>
  <si>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</si>
  <si>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</si>
  <si>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</si>
  <si>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</si>
  <si>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</si>
  <si>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</si>
  <si>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</si>
  <si>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</si>
  <si>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</si>
  <si>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</si>
  <si>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</si>
  <si>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</si>
  <si>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</si>
  <si>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</si>
  <si>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</si>
  <si>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</si>
  <si>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</si>
  <si>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</si>
  <si>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</si>
  <si>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</si>
  <si>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</si>
  <si>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</si>
  <si>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</si>
  <si>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</si>
  <si>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</si>
  <si>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</si>
  <si>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</si>
  <si>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</si>
  <si>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</si>
  <si>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</si>
  <si>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</si>
  <si>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</si>
  <si>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</si>
  <si>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</si>
  <si>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</si>
  <si>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</si>
  <si>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</si>
  <si>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</si>
  <si>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</si>
  <si>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</si>
  <si>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</si>
  <si>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</si>
  <si>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</si>
  <si>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</si>
  <si>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</si>
  <si>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</si>
  <si>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</si>
  <si>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</si>
  <si>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</si>
  <si>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</si>
  <si>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</si>
  <si>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</si>
  <si>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</si>
  <si>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</si>
  <si>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</si>
  <si>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</si>
  <si>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</si>
  <si>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</si>
  <si>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</si>
  <si>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</si>
  <si>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</si>
  <si>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</si>
  <si>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</si>
  <si>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</si>
  <si>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</si>
  <si>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</si>
  <si>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</si>
  <si>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</si>
  <si>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</si>
  <si>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</si>
  <si>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</si>
  <si>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</si>
  <si>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</si>
  <si>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</si>
  <si>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</si>
  <si>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</si>
  <si>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</si>
  <si>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</si>
  <si>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</si>
  <si>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</si>
  <si>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</si>
  <si>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</si>
  <si>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</si>
  <si>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</si>
  <si>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</si>
  <si>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</si>
  <si>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</si>
  <si>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</si>
  <si>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</si>
  <si>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</si>
  <si>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</si>
  <si>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</si>
  <si>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</si>
  <si>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</si>
  <si>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</si>
  <si>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</si>
  <si>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</si>
  <si>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</si>
  <si>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</si>
  <si>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</si>
  <si>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</si>
  <si>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</si>
  <si>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</si>
  <si>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</si>
  <si>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</si>
  <si>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</si>
  <si>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</si>
  <si>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</si>
  <si>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</si>
  <si>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</si>
  <si>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</si>
  <si>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</si>
  <si>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</si>
  <si>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</si>
  <si>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</si>
  <si>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</si>
  <si>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</si>
  <si>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</si>
  <si>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</si>
  <si>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</si>
  <si>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</si>
  <si>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</si>
  <si>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</si>
  <si>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</si>
  <si>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</si>
  <si>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</si>
  <si>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</si>
  <si>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</si>
  <si>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</si>
  <si>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</si>
  <si>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</si>
  <si>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</si>
  <si>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</si>
  <si>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</si>
  <si>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</si>
  <si>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</si>
  <si>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</si>
  <si>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</si>
  <si>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</si>
  <si>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</si>
  <si>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</si>
  <si>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</si>
  <si>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</si>
  <si>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</si>
  <si>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</si>
  <si>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</si>
  <si>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</si>
  <si>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</si>
  <si>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</si>
  <si>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</si>
  <si>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</si>
  <si>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</si>
  <si>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</si>
  <si>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</si>
  <si>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</si>
  <si>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</si>
  <si>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</si>
  <si>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</si>
  <si>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</si>
  <si>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</si>
  <si>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</si>
  <si>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</si>
  <si>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</si>
  <si>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</si>
  <si>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</si>
  <si>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</si>
  <si>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</si>
  <si>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</si>
  <si>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</si>
  <si>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</si>
  <si>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</si>
  <si>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</si>
  <si>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</si>
  <si>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</si>
  <si>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</si>
  <si>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</si>
  <si>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</si>
  <si>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</si>
  <si>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</si>
  <si>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</si>
  <si>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</si>
  <si>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</si>
  <si>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</si>
  <si>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</si>
  <si>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</si>
  <si>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</si>
  <si>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</si>
  <si>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</si>
  <si>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</si>
  <si>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</si>
  <si>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</si>
  <si>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</si>
  <si>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</si>
  <si>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</si>
  <si>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</si>
  <si>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</si>
  <si>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</si>
  <si>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</si>
  <si>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</si>
  <si>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</si>
  <si>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</si>
  <si>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</si>
  <si>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</si>
  <si>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</si>
  <si>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</si>
  <si>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</si>
  <si>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</si>
  <si>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</si>
  <si>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</si>
  <si>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</si>
  <si>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</si>
  <si>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</si>
  <si>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</si>
  <si>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</si>
  <si>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</si>
  <si>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</si>
  <si>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</si>
  <si>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</si>
  <si>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</si>
  <si>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</si>
  <si>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</si>
  <si>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</si>
  <si>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</si>
  <si>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</si>
  <si>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</si>
  <si>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</si>
  <si>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</si>
  <si>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</si>
  <si>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</si>
  <si>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</si>
  <si>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</si>
  <si>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</si>
  <si>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</si>
  <si>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</si>
  <si>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</si>
  <si>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</si>
  <si>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</si>
  <si>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</si>
  <si>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</si>
  <si>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</si>
  <si>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</si>
  <si>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</si>
  <si>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</si>
  <si>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</si>
  <si>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</si>
  <si>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</si>
  <si>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</si>
  <si>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</si>
  <si>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</si>
  <si>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</si>
  <si>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</si>
  <si>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</si>
  <si>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</si>
  <si>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</si>
  <si>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</si>
  <si>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</si>
  <si>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</si>
  <si>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</si>
  <si>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</si>
  <si>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</si>
  <si>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</si>
  <si>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</si>
  <si>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</si>
  <si>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</si>
  <si>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</si>
  <si>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</si>
  <si>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</si>
  <si>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</si>
  <si>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</si>
  <si>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</si>
  <si>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</si>
  <si>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</si>
  <si>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</si>
  <si>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</si>
  <si>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</si>
  <si>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</si>
  <si>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</si>
  <si>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</si>
  <si>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</si>
  <si>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</si>
  <si>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</si>
  <si>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</si>
  <si>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</si>
  <si>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</si>
  <si>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</si>
  <si>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</si>
  <si>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</si>
  <si>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</si>
  <si>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</si>
  <si>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</si>
  <si>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</si>
  <si>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</si>
  <si>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</si>
  <si>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</si>
  <si>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</si>
  <si>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</si>
  <si>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</si>
  <si>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</si>
  <si>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</si>
  <si>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</si>
  <si>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</si>
  <si>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</si>
  <si>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</si>
  <si>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</si>
  <si>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</si>
  <si>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</si>
  <si>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</si>
  <si>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</si>
  <si>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</si>
  <si>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</si>
  <si>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</si>
  <si>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</si>
  <si>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</si>
  <si>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</si>
  <si>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</si>
  <si>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</si>
  <si>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</si>
  <si>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</si>
  <si>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</si>
  <si>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</si>
  <si>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</si>
  <si>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</si>
  <si>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</si>
  <si>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</si>
  <si>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</si>
  <si>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</si>
  <si>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</si>
  <si>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</si>
  <si>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</si>
  <si>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</si>
  <si>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</si>
  <si>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</si>
  <si>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</si>
  <si>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</si>
  <si>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</si>
  <si>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</si>
  <si>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</si>
  <si>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</si>
  <si>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</si>
  <si>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</si>
  <si>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</si>
  <si>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</si>
  <si>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</si>
  <si>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</si>
  <si>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</si>
  <si>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</si>
  <si>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</si>
  <si>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</si>
  <si>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</si>
  <si>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</si>
  <si>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</si>
  <si>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</si>
  <si>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</si>
  <si>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</si>
  <si>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</si>
  <si>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</si>
  <si>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</si>
  <si>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</si>
  <si>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</si>
  <si>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</si>
  <si>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</si>
  <si>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</si>
  <si>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</si>
  <si>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</si>
  <si>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</si>
  <si>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</si>
  <si>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</si>
  <si>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</si>
  <si>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</si>
  <si>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</si>
  <si>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</si>
  <si>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</si>
  <si>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</si>
  <si>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</si>
  <si>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</si>
  <si>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</si>
  <si>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</si>
  <si>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</si>
  <si>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</si>
  <si>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</si>
  <si>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</si>
  <si>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</si>
  <si>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</si>
  <si>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</si>
  <si>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</si>
  <si>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</si>
  <si>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</si>
  <si>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</si>
  <si>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</si>
  <si>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</si>
  <si>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</si>
  <si>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</si>
  <si>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</si>
  <si>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</si>
  <si>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</si>
  <si>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</si>
  <si>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</si>
  <si>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</si>
  <si>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</si>
  <si>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</si>
  <si>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</si>
  <si>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</si>
  <si>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</si>
  <si>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</si>
  <si>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</si>
  <si>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</si>
  <si>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</si>
  <si>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</si>
  <si>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</si>
  <si>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</si>
  <si>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</si>
  <si>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</si>
  <si>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</si>
  <si>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</si>
  <si>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</si>
  <si>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</si>
  <si>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</si>
  <si>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</si>
  <si>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</si>
  <si>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</si>
  <si>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</si>
  <si>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</si>
  <si>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</si>
  <si>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</si>
  <si>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</si>
  <si>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</si>
  <si>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</si>
  <si>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</si>
  <si>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</si>
  <si>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</si>
  <si>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</si>
  <si>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</si>
  <si>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</si>
  <si>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</si>
  <si>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</si>
  <si>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</si>
  <si>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</si>
  <si>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</si>
  <si>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</si>
  <si>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</si>
  <si>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</si>
  <si>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</si>
  <si>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</si>
  <si>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</si>
  <si>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</si>
  <si>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</si>
  <si>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</si>
  <si>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</si>
  <si>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</si>
  <si>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</si>
  <si>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</si>
  <si>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</si>
  <si>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</si>
  <si>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</si>
  <si>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</si>
  <si>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</si>
  <si>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</si>
  <si>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</si>
  <si>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</si>
  <si>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</si>
  <si>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</si>
  <si>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</si>
  <si>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</si>
  <si>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</si>
  <si>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</si>
  <si>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</si>
  <si>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</si>
  <si>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</si>
  <si>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</si>
  <si>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</si>
  <si>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</si>
  <si>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</si>
  <si>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</si>
  <si>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</si>
  <si>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</si>
  <si>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</si>
  <si>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</si>
  <si>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</si>
  <si>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</si>
  <si>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</si>
  <si>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</si>
  <si>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</si>
  <si>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</si>
  <si>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</si>
  <si>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</si>
  <si>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</si>
  <si>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</si>
  <si>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</si>
  <si>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</si>
  <si>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</si>
  <si>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</si>
  <si>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</si>
  <si>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</si>
  <si>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</si>
  <si>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</si>
  <si>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</si>
  <si>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</si>
  <si>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</si>
  <si>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</si>
  <si>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</si>
  <si>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</si>
  <si>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</si>
  <si>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</si>
  <si>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</si>
  <si>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</si>
  <si>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</si>
  <si>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</si>
  <si>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</si>
  <si>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</si>
  <si>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</si>
  <si>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</si>
  <si>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</si>
  <si>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</si>
  <si>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</si>
  <si>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</si>
  <si>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</si>
  <si>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</si>
  <si>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</si>
  <si>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</si>
  <si>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</si>
  <si>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</si>
  <si>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</si>
  <si>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</si>
  <si>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</si>
  <si>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</si>
  <si>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</si>
  <si>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</si>
  <si>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</si>
  <si>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</si>
  <si>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</si>
  <si>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</si>
  <si>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</si>
  <si>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</si>
  <si>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</si>
  <si>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</si>
  <si>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</si>
  <si>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</si>
  <si>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</si>
  <si>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</si>
  <si>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</si>
  <si>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</si>
  <si>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</si>
  <si>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</si>
  <si>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</si>
  <si>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</si>
  <si>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</si>
  <si>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</si>
  <si>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</si>
  <si>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</si>
  <si>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</si>
  <si>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</si>
  <si>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</si>
  <si>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</si>
  <si>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</si>
  <si>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</si>
  <si>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</si>
  <si>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</si>
  <si>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</si>
  <si>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</si>
  <si>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</si>
  <si>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</si>
  <si>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</si>
  <si>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</si>
  <si>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</si>
  <si>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</si>
  <si>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</si>
  <si>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</si>
  <si>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</si>
  <si>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</si>
  <si>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</si>
  <si>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</si>
  <si>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</si>
  <si>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</si>
  <si>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</si>
  <si>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</si>
  <si>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</si>
  <si>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</si>
  <si>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</si>
  <si>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</si>
  <si>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</si>
  <si>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</si>
  <si>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</si>
  <si>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</si>
  <si>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</si>
  <si>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</si>
  <si>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</si>
  <si>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</si>
  <si>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</si>
  <si>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</si>
  <si>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</si>
  <si>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</si>
  <si>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</si>
  <si>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</si>
  <si>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</si>
  <si>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</si>
  <si>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</si>
  <si>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</si>
  <si>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</si>
  <si>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</si>
  <si>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</si>
  <si>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</si>
  <si>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</si>
  <si>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</si>
  <si>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</si>
  <si>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</si>
  <si>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</si>
  <si>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</si>
  <si>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</si>
  <si>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</si>
  <si>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</si>
  <si>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</si>
  <si>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</si>
  <si>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</si>
  <si>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</si>
  <si>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</si>
  <si>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</si>
  <si>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</si>
  <si>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</si>
  <si>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</si>
  <si>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</si>
  <si>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</si>
  <si>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</si>
  <si>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</si>
  <si>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</si>
  <si>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</si>
  <si>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</si>
  <si>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</si>
  <si>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</si>
  <si>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</si>
  <si>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</si>
  <si>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</si>
  <si>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</si>
  <si>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</si>
  <si>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</si>
  <si>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</si>
  <si>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</si>
  <si>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</si>
  <si>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</si>
  <si>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</si>
  <si>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</si>
  <si>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</si>
  <si>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</si>
  <si>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</si>
  <si>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</si>
  <si>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</si>
  <si>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</si>
  <si>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</si>
  <si>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</si>
  <si>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</si>
  <si>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</si>
  <si>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</si>
  <si>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</si>
  <si>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</si>
  <si>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</si>
  <si>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</si>
  <si>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</si>
  <si>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</si>
  <si>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</si>
  <si>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</si>
  <si>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</si>
  <si>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</si>
  <si>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</si>
  <si>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</si>
  <si>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</si>
  <si>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</si>
  <si>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</si>
  <si>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</si>
  <si>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</si>
  <si>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</si>
  <si>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</si>
  <si>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</si>
  <si>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</si>
  <si>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</si>
  <si>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</si>
  <si>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</si>
  <si>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</si>
  <si>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</si>
  <si>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</si>
  <si>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</si>
  <si>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</si>
  <si>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</si>
  <si>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</si>
  <si>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</si>
  <si>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</si>
  <si>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</si>
  <si>
    <t>商业</t>
    <phoneticPr fontId="134" type="noConversion"/>
  </si>
  <si>
    <t>1、3</t>
    <phoneticPr fontId="134" type="noConversion"/>
  </si>
  <si>
    <t>套数</t>
    <phoneticPr fontId="134" type="noConversion"/>
  </si>
  <si>
    <t>行标签</t>
  </si>
  <si>
    <t>总计</t>
  </si>
  <si>
    <t>求和项:建筑面积</t>
  </si>
  <si>
    <t>杂物间</t>
    <phoneticPr fontId="134" type="noConversion"/>
  </si>
  <si>
    <t>楼号</t>
    <phoneticPr fontId="134" type="noConversion"/>
  </si>
  <si>
    <t>1、3号楼1层商业</t>
    <phoneticPr fontId="134" type="noConversion"/>
  </si>
  <si>
    <t>2号楼1层商业</t>
    <phoneticPr fontId="134" type="noConversion"/>
  </si>
  <si>
    <t>4号楼1层商业</t>
    <phoneticPr fontId="134" type="noConversion"/>
  </si>
  <si>
    <t>总套数</t>
    <phoneticPr fontId="134" type="noConversion"/>
  </si>
  <si>
    <t>总价值</t>
    <phoneticPr fontId="134" type="noConversion"/>
  </si>
  <si>
    <t>价值</t>
    <phoneticPr fontId="134" type="noConversion"/>
  </si>
  <si>
    <t>求和项:总价</t>
  </si>
  <si>
    <r>
      <t>1、</t>
    </r>
    <r>
      <rPr>
        <sz val="11"/>
        <color theme="1"/>
        <rFont val="宋体"/>
        <family val="3"/>
        <charset val="134"/>
        <scheme val="minor"/>
      </rPr>
      <t>3号楼</t>
    </r>
    <phoneticPr fontId="134" type="noConversion"/>
  </si>
  <si>
    <t>每个车位价格</t>
    <phoneticPr fontId="134" type="noConversion"/>
  </si>
  <si>
    <t>较差</t>
  </si>
  <si>
    <t>维护管理</t>
    <phoneticPr fontId="31" type="noConversion"/>
  </si>
  <si>
    <t>较差</t>
    <phoneticPr fontId="31" type="noConversion"/>
  </si>
  <si>
    <t>较好</t>
    <phoneticPr fontId="31" type="noConversion"/>
  </si>
  <si>
    <t>一般</t>
    <phoneticPr fontId="31" type="noConversion"/>
  </si>
  <si>
    <t>维护管理情况</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</si>
</sst>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96" fillId="0" borderId="0" xfId="1" applyFont="1" applyAlignment="1">
      <alignment horizontal="center" vertical="center" wrapText="1"/>
    </xf>
    <xf numFmtId="0" fontId="273" fillId="0" borderId="0" xfId="20">
      <alignment vertical="center"/>
    </xf>
    <xf numFmtId="0" fontId="0" fillId="22" borderId="0" xfId="0" applyFill="1">
      <alignment vertical="center"/>
    </xf>
    <xf numFmtId="0" fontId="272" fillId="13" borderId="0" xfId="19" applyFill="1"/>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xf numFmtId="0" fontId="95" fillId="5" borderId="0" xfId="2" applyFill="1"/>
    <xf numFmtId="0" fontId="95" fillId="0" borderId="0" xfId="2" applyAlignment="1">
      <alignment horizontal="center" vertical="center"/>
    </xf>
    <xf numFmtId="0" fontId="96" fillId="0" borderId="0" xfId="2" applyFont="1" applyAlignment="1">
      <alignment horizontal="center" vertical="center"/>
    </xf>
    <xf numFmtId="0" fontId="96" fillId="5" borderId="0" xfId="1" applyFont="1" applyFill="1" applyAlignment="1">
      <alignment horizontal="center" vertical="center" wrapText="1"/>
    </xf>
    <xf numFmtId="0" fontId="96" fillId="5" borderId="0" xfId="2" applyFont="1" applyFill="1" applyAlignment="1">
      <alignment horizontal="center" vertical="center"/>
    </xf>
    <xf numFmtId="0" fontId="95" fillId="5" borderId="0" xfId="2" applyFill="1" applyAlignment="1">
      <alignment horizontal="center" vertical="center"/>
    </xf>
    <xf numFmtId="0" fontId="95" fillId="0" borderId="0" xfId="2" applyAlignment="1">
      <alignment horizontal="right"/>
    </xf>
    <xf numFmtId="0" fontId="95" fillId="23" borderId="0" xfId="2" applyFill="1" applyAlignment="1">
      <alignment horizontal="center" vertical="center"/>
    </xf>
    <xf numFmtId="0" fontId="0" fillId="0" borderId="0" xfId="0" pivotButton="1">
      <alignment vertical="center"/>
    </xf>
    <xf numFmtId="0" fontId="95" fillId="22" borderId="0" xfId="2" applyFill="1" applyAlignment="1">
      <alignment horizontal="center" vertical="center"/>
    </xf>
    <xf numFmtId="0" fontId="0" fillId="0" borderId="0" xfId="0" applyAlignment="1">
      <alignment horizontal="center" vertical="center"/>
    </xf>
    <xf numFmtId="0" fontId="95" fillId="24" borderId="1" xfId="1" applyFill="1" applyBorder="1" applyAlignment="1">
      <alignment horizontal="center" vertical="center" wrapText="1"/>
    </xf>
    <xf numFmtId="14" fontId="95" fillId="24" borderId="1" xfId="1" applyNumberFormat="1" applyFill="1" applyBorder="1" applyAlignment="1">
      <alignment horizontal="center" vertical="center" wrapText="1"/>
    </xf>
    <xf numFmtId="0" fontId="95" fillId="24" borderId="0" xfId="2" applyFill="1" applyAlignment="1">
      <alignment horizontal="center" vertical="center"/>
    </xf>
    <xf numFmtId="179" fontId="44" fillId="24" borderId="23" xfId="0" applyNumberFormat="1" applyFont="1" applyFill="1" applyBorder="1" applyAlignment="1" applyProtection="1">
      <alignment horizontal="center" vertical="center"/>
      <protection locked="0"/>
    </xf>
    <xf numFmtId="0" fontId="275" fillId="27" borderId="0" xfId="2" applyFont="1" applyFill="1" applyAlignment="1">
      <alignment horizontal="center" vertical="center"/>
    </xf>
    <xf numFmtId="0" fontId="95" fillId="27" borderId="0" xfId="2" applyFill="1" applyAlignment="1">
      <alignment horizontal="center" vertical="center"/>
    </xf>
    <xf numFmtId="0" fontId="96" fillId="5" borderId="1" xfId="1" applyFont="1" applyFill="1" applyBorder="1" applyAlignment="1">
      <alignment horizontal="center" vertical="center" wrapText="1"/>
    </xf>
    <xf numFmtId="0" fontId="96" fillId="5" borderId="1" xfId="2" applyFont="1" applyFill="1" applyBorder="1" applyAlignment="1">
      <alignment horizontal="center" vertical="center"/>
    </xf>
    <xf numFmtId="0" fontId="95" fillId="0" borderId="1" xfId="2" applyBorder="1" applyAlignment="1">
      <alignment horizontal="center" vertical="center"/>
    </xf>
    <xf numFmtId="0" fontId="95" fillId="24" borderId="1" xfId="2" applyFill="1" applyBorder="1" applyAlignment="1">
      <alignment horizontal="center" vertical="center"/>
    </xf>
    <xf numFmtId="0" fontId="95" fillId="29" borderId="0" xfId="2" applyFill="1" applyAlignment="1">
      <alignment horizontal="center" vertical="center"/>
    </xf>
    <xf numFmtId="196"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72" fillId="0" borderId="0" xfId="19"/>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48" fillId="0" borderId="0" xfId="19" applyFont="1"/>
    <xf numFmtId="0" fontId="248" fillId="22" borderId="0" xfId="19" applyFont="1" applyFill="1"/>
    <xf numFmtId="0" fontId="272" fillId="22" borderId="0" xfId="19" applyFill="1"/>
    <xf numFmtId="0" fontId="272" fillId="5" borderId="0" xfId="19" applyFill="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29" borderId="46" xfId="0" applyFont="1" applyFill="1" applyBorder="1" applyAlignment="1" applyProtection="1">
      <alignment horizontal="center" vertical="center" wrapText="1"/>
      <protection locked="0"/>
    </xf>
    <xf numFmtId="0" fontId="94" fillId="29" borderId="1" xfId="0" applyFont="1" applyFill="1" applyBorder="1" applyAlignment="1" applyProtection="1">
      <alignment horizontal="center" vertical="center" wrapText="1"/>
      <protection locked="0"/>
    </xf>
    <xf numFmtId="0" fontId="44" fillId="29" borderId="78" xfId="0" applyFont="1" applyFill="1" applyBorder="1" applyAlignment="1" applyProtection="1">
      <alignment horizontal="center" vertical="center" wrapText="1"/>
      <protection locked="0"/>
    </xf>
    <xf numFmtId="0" fontId="51" fillId="29" borderId="78" xfId="0" applyFont="1" applyFill="1" applyBorder="1" applyAlignment="1" applyProtection="1">
      <alignment horizontal="center" vertical="center" wrapText="1"/>
      <protection locked="0"/>
    </xf>
    <xf numFmtId="0" fontId="128" fillId="29" borderId="61" xfId="0" applyFont="1" applyFill="1" applyBorder="1" applyAlignment="1" applyProtection="1">
      <alignment horizontal="center" vertical="center" wrapText="1"/>
      <protection locked="0"/>
    </xf>
    <xf numFmtId="0" fontId="44" fillId="29" borderId="5"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pivotCacheDefinition" Target="pivotCache/pivotCacheDefinition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ivotCacheDefinition" Target="pivotCache/pivotCacheDefinition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50</xdr:col>
      <xdr:colOff>476250</xdr:colOff>
      <xdr:row>6</xdr:row>
      <xdr:rowOff>47625</xdr:rowOff>
    </xdr:from>
    <xdr:to>
      <xdr:col>54</xdr:col>
      <xdr:colOff>313917</xdr:colOff>
      <xdr:row>9</xdr:row>
      <xdr:rowOff>285463</xdr:rowOff>
    </xdr:to>
    <xdr:pic>
      <xdr:nvPicPr>
        <xdr:cNvPr id="2" name="图片 1">
          <a:extLst>
            <a:ext uri="{FF2B5EF4-FFF2-40B4-BE49-F238E27FC236}">
              <a16:creationId xmlns:a16="http://schemas.microsoft.com/office/drawing/2014/main" id="{79505522-6073-C42E-1F50-A4AF538893D5}"/>
            </a:ext>
          </a:extLst>
        </xdr:cNvPr>
        <xdr:cNvPicPr>
          <a:picLocks noChangeAspect="1"/>
        </xdr:cNvPicPr>
      </xdr:nvPicPr>
      <xdr:blipFill>
        <a:blip xmlns:r="http://schemas.openxmlformats.org/officeDocument/2006/relationships" r:embed="rId1"/>
        <a:stretch>
          <a:fillRect/>
        </a:stretch>
      </xdr:blipFill>
      <xdr:spPr>
        <a:xfrm>
          <a:off x="19983450" y="3819525"/>
          <a:ext cx="3266667" cy="2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648846296295" createdVersion="8" refreshedVersion="8" minRefreshableVersion="3" recordCount="112" xr:uid="{BD412B0B-B714-4C73-832D-B7D134C11220}">
  <cacheSource type="worksheet">
    <worksheetSource ref="AG1:AQ1048576" sheet="分套结果"/>
  </cacheSource>
  <cacheFields count="11">
    <cacheField name="建筑面积" numFmtId="0">
      <sharedItems containsString="0" containsBlank="1" containsNumber="1" minValue="42.72" maxValue="3283.5699999999979"/>
    </cacheField>
    <cacheField name="用途" numFmtId="0">
      <sharedItems containsBlank="1" count="3">
        <s v="商业"/>
        <s v="商务办公"/>
        <m/>
      </sharedItems>
    </cacheField>
    <cacheField name="权证号" numFmtId="0">
      <sharedItems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2"/>
    </cacheField>
    <cacheField name="单价" numFmtId="0">
      <sharedItems containsString="0" containsBlank="1" containsNumber="1" containsInteger="1" minValue="6176" maxValue="18659"/>
    </cacheField>
    <cacheField name="总价" numFmtId="0">
      <sharedItems containsString="0" containsBlank="1" containsNumber="1" minValue="263838.71999999997" maxValue="21577496.4799999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0148958334" createdVersion="8" refreshedVersion="8" minRefreshableVersion="3" recordCount="224" xr:uid="{6E820A4D-F34D-40B5-9C76-8A5E3099A1C3}">
  <cacheSource type="worksheet">
    <worksheetSource ref="O1:Y1048576" sheet="分套结果"/>
  </cacheSource>
  <cacheFields count="11">
    <cacheField name="建筑面积" numFmtId="0">
      <sharedItems containsString="0" containsBlank="1" containsNumber="1" minValue="13.22" maxValue="9981.0600000000013"/>
    </cacheField>
    <cacheField name="用途" numFmtId="0">
      <sharedItems containsBlank="1" count="5">
        <s v="停车位"/>
        <s v="储藏室"/>
        <s v="商业"/>
        <s v="杂物间"/>
        <m/>
      </sharedItems>
    </cacheField>
    <cacheField name="权证号" numFmtId="0">
      <sharedItems containsNonDate="0" containsString="0" containsBlank="1"/>
    </cacheField>
    <cacheField name="登记时间" numFmtId="0">
      <sharedItems containsNonDate="0" containsDate="1" containsString="0" containsBlank="1" minDate="2024-03-13T00:00:00" maxDate="2024-03-14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332" maxValue="12128"/>
    </cacheField>
    <cacheField name="总价" numFmtId="0">
      <sharedItems containsString="0" containsBlank="1" containsNumber="1" minValue="30829.040000000001" maxValue="50445959.68000002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1056597223" createdVersion="8" refreshedVersion="8" minRefreshableVersion="3" recordCount="112" xr:uid="{7B42810B-9903-4649-A0CA-94412A59896C}">
  <cacheSource type="worksheet">
    <worksheetSource ref="AY1:BI1048576" sheet="分套结果"/>
  </cacheSource>
  <cacheFields count="11">
    <cacheField name="建筑面积" numFmtId="0">
      <sharedItems containsString="0" containsBlank="1" containsNumber="1" minValue="12.43" maxValue="4621.3200000000024"/>
    </cacheField>
    <cacheField name="用途" numFmtId="0">
      <sharedItems containsBlank="1" count="3">
        <s v="停车位"/>
        <s v="商业"/>
        <m/>
      </sharedItems>
    </cacheField>
    <cacheField name="权证号" numFmtId="0">
      <sharedItems containsNonDate="0" containsString="0"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408" maxValue="12128"/>
    </cacheField>
    <cacheField name="总价" numFmtId="0">
      <sharedItems containsString="0" containsBlank="1" containsNumber="1" minValue="75375.520000000004" maxValue="18783677.6000000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71.28"/>
    <x v="0"/>
    <s v="济南20230300377"/>
    <d v="2023-12-16T00:00:00"/>
    <s v="包商"/>
    <s v="其他"/>
    <s v="包商"/>
    <s v="深圳中院；盐城中院；其他"/>
    <n v="1"/>
    <n v="18659"/>
    <n v="1330013.52"/>
  </r>
  <r>
    <n v="129.47999999999999"/>
    <x v="0"/>
    <s v="济南20230300377"/>
    <d v="2023-12-16T00:00:00"/>
    <s v="包商；恒丰"/>
    <s v="深圳中院；其他"/>
    <s v="包商"/>
    <s v="深圳中院；盐城中院；其他"/>
    <n v="2"/>
    <n v="9330"/>
    <n v="1208048.3999999999"/>
  </r>
  <r>
    <n v="42.72"/>
    <x v="1"/>
    <s v="济南20230300377"/>
    <d v="2023-12-16T00:00:00"/>
    <s v="包商；恒丰"/>
    <s v="深圳中院；其他"/>
    <s v="包商"/>
    <s v="深圳中院；盐城中院；其他"/>
    <m/>
    <n v="6176"/>
    <n v="263838.71999999997"/>
  </r>
  <r>
    <n v="66.12"/>
    <x v="1"/>
    <s v="济南20230300377"/>
    <d v="2023-12-16T00:00:00"/>
    <s v="包商；恒丰"/>
    <s v="无"/>
    <s v="包商"/>
    <s v="深圳中院；盐城中院；其他"/>
    <m/>
    <n v="6176"/>
    <n v="408357.12000000005"/>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恒丰"/>
    <s v="无"/>
    <s v="包商"/>
    <s v="深圳中院；盐城中院；其他"/>
    <m/>
    <n v="6176"/>
    <n v="275881.92"/>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恒丰"/>
    <s v="深圳中院；其他"/>
    <s v="包商"/>
    <s v="深圳中院；盐城中院；其他"/>
    <m/>
    <n v="6176"/>
    <n v="275881.92"/>
  </r>
  <r>
    <n v="44.57"/>
    <x v="1"/>
    <s v="济南20230300377"/>
    <d v="2023-12-16T00:00:00"/>
    <s v="包商；恒丰"/>
    <s v="深圳中院；其他"/>
    <s v="包商"/>
    <s v="深圳中院；盐城中院；其他"/>
    <m/>
    <n v="6176"/>
    <n v="275264.32"/>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恒丰"/>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66.12"/>
    <x v="1"/>
    <s v="济南20230300377"/>
    <d v="2023-12-16T00:00:00"/>
    <s v="包商"/>
    <s v="无"/>
    <s v="包商"/>
    <s v="深圳中院；盐城中院；其他"/>
    <m/>
    <n v="6176"/>
    <n v="408357.12000000005"/>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其他"/>
    <s v="包商"/>
    <s v="深圳中院；盐城中院；其他"/>
    <m/>
    <n v="6176"/>
    <n v="263838.71999999997"/>
  </r>
  <r>
    <n v="51.35"/>
    <x v="1"/>
    <s v="济南20230300377"/>
    <d v="2023-12-16T00:00:00"/>
    <s v="包商；恒丰"/>
    <s v="无"/>
    <s v="包商"/>
    <s v="深圳中院；盐城中院；其他"/>
    <m/>
    <n v="6176"/>
    <n v="317137.60000000003"/>
  </r>
  <r>
    <n v="44.57"/>
    <x v="1"/>
    <s v="济南20230300377"/>
    <d v="2023-12-16T00:00:00"/>
    <s v="包商；恒丰"/>
    <s v="深圳中院；其他"/>
    <s v="包商"/>
    <s v="深圳中院；盐城中院；其他"/>
    <m/>
    <n v="6176"/>
    <n v="275264.32"/>
  </r>
  <r>
    <n v="44.57"/>
    <x v="1"/>
    <s v="济南20230300377"/>
    <d v="2023-12-16T00:00:00"/>
    <s v="包商；恒丰"/>
    <s v="深圳中院；其他"/>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4.57"/>
    <x v="1"/>
    <s v="济南20230300377"/>
    <d v="2023-12-16T00:00:00"/>
    <s v="包商；恒丰"/>
    <s v="深圳中院；其他"/>
    <s v="包商"/>
    <s v="深圳中院；盐城中院；其他"/>
    <m/>
    <n v="6176"/>
    <n v="275264.32"/>
  </r>
  <r>
    <n v="42.72"/>
    <x v="1"/>
    <s v="济南20230300377"/>
    <d v="2023-12-16T00:00:00"/>
    <s v="包商；恒丰"/>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51.35"/>
    <x v="1"/>
    <s v="济南20230300377"/>
    <d v="2023-12-16T00:00:00"/>
    <s v="包商；恒丰"/>
    <s v="深圳中院；其他"/>
    <s v="包商"/>
    <s v="深圳中院；盐城中院；其他"/>
    <m/>
    <n v="6176"/>
    <n v="317137.60000000003"/>
  </r>
  <r>
    <n v="3283.5699999999979"/>
    <x v="2"/>
    <s v="济南20230300377"/>
    <d v="2023-12-16T00:00:00"/>
    <s v="包商；恒丰"/>
    <s v="无"/>
    <s v="包商"/>
    <s v="深圳中院；盐城中院；其他"/>
    <m/>
    <m/>
    <n v="21577496.479999997"/>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7.68"/>
    <x v="0"/>
    <m/>
    <d v="2024-03-13T00:00:00"/>
    <s v="包商；恒丰"/>
    <s v="其他"/>
    <s v="包商"/>
    <s v="深圳中院；盐城中院；其他"/>
    <m/>
    <n v="2408"/>
    <n v="90733.440000000002"/>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85"/>
    <x v="1"/>
    <m/>
    <d v="2024-03-13T00:00:00"/>
    <s v="包商"/>
    <s v="其他"/>
    <s v="包商"/>
    <s v="深圳中院；盐城中院；其他"/>
    <m/>
    <n v="2332"/>
    <n v="198220"/>
  </r>
  <r>
    <n v="39.32"/>
    <x v="0"/>
    <m/>
    <d v="2024-03-13T00:00:00"/>
    <s v="包商"/>
    <s v="其他"/>
    <s v="包商"/>
    <s v="深圳中院；盐城中院；其他"/>
    <m/>
    <n v="2408"/>
    <n v="94682.559999999998"/>
  </r>
  <r>
    <n v="39.32"/>
    <x v="0"/>
    <m/>
    <d v="2024-03-13T00:00:00"/>
    <s v="包商"/>
    <s v="其他"/>
    <s v="包商"/>
    <s v="深圳中院；盐城中院；其他"/>
    <m/>
    <n v="2408"/>
    <n v="94682.559999999998"/>
  </r>
  <r>
    <n v="39.32"/>
    <x v="0"/>
    <m/>
    <d v="2024-03-13T00:00:00"/>
    <s v="包商"/>
    <s v="其他"/>
    <s v="包商"/>
    <s v="深圳中院；盐城中院；其他"/>
    <m/>
    <n v="2408"/>
    <n v="94682.559999999998"/>
  </r>
  <r>
    <n v="45"/>
    <x v="2"/>
    <m/>
    <d v="2024-03-13T00:00:00"/>
    <s v="包商"/>
    <s v="其他"/>
    <s v="包商"/>
    <s v="深圳中院；盐城中院；其他"/>
    <n v="1"/>
    <n v="12128"/>
    <n v="545760"/>
  </r>
  <r>
    <n v="60.83"/>
    <x v="2"/>
    <m/>
    <d v="2024-03-13T00:00:00"/>
    <s v="包商"/>
    <s v="其他"/>
    <s v="包商"/>
    <s v="深圳中院；盐城中院；其他"/>
    <n v="1"/>
    <n v="12128"/>
    <n v="737746.24"/>
  </r>
  <r>
    <n v="96.16"/>
    <x v="2"/>
    <m/>
    <d v="2024-03-13T00:00:00"/>
    <s v="包商"/>
    <s v="其他"/>
    <s v="包商"/>
    <s v="深圳中院；盐城中院；其他"/>
    <n v="1"/>
    <n v="12128"/>
    <n v="1166228.48"/>
  </r>
  <r>
    <n v="45.65"/>
    <x v="2"/>
    <m/>
    <d v="2024-03-13T00:00:00"/>
    <s v="包商"/>
    <s v="其他"/>
    <s v="包商"/>
    <s v="深圳中院；盐城中院；其他"/>
    <n v="2"/>
    <n v="6064"/>
    <n v="276821.59999999998"/>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58.14"/>
    <x v="2"/>
    <m/>
    <d v="2024-03-13T00:00:00"/>
    <s v="包商"/>
    <s v="其他"/>
    <s v="包商"/>
    <s v="深圳中院；盐城中院；其他"/>
    <n v="2"/>
    <n v="6064"/>
    <n v="352560.96"/>
  </r>
  <r>
    <n v="63.49"/>
    <x v="2"/>
    <m/>
    <d v="2024-03-13T00:00:00"/>
    <s v="包商"/>
    <s v="其他"/>
    <s v="包商"/>
    <s v="深圳中院；盐城中院；其他"/>
    <n v="2"/>
    <n v="6064"/>
    <n v="385003.36"/>
  </r>
  <r>
    <n v="107.91"/>
    <x v="2"/>
    <m/>
    <d v="2024-03-13T00:00:00"/>
    <s v="包商"/>
    <s v="其他"/>
    <s v="包商"/>
    <s v="深圳中院；盐城中院；其他"/>
    <n v="2"/>
    <n v="6064"/>
    <n v="654366.24"/>
  </r>
  <r>
    <n v="67.95"/>
    <x v="2"/>
    <m/>
    <d v="2024-03-13T00:00:00"/>
    <s v="包商"/>
    <s v="其他"/>
    <s v="包商"/>
    <s v="深圳中院；盐城中院；其他"/>
    <n v="2"/>
    <n v="6064"/>
    <n v="412048.8"/>
  </r>
  <r>
    <n v="68.5"/>
    <x v="2"/>
    <m/>
    <d v="2024-03-13T00:00:00"/>
    <s v="包商"/>
    <s v="其他"/>
    <s v="包商"/>
    <s v="深圳中院；盐城中院；其他"/>
    <n v="2"/>
    <n v="6064"/>
    <n v="415384"/>
  </r>
  <r>
    <n v="81.349999999999994"/>
    <x v="2"/>
    <m/>
    <d v="2024-03-13T00:00:00"/>
    <s v="包商"/>
    <s v="其他"/>
    <s v="包商"/>
    <s v="深圳中院；盐城中院；其他"/>
    <n v="2"/>
    <n v="6064"/>
    <n v="493306.39999999997"/>
  </r>
  <r>
    <n v="42.01"/>
    <x v="2"/>
    <m/>
    <d v="2024-03-13T00:00:00"/>
    <s v="包商"/>
    <s v="其他"/>
    <s v="包商"/>
    <s v="深圳中院；盐城中院；其他"/>
    <n v="2"/>
    <n v="6064"/>
    <n v="254748.63999999998"/>
  </r>
  <r>
    <n v="40.65"/>
    <x v="2"/>
    <m/>
    <d v="2024-03-13T00:00:00"/>
    <s v="包商"/>
    <s v="其他"/>
    <s v="包商"/>
    <s v="深圳中院；盐城中院；其他"/>
    <n v="3"/>
    <n v="6064"/>
    <n v="246501.6"/>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无"/>
    <s v="包商"/>
    <s v="深圳中院；盐城中院；其他"/>
    <n v="3"/>
    <n v="6064"/>
    <n v="389612"/>
  </r>
  <r>
    <n v="64.25"/>
    <x v="2"/>
    <m/>
    <d v="2024-03-13T00:00:00"/>
    <s v="包商"/>
    <s v="无"/>
    <s v="包商"/>
    <s v="深圳中院；盐城中院；其他"/>
    <n v="3"/>
    <n v="6064"/>
    <n v="389612"/>
  </r>
  <r>
    <n v="64.25"/>
    <x v="2"/>
    <m/>
    <d v="2024-03-13T00:00:00"/>
    <s v="包商；恒丰"/>
    <s v="无"/>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58.14"/>
    <x v="2"/>
    <m/>
    <d v="2024-03-13T00:00:00"/>
    <s v="包商；恒丰"/>
    <s v="其他"/>
    <s v="包商"/>
    <s v="深圳中院；盐城中院；其他"/>
    <n v="3"/>
    <n v="6064"/>
    <n v="352560.96"/>
  </r>
  <r>
    <n v="63.49"/>
    <x v="2"/>
    <m/>
    <d v="2024-03-13T00:00:00"/>
    <s v="包商；恒丰"/>
    <s v="其他"/>
    <s v="包商"/>
    <s v="深圳中院；盐城中院；其他"/>
    <n v="3"/>
    <n v="6064"/>
    <n v="385003.36"/>
  </r>
  <r>
    <n v="106.12"/>
    <x v="2"/>
    <m/>
    <d v="2024-03-13T00:00:00"/>
    <s v="包商；恒丰"/>
    <s v="其他"/>
    <s v="包商"/>
    <s v="深圳中院；盐城中院；其他"/>
    <n v="3"/>
    <n v="6064"/>
    <n v="643511.68000000005"/>
  </r>
  <r>
    <n v="67.459999999999994"/>
    <x v="2"/>
    <m/>
    <d v="2024-03-13T00:00:00"/>
    <s v="包商；恒丰"/>
    <s v="深圳；其他"/>
    <s v="包商"/>
    <s v="深圳中院；盐城中院；其他"/>
    <n v="3"/>
    <n v="6064"/>
    <n v="409077.43999999994"/>
  </r>
  <r>
    <n v="67.459999999999994"/>
    <x v="2"/>
    <m/>
    <d v="2024-03-13T00:00:00"/>
    <s v="包商；恒丰"/>
    <s v="深圳；其他"/>
    <s v="包商"/>
    <s v="深圳中院；盐城中院；其他"/>
    <n v="3"/>
    <n v="6064"/>
    <n v="409077.43999999994"/>
  </r>
  <r>
    <n v="80.31"/>
    <x v="2"/>
    <m/>
    <d v="2024-03-13T00:00:00"/>
    <s v="包商；恒丰"/>
    <s v="深圳；其他"/>
    <s v="包商"/>
    <s v="深圳中院；盐城中院；其他"/>
    <n v="3"/>
    <n v="6064"/>
    <n v="486999.84"/>
  </r>
  <r>
    <n v="41.52"/>
    <x v="2"/>
    <m/>
    <d v="2024-03-13T00:00:00"/>
    <s v="包商；恒丰"/>
    <s v="深圳；其他"/>
    <s v="包商"/>
    <s v="深圳中院；盐城中院；其他"/>
    <n v="3"/>
    <n v="6064"/>
    <n v="251777.28000000003"/>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其他"/>
    <s v="包商"/>
    <s v="深圳中院；盐城中院；其他"/>
    <n v="4"/>
    <n v="6064"/>
    <n v="389612"/>
  </r>
  <r>
    <n v="64.25"/>
    <x v="2"/>
    <m/>
    <d v="2024-03-13T00:00:00"/>
    <s v="包商；恒丰"/>
    <s v="其他"/>
    <s v="包商"/>
    <s v="深圳中院；盐城中院；其他"/>
    <n v="4"/>
    <n v="6064"/>
    <n v="389612"/>
  </r>
  <r>
    <n v="58.14"/>
    <x v="2"/>
    <m/>
    <d v="2024-03-13T00:00:00"/>
    <s v="包商；恒丰"/>
    <s v="其他"/>
    <s v="包商"/>
    <s v="深圳中院；盐城中院；其他"/>
    <n v="4"/>
    <n v="6064"/>
    <n v="352560.96"/>
  </r>
  <r>
    <n v="63.49"/>
    <x v="2"/>
    <m/>
    <d v="2024-03-13T00:00:00"/>
    <s v="包商"/>
    <s v="其他"/>
    <s v="包商"/>
    <s v="深圳中院；盐城中院；其他"/>
    <n v="4"/>
    <n v="6064"/>
    <n v="385003.36"/>
  </r>
  <r>
    <n v="185.77"/>
    <x v="2"/>
    <m/>
    <d v="2024-03-13T00:00:00"/>
    <s v="包商；恒丰"/>
    <s v="无"/>
    <s v="包商"/>
    <s v="深圳中院；盐城中院；其他"/>
    <n v="1"/>
    <n v="12128"/>
    <n v="2253018.56"/>
  </r>
  <r>
    <n v="167.29"/>
    <x v="2"/>
    <m/>
    <d v="2024-03-13T00:00:00"/>
    <s v="包商；恒丰"/>
    <s v="无"/>
    <s v="包商"/>
    <s v="深圳中院；盐城中院；其他"/>
    <n v="1"/>
    <n v="12128"/>
    <n v="2028893.1199999999"/>
  </r>
  <r>
    <n v="173.61"/>
    <x v="2"/>
    <m/>
    <d v="2024-03-13T00:00:00"/>
    <s v="包商；恒丰"/>
    <s v="无"/>
    <s v="包商"/>
    <s v="深圳中院；盐城中院；其他"/>
    <n v="1"/>
    <n v="12128"/>
    <n v="2105542.08"/>
  </r>
  <r>
    <n v="68.02"/>
    <x v="2"/>
    <m/>
    <d v="2024-03-13T00:00:00"/>
    <s v="包商；恒丰"/>
    <s v="无"/>
    <s v="包商"/>
    <s v="深圳中院；盐城中院；其他"/>
    <n v="2"/>
    <n v="6064"/>
    <n v="412473.27999999997"/>
  </r>
  <r>
    <n v="57.99"/>
    <x v="2"/>
    <m/>
    <d v="2024-03-13T00:00:00"/>
    <s v="包商；恒丰"/>
    <s v="无"/>
    <s v="包商"/>
    <s v="深圳中院；盐城中院；其他"/>
    <n v="2"/>
    <n v="6064"/>
    <n v="351651.36"/>
  </r>
  <r>
    <n v="61.1"/>
    <x v="2"/>
    <m/>
    <d v="2024-03-13T00:00:00"/>
    <s v="包商；恒丰"/>
    <s v="无"/>
    <s v="包商"/>
    <s v="深圳中院；盐城中院；其他"/>
    <n v="2"/>
    <n v="6064"/>
    <n v="370510.4"/>
  </r>
  <r>
    <n v="43.01"/>
    <x v="2"/>
    <m/>
    <d v="2024-03-13T00:00:00"/>
    <s v="包商；恒丰"/>
    <s v="深圳；其他"/>
    <s v="包商"/>
    <s v="深圳中院；盐城中院；其他"/>
    <n v="2"/>
    <n v="6064"/>
    <n v="260812.63999999998"/>
  </r>
  <r>
    <n v="58.77"/>
    <x v="2"/>
    <m/>
    <d v="2024-03-13T00:00:00"/>
    <s v="包商；恒丰"/>
    <s v="深圳；其他"/>
    <s v="包商"/>
    <s v="深圳中院；盐城中院；其他"/>
    <n v="2"/>
    <n v="6064"/>
    <n v="356381.28"/>
  </r>
  <r>
    <n v="58.75"/>
    <x v="2"/>
    <m/>
    <d v="2024-03-13T00:00:00"/>
    <s v="包商；恒丰"/>
    <s v="深圳；其他"/>
    <s v="包商"/>
    <s v="深圳中院；盐城中院；其他"/>
    <n v="2"/>
    <n v="6064"/>
    <n v="356260"/>
  </r>
  <r>
    <n v="65.81"/>
    <x v="2"/>
    <m/>
    <d v="2024-03-13T00:00:00"/>
    <s v="包商；恒丰"/>
    <s v="深圳；其他"/>
    <s v="包商"/>
    <s v="深圳中院；盐城中院；其他"/>
    <n v="2"/>
    <n v="6064"/>
    <n v="399071.84"/>
  </r>
  <r>
    <n v="26.2"/>
    <x v="2"/>
    <m/>
    <d v="2024-03-13T00:00:00"/>
    <s v="包商；恒丰"/>
    <s v="深圳；其他"/>
    <s v="包商"/>
    <s v="深圳中院；盐城中院；其他"/>
    <n v="2"/>
    <n v="6064"/>
    <n v="158876.79999999999"/>
  </r>
  <r>
    <n v="26.65"/>
    <x v="2"/>
    <m/>
    <d v="2024-03-13T00:00:00"/>
    <s v="包商；恒丰"/>
    <s v="深圳；其他"/>
    <s v="包商"/>
    <s v="深圳中院；盐城中院；其他"/>
    <n v="2"/>
    <n v="6064"/>
    <n v="161605.6"/>
  </r>
  <r>
    <n v="20.96"/>
    <x v="2"/>
    <m/>
    <d v="2024-03-13T00:00:00"/>
    <s v="包商；恒丰"/>
    <s v="深圳；其他"/>
    <s v="包商"/>
    <s v="深圳中院；盐城中院；其他"/>
    <n v="2"/>
    <n v="6064"/>
    <n v="127101.44"/>
  </r>
  <r>
    <n v="26.65"/>
    <x v="2"/>
    <m/>
    <d v="2024-03-13T00:00:00"/>
    <s v="包商；恒丰"/>
    <s v="深圳；其他"/>
    <s v="包商"/>
    <s v="深圳中院；盐城中院；其他"/>
    <n v="2"/>
    <n v="6064"/>
    <n v="161605.6"/>
  </r>
  <r>
    <n v="53.8"/>
    <x v="2"/>
    <m/>
    <d v="2024-03-13T00:00:00"/>
    <s v="包商；恒丰"/>
    <s v="深圳；其他"/>
    <s v="包商"/>
    <s v="深圳中院；盐城中院；其他"/>
    <n v="2"/>
    <n v="6064"/>
    <n v="326243.20000000001"/>
  </r>
  <r>
    <n v="62.12"/>
    <x v="2"/>
    <m/>
    <d v="2024-03-13T00:00:00"/>
    <s v="包商；恒丰"/>
    <s v="深圳；其他"/>
    <s v="包商"/>
    <s v="深圳中院；盐城中院；其他"/>
    <n v="2"/>
    <n v="6064"/>
    <n v="376695.68"/>
  </r>
  <r>
    <n v="55.27"/>
    <x v="2"/>
    <m/>
    <d v="2024-03-13T00:00:00"/>
    <s v="包商；恒丰"/>
    <s v="深圳；其他"/>
    <s v="包商"/>
    <s v="深圳中院；盐城中院；其他"/>
    <n v="2"/>
    <n v="6064"/>
    <n v="335157.28000000003"/>
  </r>
  <r>
    <n v="52.13"/>
    <x v="2"/>
    <m/>
    <d v="2024-03-13T00:00:00"/>
    <s v="包商；恒丰"/>
    <s v="无"/>
    <s v="包商"/>
    <s v="深圳中院；盐城中院；其他"/>
    <n v="2"/>
    <n v="6064"/>
    <n v="316116.32"/>
  </r>
  <r>
    <n v="75.459999999999994"/>
    <x v="2"/>
    <m/>
    <d v="2024-03-13T00:00:00"/>
    <s v="包商；恒丰"/>
    <s v="深圳；其他"/>
    <s v="包商"/>
    <s v="深圳中院；盐城中院；其他"/>
    <n v="2"/>
    <n v="6064"/>
    <n v="457589.43999999994"/>
  </r>
  <r>
    <n v="59.13"/>
    <x v="2"/>
    <m/>
    <d v="2024-03-13T00:00:00"/>
    <s v="包商；恒丰"/>
    <s v="深圳；其他"/>
    <s v="包商"/>
    <s v="深圳中院；盐城中院；其他"/>
    <n v="2"/>
    <n v="6064"/>
    <n v="358564.32"/>
  </r>
  <r>
    <n v="13.22"/>
    <x v="3"/>
    <m/>
    <d v="2024-03-13T00:00:00"/>
    <s v="包商；恒丰"/>
    <s v="深圳；其他"/>
    <s v="包商"/>
    <s v="深圳中院；盐城中院；其他"/>
    <m/>
    <n v="2332"/>
    <n v="30829.040000000001"/>
  </r>
  <r>
    <n v="69.16"/>
    <x v="2"/>
    <m/>
    <d v="2024-03-13T00:00:00"/>
    <s v="包商"/>
    <s v="无"/>
    <s v="包商"/>
    <s v="深圳中院；盐城中院；其他"/>
    <n v="3"/>
    <n v="6064"/>
    <n v="419386.24"/>
  </r>
  <r>
    <n v="59.05"/>
    <x v="2"/>
    <m/>
    <d v="2024-03-13T00:00:00"/>
    <s v="包商；恒丰"/>
    <s v="深圳；其他"/>
    <s v="包商"/>
    <s v="深圳中院；盐城中院；其他"/>
    <n v="3"/>
    <n v="6064"/>
    <n v="358079.2"/>
  </r>
  <r>
    <n v="62.16"/>
    <x v="2"/>
    <m/>
    <d v="2024-03-13T00:00:00"/>
    <s v="包商；恒丰"/>
    <s v="深圳；其他"/>
    <s v="包商"/>
    <s v="深圳中院；盐城中院；其他"/>
    <n v="3"/>
    <n v="6064"/>
    <n v="376938.23999999999"/>
  </r>
  <r>
    <n v="43.01"/>
    <x v="2"/>
    <m/>
    <d v="2024-03-13T00:00:00"/>
    <s v="包商；恒丰"/>
    <s v="无"/>
    <s v="包商"/>
    <s v="深圳中院；盐城中院；其他"/>
    <n v="3"/>
    <n v="6064"/>
    <n v="260812.63999999998"/>
  </r>
  <r>
    <n v="59.83"/>
    <x v="2"/>
    <m/>
    <d v="2024-03-13T00:00:00"/>
    <s v="包商；恒丰"/>
    <s v="深圳；其他"/>
    <s v="包商"/>
    <s v="深圳中院；盐城中院；其他"/>
    <n v="3"/>
    <n v="6064"/>
    <n v="362809.12"/>
  </r>
  <r>
    <n v="59.83"/>
    <x v="2"/>
    <m/>
    <d v="2024-03-13T00:00:00"/>
    <s v="包商；恒丰"/>
    <s v="无"/>
    <s v="包商"/>
    <s v="深圳中院；盐城中院；其他"/>
    <n v="3"/>
    <n v="6064"/>
    <n v="362809.12"/>
  </r>
  <r>
    <n v="66.89"/>
    <x v="2"/>
    <m/>
    <d v="2024-03-13T00:00:00"/>
    <s v="包商；恒丰"/>
    <s v="深圳；其他"/>
    <s v="包商"/>
    <s v="深圳中院；盐城中院；其他"/>
    <n v="3"/>
    <n v="6064"/>
    <n v="405620.96"/>
  </r>
  <r>
    <n v="27.39"/>
    <x v="2"/>
    <m/>
    <d v="2024-03-13T00:00:00"/>
    <s v="包商；恒丰"/>
    <s v="深圳；其他"/>
    <s v="包商"/>
    <s v="深圳中院；盐城中院；其他"/>
    <n v="3"/>
    <n v="6064"/>
    <n v="166092.96"/>
  </r>
  <r>
    <n v="21.5"/>
    <x v="2"/>
    <m/>
    <d v="2024-03-13T00:00:00"/>
    <s v="包商；恒丰"/>
    <s v="深圳；其他"/>
    <s v="包商"/>
    <s v="深圳中院；盐城中院；其他"/>
    <n v="3"/>
    <n v="6064"/>
    <n v="130376"/>
  </r>
  <r>
    <n v="26.65"/>
    <x v="2"/>
    <m/>
    <d v="2024-03-13T00:00:00"/>
    <s v="包商；恒丰"/>
    <s v="深圳；其他"/>
    <s v="包商"/>
    <s v="深圳中院；盐城中院；其他"/>
    <n v="3"/>
    <n v="6064"/>
    <n v="161605.6"/>
  </r>
  <r>
    <n v="30.52"/>
    <x v="2"/>
    <m/>
    <d v="2024-03-13T00:00:00"/>
    <s v="包商；恒丰"/>
    <s v="深圳；其他"/>
    <s v="包商"/>
    <s v="深圳中院；盐城中院；其他"/>
    <n v="3"/>
    <n v="6064"/>
    <n v="185073.28"/>
  </r>
  <r>
    <n v="26.65"/>
    <x v="2"/>
    <m/>
    <d v="2024-03-13T00:00:00"/>
    <s v="包商；恒丰"/>
    <s v="深圳；其他"/>
    <s v="包商"/>
    <s v="深圳中院；盐城中院；其他"/>
    <n v="3"/>
    <n v="6064"/>
    <n v="161605.6"/>
  </r>
  <r>
    <n v="56.18"/>
    <x v="2"/>
    <m/>
    <d v="2024-03-13T00:00:00"/>
    <s v="包商；恒丰"/>
    <s v="深圳；其他"/>
    <s v="包商"/>
    <s v="深圳中院；盐城中院；其他"/>
    <n v="3"/>
    <n v="6064"/>
    <n v="340675.52"/>
  </r>
  <r>
    <n v="53.03"/>
    <x v="2"/>
    <m/>
    <d v="2024-03-13T00:00:00"/>
    <s v="包商"/>
    <s v="深圳；其他"/>
    <s v="包商"/>
    <s v="深圳中院；盐城中院；其他"/>
    <n v="3"/>
    <n v="6064"/>
    <n v="321573.92"/>
  </r>
  <r>
    <n v="74.010000000000005"/>
    <x v="2"/>
    <m/>
    <d v="2024-03-13T00:00:00"/>
    <s v="包商；恒丰"/>
    <s v="深圳；其他"/>
    <s v="包商"/>
    <s v="深圳中院；盐城中院；其他"/>
    <n v="3"/>
    <n v="6064"/>
    <n v="448796.64"/>
  </r>
  <r>
    <n v="57.92"/>
    <x v="2"/>
    <m/>
    <d v="2024-03-13T00:00:00"/>
    <s v="包商；恒丰"/>
    <s v="深圳；其他"/>
    <s v="包商"/>
    <s v="深圳中院；盐城中院；其他"/>
    <n v="3"/>
    <n v="6064"/>
    <n v="351226.88"/>
  </r>
  <r>
    <n v="13.22"/>
    <x v="3"/>
    <m/>
    <d v="2024-03-13T00:00:00"/>
    <s v="包商；恒丰"/>
    <s v="深圳；其他"/>
    <s v="包商"/>
    <s v="深圳中院；盐城中院；其他"/>
    <m/>
    <n v="2332"/>
    <n v="30829.040000000001"/>
  </r>
  <r>
    <n v="69.16"/>
    <x v="2"/>
    <m/>
    <d v="2024-03-13T00:00:00"/>
    <s v="包商；恒丰"/>
    <s v="深圳；其他"/>
    <s v="包商"/>
    <s v="深圳中院；盐城中院；其他"/>
    <n v="4"/>
    <n v="6064"/>
    <n v="419386.24"/>
  </r>
  <r>
    <n v="79.47"/>
    <x v="2"/>
    <m/>
    <d v="2024-03-13T00:00:00"/>
    <s v="包商；恒丰"/>
    <s v="深圳；其他"/>
    <s v="包商"/>
    <s v="深圳中院；盐城中院；其他"/>
    <n v="4"/>
    <n v="6064"/>
    <n v="481906.08"/>
  </r>
  <r>
    <n v="59.05"/>
    <x v="2"/>
    <m/>
    <d v="2024-03-13T00:00:00"/>
    <s v="包商；恒丰"/>
    <s v="深圳；其他"/>
    <s v="包商"/>
    <s v="深圳中院；盐城中院；其他"/>
    <n v="4"/>
    <n v="6064"/>
    <n v="358079.2"/>
  </r>
  <r>
    <n v="62.16"/>
    <x v="2"/>
    <m/>
    <d v="2024-03-13T00:00:00"/>
    <s v="包商；恒丰"/>
    <s v="深圳；其他"/>
    <s v="包商"/>
    <s v="深圳中院；盐城中院；其他"/>
    <n v="4"/>
    <n v="6064"/>
    <n v="376938.23999999999"/>
  </r>
  <r>
    <n v="43.01"/>
    <x v="2"/>
    <m/>
    <d v="2024-03-13T00:00:00"/>
    <s v="包商；恒丰"/>
    <s v="深圳；其他"/>
    <s v="包商"/>
    <s v="深圳中院；盐城中院；其他"/>
    <n v="4"/>
    <n v="6064"/>
    <n v="260812.63999999998"/>
  </r>
  <r>
    <n v="59.83"/>
    <x v="2"/>
    <m/>
    <d v="2024-03-13T00:00:00"/>
    <s v="包商；恒丰"/>
    <s v="深圳；其他"/>
    <s v="包商"/>
    <s v="深圳中院；盐城中院；其他"/>
    <n v="4"/>
    <n v="6064"/>
    <n v="362809.12"/>
  </r>
  <r>
    <n v="59.83"/>
    <x v="2"/>
    <m/>
    <d v="2024-03-13T00:00:00"/>
    <s v="包商；恒丰"/>
    <s v="深圳；其他"/>
    <s v="包商"/>
    <s v="深圳中院；盐城中院；其他"/>
    <n v="4"/>
    <n v="6064"/>
    <n v="362809.12"/>
  </r>
  <r>
    <n v="66.89"/>
    <x v="2"/>
    <m/>
    <d v="2024-03-13T00:00:00"/>
    <s v="包商；恒丰"/>
    <s v="无"/>
    <s v="包商"/>
    <s v="深圳中院；盐城中院；其他"/>
    <n v="4"/>
    <n v="6064"/>
    <n v="405620.96"/>
  </r>
  <r>
    <n v="21.5"/>
    <x v="2"/>
    <m/>
    <d v="2024-03-13T00:00:00"/>
    <s v="包商；恒丰"/>
    <s v="无"/>
    <s v="包商"/>
    <s v="深圳中院；盐城中院；其他"/>
    <n v="4"/>
    <n v="6064"/>
    <n v="130376"/>
  </r>
  <r>
    <n v="26.65"/>
    <x v="2"/>
    <m/>
    <d v="2024-03-13T00:00:00"/>
    <s v="包商；恒丰"/>
    <s v="无"/>
    <s v="包商"/>
    <s v="深圳中院；盐城中院；其他"/>
    <n v="4"/>
    <n v="6064"/>
    <n v="161605.6"/>
  </r>
  <r>
    <n v="32.049999999999997"/>
    <x v="2"/>
    <m/>
    <d v="2024-03-13T00:00:00"/>
    <s v="包商；恒丰"/>
    <s v="无"/>
    <s v="包商"/>
    <s v="深圳中院；盐城中院；其他"/>
    <n v="4"/>
    <n v="6064"/>
    <n v="194351.19999999998"/>
  </r>
  <r>
    <n v="21.5"/>
    <x v="2"/>
    <m/>
    <d v="2024-03-13T00:00:00"/>
    <s v="包商；恒丰"/>
    <s v="无"/>
    <s v="包商"/>
    <s v="深圳中院；盐城中院；其他"/>
    <n v="4"/>
    <n v="6064"/>
    <n v="130376"/>
  </r>
  <r>
    <n v="56.19"/>
    <x v="2"/>
    <m/>
    <d v="2024-03-13T00:00:00"/>
    <s v="包商；恒丰"/>
    <s v="深圳"/>
    <s v="包商"/>
    <s v="深圳中院；盐城中院；其他"/>
    <n v="4"/>
    <n v="6064"/>
    <n v="340736.16"/>
  </r>
  <r>
    <n v="63.02"/>
    <x v="2"/>
    <m/>
    <d v="2024-03-13T00:00:00"/>
    <s v="包商；恒丰"/>
    <s v="深圳"/>
    <s v="包商"/>
    <s v="深圳中院；盐城中院；其他"/>
    <n v="4"/>
    <n v="6064"/>
    <n v="382153.28"/>
  </r>
  <r>
    <n v="54.55"/>
    <x v="2"/>
    <m/>
    <d v="2024-03-13T00:00:00"/>
    <s v="包商；恒丰"/>
    <s v="深圳"/>
    <s v="包商"/>
    <s v="深圳中院；盐城中院；其他"/>
    <n v="4"/>
    <n v="6064"/>
    <n v="330791.2"/>
  </r>
  <r>
    <n v="54.66"/>
    <x v="2"/>
    <m/>
    <d v="2024-03-13T00:00:00"/>
    <s v="包商；恒丰"/>
    <s v="无"/>
    <s v="包商"/>
    <s v="深圳中院；盐城中院；其他"/>
    <n v="4"/>
    <n v="6064"/>
    <n v="331458.24"/>
  </r>
  <r>
    <n v="75.459999999999994"/>
    <x v="2"/>
    <m/>
    <d v="2024-03-13T00:00:00"/>
    <s v="包商；恒丰"/>
    <s v="深圳"/>
    <s v="包商"/>
    <s v="深圳中院；盐城中院；其他"/>
    <n v="4"/>
    <n v="6064"/>
    <n v="457589.43999999994"/>
  </r>
  <r>
    <n v="59.13"/>
    <x v="2"/>
    <m/>
    <d v="2024-03-13T00:00:00"/>
    <s v="包商；恒丰"/>
    <s v="深圳；其他"/>
    <s v="包商"/>
    <s v="深圳中院；盐城中院；其他"/>
    <n v="4"/>
    <n v="6064"/>
    <n v="358564.32"/>
  </r>
  <r>
    <n v="9981.0600000000013"/>
    <x v="4"/>
    <m/>
    <d v="2024-03-13T00:00:00"/>
    <s v="包商；恒丰"/>
    <s v="深圳；其他"/>
    <s v="包商"/>
    <s v="深圳中院；盐城中院；其他"/>
    <m/>
    <m/>
    <n v="50445959.680000022"/>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104.3"/>
    <x v="1"/>
    <m/>
    <d v="2023-12-16T00:00:00"/>
    <s v="包商"/>
    <s v="深圳；其他"/>
    <s v="包商"/>
    <s v="深圳中院；盐城中院；其他"/>
    <n v="1"/>
    <n v="12128"/>
    <n v="1264950.3999999999"/>
  </r>
  <r>
    <n v="69.05"/>
    <x v="1"/>
    <m/>
    <d v="2023-12-16T00:00:00"/>
    <s v="包商"/>
    <s v="无"/>
    <s v="包商"/>
    <s v="深圳中院；盐城中院；其他"/>
    <n v="1"/>
    <n v="12128"/>
    <n v="837438.4"/>
  </r>
  <r>
    <n v="25.26"/>
    <x v="1"/>
    <m/>
    <d v="2023-12-16T00:00:00"/>
    <s v="包商；恒丰"/>
    <s v="深圳；其他"/>
    <s v="包商"/>
    <s v="深圳中院；盐城中院；其他"/>
    <n v="2"/>
    <n v="6064"/>
    <n v="153176.64000000001"/>
  </r>
  <r>
    <n v="30.85"/>
    <x v="1"/>
    <m/>
    <d v="2023-12-16T00:00:00"/>
    <s v="包商；恒丰"/>
    <s v="深圳；其他"/>
    <s v="包商"/>
    <s v="深圳中院；盐城中院；其他"/>
    <n v="2"/>
    <n v="6064"/>
    <n v="187074.4"/>
  </r>
  <r>
    <n v="33.31"/>
    <x v="1"/>
    <m/>
    <d v="2023-12-16T00:00:00"/>
    <s v="包商；恒丰"/>
    <s v="深圳；其他"/>
    <s v="包商"/>
    <s v="深圳中院；盐城中院；其他"/>
    <n v="2"/>
    <n v="6064"/>
    <n v="201991.84000000003"/>
  </r>
  <r>
    <n v="33.99"/>
    <x v="1"/>
    <m/>
    <d v="2023-12-16T00:00:00"/>
    <s v="包商；恒丰"/>
    <s v="深圳；其他"/>
    <s v="包商"/>
    <s v="深圳中院；盐城中院；其他"/>
    <n v="2"/>
    <n v="6064"/>
    <n v="206115.36000000002"/>
  </r>
  <r>
    <n v="35.99"/>
    <x v="1"/>
    <m/>
    <d v="2023-12-16T00:00:00"/>
    <s v="包商；恒丰"/>
    <s v="深圳；其他"/>
    <s v="包商"/>
    <s v="深圳中院；盐城中院；其他"/>
    <n v="2"/>
    <n v="6064"/>
    <n v="218243.36000000002"/>
  </r>
  <r>
    <n v="36.92"/>
    <x v="1"/>
    <m/>
    <d v="2023-12-16T00:00:00"/>
    <s v="包商；恒丰"/>
    <s v="深圳；其他"/>
    <s v="包商"/>
    <s v="深圳中院；盐城中院；其他"/>
    <n v="2"/>
    <n v="6064"/>
    <n v="223882.88"/>
  </r>
  <r>
    <n v="36.17"/>
    <x v="1"/>
    <m/>
    <d v="2023-12-16T00:00:00"/>
    <s v="包商；恒丰"/>
    <s v="深圳；其他"/>
    <s v="包商"/>
    <s v="深圳中院；盐城中院；其他"/>
    <n v="2"/>
    <n v="6064"/>
    <n v="219334.88"/>
  </r>
  <r>
    <n v="22.28"/>
    <x v="1"/>
    <m/>
    <d v="2023-12-16T00:00:00"/>
    <s v="包商；恒丰"/>
    <s v="深圳；其他"/>
    <s v="包商"/>
    <s v="深圳中院；盐城中院；其他"/>
    <n v="2"/>
    <n v="6064"/>
    <n v="135105.92000000001"/>
  </r>
  <r>
    <n v="36.630000000000003"/>
    <x v="1"/>
    <m/>
    <d v="2023-12-16T00:00:00"/>
    <s v="包商；恒丰"/>
    <s v="深圳；其他"/>
    <s v="包商"/>
    <s v="深圳中院；盐城中院；其他"/>
    <n v="2"/>
    <n v="6064"/>
    <n v="222124.32"/>
  </r>
  <r>
    <n v="37.590000000000003"/>
    <x v="1"/>
    <m/>
    <d v="2023-12-16T00:00:00"/>
    <s v="包商；恒丰"/>
    <s v="深圳；其他"/>
    <s v="包商"/>
    <s v="深圳中院；盐城中院；其他"/>
    <n v="2"/>
    <n v="6064"/>
    <n v="227945.76"/>
  </r>
  <r>
    <n v="12.43"/>
    <x v="1"/>
    <m/>
    <d v="2023-12-16T00:00:00"/>
    <s v="包商；恒丰"/>
    <s v="深圳；其他"/>
    <s v="包商"/>
    <s v="深圳中院；盐城中院；其他"/>
    <n v="2"/>
    <n v="6064"/>
    <n v="75375.520000000004"/>
  </r>
  <r>
    <n v="33.549999999999997"/>
    <x v="1"/>
    <m/>
    <d v="2023-12-16T00:00:00"/>
    <s v="包商；恒丰"/>
    <s v="深圳；其他"/>
    <s v="包商"/>
    <s v="深圳中院；盐城中院；其他"/>
    <n v="2"/>
    <n v="6064"/>
    <n v="203447.19999999998"/>
  </r>
  <r>
    <n v="33.51"/>
    <x v="1"/>
    <m/>
    <d v="2023-12-16T00:00:00"/>
    <s v="包商；恒丰"/>
    <s v="深圳；其他"/>
    <s v="包商"/>
    <s v="深圳中院；盐城中院；其他"/>
    <n v="2"/>
    <n v="6064"/>
    <n v="203204.63999999998"/>
  </r>
  <r>
    <n v="61.2"/>
    <x v="1"/>
    <m/>
    <d v="2023-12-16T00:00:00"/>
    <s v="包商；恒丰"/>
    <s v="深圳；其他"/>
    <s v="包商"/>
    <s v="深圳中院；盐城中院；其他"/>
    <n v="2"/>
    <n v="6064"/>
    <n v="371116.79999999999"/>
  </r>
  <r>
    <n v="52.44"/>
    <x v="1"/>
    <m/>
    <d v="2023-12-16T00:00:00"/>
    <s v="包商；恒丰"/>
    <s v="深圳；其他"/>
    <s v="包商"/>
    <s v="深圳中院；盐城中院；其他"/>
    <n v="2"/>
    <n v="6064"/>
    <n v="317996.15999999997"/>
  </r>
  <r>
    <n v="47.89"/>
    <x v="1"/>
    <m/>
    <d v="2023-12-16T00:00:00"/>
    <s v="包商；恒丰"/>
    <s v="深圳；其他"/>
    <s v="包商"/>
    <s v="深圳中院；盐城中院；其他"/>
    <n v="2"/>
    <n v="6064"/>
    <n v="290404.96000000002"/>
  </r>
  <r>
    <n v="18.7"/>
    <x v="1"/>
    <m/>
    <d v="2023-12-16T00:00:00"/>
    <s v="包商；恒丰"/>
    <s v="深圳；其他"/>
    <s v="包商"/>
    <s v="深圳中院；盐城中院；其他"/>
    <n v="2"/>
    <n v="6064"/>
    <n v="113396.8"/>
  </r>
  <r>
    <n v="33.51"/>
    <x v="1"/>
    <m/>
    <d v="2023-12-16T00:00:00"/>
    <s v="包商；恒丰"/>
    <s v="深圳；其他"/>
    <s v="包商"/>
    <s v="深圳中院；盐城中院；其他"/>
    <n v="2"/>
    <n v="6064"/>
    <n v="203204.63999999998"/>
  </r>
  <r>
    <n v="33.26"/>
    <x v="1"/>
    <m/>
    <d v="2023-12-16T00:00:00"/>
    <s v="包商；恒丰"/>
    <s v="深圳；其他"/>
    <s v="包商"/>
    <s v="深圳中院；盐城中院；其他"/>
    <n v="2"/>
    <n v="6064"/>
    <n v="201688.63999999998"/>
  </r>
  <r>
    <n v="33.93"/>
    <x v="1"/>
    <m/>
    <d v="2023-12-16T00:00:00"/>
    <s v="包商；恒丰"/>
    <s v="深圳；其他"/>
    <s v="包商"/>
    <s v="深圳中院；盐城中院；其他"/>
    <n v="2"/>
    <n v="6064"/>
    <n v="205751.52"/>
  </r>
  <r>
    <n v="33.31"/>
    <x v="1"/>
    <m/>
    <d v="2023-12-16T00:00:00"/>
    <s v="包商；恒丰"/>
    <s v="深圳；其他"/>
    <s v="包商"/>
    <s v="深圳中院；盐城中院；其他"/>
    <n v="2"/>
    <n v="6064"/>
    <n v="201991.84000000003"/>
  </r>
  <r>
    <n v="29.91"/>
    <x v="1"/>
    <m/>
    <d v="2023-12-16T00:00:00"/>
    <s v="包商；恒丰"/>
    <s v="深圳；其他"/>
    <s v="包商"/>
    <s v="深圳中院；盐城中院；其他"/>
    <n v="2"/>
    <n v="6064"/>
    <n v="181374.24"/>
  </r>
  <r>
    <n v="26.2"/>
    <x v="1"/>
    <m/>
    <d v="2023-12-16T00:00:00"/>
    <s v="包商；恒丰"/>
    <s v="深圳；其他"/>
    <s v="包商"/>
    <s v="深圳中院；盐城中院；其他"/>
    <n v="2"/>
    <n v="6064"/>
    <n v="158876.79999999999"/>
  </r>
  <r>
    <n v="25.26"/>
    <x v="1"/>
    <m/>
    <d v="2023-12-16T00:00:00"/>
    <s v="包商；恒丰"/>
    <s v="深圳；其他"/>
    <s v="包商"/>
    <s v="深圳中院；盐城中院；其他"/>
    <n v="3"/>
    <n v="6064"/>
    <n v="153176.64000000001"/>
  </r>
  <r>
    <n v="30.85"/>
    <x v="1"/>
    <m/>
    <d v="2023-12-16T00:00:00"/>
    <s v="包商；恒丰"/>
    <s v="深圳；其他"/>
    <s v="包商"/>
    <s v="深圳中院；盐城中院；其他"/>
    <n v="3"/>
    <n v="6064"/>
    <n v="187074.4"/>
  </r>
  <r>
    <n v="34.159999999999997"/>
    <x v="1"/>
    <m/>
    <d v="2023-12-16T00:00:00"/>
    <s v="包商；恒丰"/>
    <s v="深圳；其他"/>
    <s v="包商"/>
    <s v="深圳中院；盐城中院；其他"/>
    <n v="3"/>
    <n v="6064"/>
    <n v="207146.23999999999"/>
  </r>
  <r>
    <n v="33.14"/>
    <x v="1"/>
    <m/>
    <d v="2023-12-16T00:00:00"/>
    <s v="包商；恒丰"/>
    <s v="深圳；其他"/>
    <s v="包商"/>
    <s v="深圳中院；盐城中院；其他"/>
    <n v="3"/>
    <n v="6064"/>
    <n v="200960.96"/>
  </r>
  <r>
    <n v="22.28"/>
    <x v="1"/>
    <m/>
    <d v="2023-12-16T00:00:00"/>
    <s v="包商；恒丰"/>
    <s v="深圳；其他"/>
    <s v="包商"/>
    <s v="深圳中院；盐城中院；其他"/>
    <n v="3"/>
    <n v="6064"/>
    <n v="135105.92000000001"/>
  </r>
  <r>
    <n v="36.630000000000003"/>
    <x v="1"/>
    <m/>
    <d v="2023-12-16T00:00:00"/>
    <s v="包商；恒丰"/>
    <s v="深圳；其他"/>
    <s v="包商"/>
    <s v="深圳中院；盐城中院；其他"/>
    <n v="3"/>
    <n v="6064"/>
    <n v="222124.32"/>
  </r>
  <r>
    <n v="37.590000000000003"/>
    <x v="1"/>
    <m/>
    <d v="2023-12-16T00:00:00"/>
    <s v="包商；恒丰"/>
    <s v="深圳；其他"/>
    <s v="包商"/>
    <s v="深圳中院；盐城中院；其他"/>
    <n v="3"/>
    <n v="6064"/>
    <n v="227945.76"/>
  </r>
  <r>
    <n v="12.51"/>
    <x v="1"/>
    <m/>
    <d v="2023-12-16T00:00:00"/>
    <s v="包商；恒丰"/>
    <s v="深圳；其他"/>
    <s v="包商"/>
    <s v="深圳中院；盐城中院；其他"/>
    <n v="3"/>
    <n v="6064"/>
    <n v="75860.639999999999"/>
  </r>
  <r>
    <n v="33.26"/>
    <x v="1"/>
    <m/>
    <d v="2023-12-16T00:00:00"/>
    <s v="包商；恒丰"/>
    <s v="深圳；其他"/>
    <s v="包商"/>
    <s v="深圳中院；盐城中院；其他"/>
    <n v="3"/>
    <n v="6064"/>
    <n v="201688.63999999998"/>
  </r>
  <r>
    <n v="33.51"/>
    <x v="1"/>
    <m/>
    <d v="2023-12-16T00:00:00"/>
    <s v="包商；恒丰"/>
    <s v="深圳；其他"/>
    <s v="包商"/>
    <s v="深圳中院；盐城中院；其他"/>
    <n v="3"/>
    <n v="6064"/>
    <n v="203204.63999999998"/>
  </r>
  <r>
    <n v="61.2"/>
    <x v="1"/>
    <m/>
    <d v="2023-12-16T00:00:00"/>
    <s v="包商；恒丰"/>
    <s v="深圳；其他"/>
    <s v="包商"/>
    <s v="深圳中院；盐城中院；其他"/>
    <n v="3"/>
    <n v="6064"/>
    <n v="371116.79999999999"/>
  </r>
  <r>
    <n v="52.44"/>
    <x v="1"/>
    <m/>
    <d v="2023-12-16T00:00:00"/>
    <s v="包商；恒丰"/>
    <s v="深圳；其他"/>
    <s v="包商"/>
    <s v="深圳中院；盐城中院；其他"/>
    <n v="3"/>
    <n v="6064"/>
    <n v="317996.15999999997"/>
  </r>
  <r>
    <n v="47.89"/>
    <x v="1"/>
    <m/>
    <d v="2023-12-16T00:00:00"/>
    <s v="包商；恒丰"/>
    <s v="深圳；其他"/>
    <s v="包商"/>
    <s v="深圳中院；盐城中院；其他"/>
    <n v="3"/>
    <n v="6064"/>
    <n v="290404.96000000002"/>
  </r>
  <r>
    <n v="18.7"/>
    <x v="1"/>
    <m/>
    <d v="2023-12-16T00:00:00"/>
    <s v="包商；恒丰"/>
    <s v="深圳；其他"/>
    <s v="包商"/>
    <s v="深圳中院；盐城中院；其他"/>
    <n v="3"/>
    <n v="6064"/>
    <n v="113396.8"/>
  </r>
  <r>
    <n v="33.58"/>
    <x v="1"/>
    <m/>
    <d v="2023-12-16T00:00:00"/>
    <s v="包商；恒丰"/>
    <s v="深圳；其他"/>
    <s v="包商"/>
    <s v="深圳中院；盐城中院；其他"/>
    <n v="3"/>
    <n v="6064"/>
    <n v="203629.12"/>
  </r>
  <r>
    <n v="33.65"/>
    <x v="1"/>
    <m/>
    <d v="2023-12-16T00:00:00"/>
    <s v="包商；恒丰"/>
    <s v="深圳；其他"/>
    <s v="包商"/>
    <s v="深圳中院；盐城中院；其他"/>
    <n v="3"/>
    <n v="6064"/>
    <n v="204053.6"/>
  </r>
  <r>
    <n v="30.85"/>
    <x v="1"/>
    <m/>
    <d v="2023-12-16T00:00:00"/>
    <s v="包商；恒丰"/>
    <s v="深圳；其他"/>
    <s v="包商"/>
    <s v="深圳中院；盐城中院；其他"/>
    <n v="3"/>
    <n v="6064"/>
    <n v="187074.4"/>
  </r>
  <r>
    <n v="25.26"/>
    <x v="1"/>
    <m/>
    <d v="2023-12-16T00:00:00"/>
    <s v="包商；恒丰"/>
    <s v="深圳；其他"/>
    <s v="包商"/>
    <s v="深圳中院；盐城中院；其他"/>
    <n v="3"/>
    <n v="6064"/>
    <n v="153176.64000000001"/>
  </r>
  <r>
    <n v="25.26"/>
    <x v="1"/>
    <m/>
    <d v="2023-12-16T00:00:00"/>
    <s v="包商；恒丰"/>
    <s v="无"/>
    <s v="包商"/>
    <s v="深圳中院；盐城中院；其他"/>
    <n v="4"/>
    <n v="6064"/>
    <n v="153176.64000000001"/>
  </r>
  <r>
    <n v="12.43"/>
    <x v="1"/>
    <m/>
    <d v="2023-12-16T00:00:00"/>
    <s v="包商；恒丰"/>
    <s v="无"/>
    <s v="包商"/>
    <s v="深圳中院；盐城中院；其他"/>
    <n v="4"/>
    <n v="6064"/>
    <n v="75375.520000000004"/>
  </r>
  <r>
    <n v="61.2"/>
    <x v="1"/>
    <m/>
    <d v="2023-12-16T00:00:00"/>
    <s v="包商；恒丰"/>
    <s v="无"/>
    <s v="包商"/>
    <s v="深圳中院；盐城中院；其他"/>
    <n v="4"/>
    <n v="6064"/>
    <n v="371116.79999999999"/>
  </r>
  <r>
    <n v="52.44"/>
    <x v="1"/>
    <m/>
    <d v="2023-12-16T00:00:00"/>
    <s v="包商；恒丰"/>
    <s v="无"/>
    <s v="包商"/>
    <s v="深圳中院；盐城中院；其他"/>
    <n v="4"/>
    <n v="6064"/>
    <n v="317996.15999999997"/>
  </r>
  <r>
    <n v="47.89"/>
    <x v="1"/>
    <m/>
    <d v="2023-12-16T00:00:00"/>
    <s v="包商；恒丰"/>
    <s v="无"/>
    <s v="包商"/>
    <s v="深圳中院；盐城中院；其他"/>
    <n v="4"/>
    <n v="6064"/>
    <n v="290404.96000000002"/>
  </r>
  <r>
    <n v="18.7"/>
    <x v="1"/>
    <m/>
    <d v="2023-12-16T00:00:00"/>
    <s v="包商；恒丰"/>
    <s v="无"/>
    <s v="包商"/>
    <s v="深圳中院；盐城中院；其他"/>
    <n v="4"/>
    <n v="6064"/>
    <n v="113396.8"/>
  </r>
  <r>
    <n v="33.58"/>
    <x v="1"/>
    <m/>
    <d v="2023-12-16T00:00:00"/>
    <s v="包商；恒丰"/>
    <s v="无"/>
    <s v="包商"/>
    <s v="深圳中院；盐城中院；其他"/>
    <n v="4"/>
    <n v="6064"/>
    <n v="203629.12"/>
  </r>
  <r>
    <n v="4621.3200000000024"/>
    <x v="2"/>
    <m/>
    <m/>
    <m/>
    <m/>
    <m/>
    <m/>
    <m/>
    <m/>
    <n v="18783677.600000013"/>
  </r>
  <r>
    <m/>
    <x v="2"/>
    <m/>
    <m/>
    <m/>
    <m/>
    <m/>
    <m/>
    <m/>
    <m/>
    <m/>
  </r>
  <r>
    <m/>
    <x v="2"/>
    <m/>
    <m/>
    <m/>
    <m/>
    <m/>
    <m/>
    <m/>
    <m/>
    <m/>
  </r>
  <r>
    <m/>
    <x v="2"/>
    <m/>
    <m/>
    <m/>
    <m/>
    <m/>
    <m/>
    <m/>
    <m/>
    <m/>
  </r>
  <r>
    <m/>
    <x v="2"/>
    <m/>
    <m/>
    <m/>
    <m/>
    <m/>
    <m/>
    <m/>
    <m/>
    <m/>
  </r>
  <r>
    <m/>
    <x v="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76DED4-C2C9-4FB0-9C88-CBB54B091B48}" name="数据透视表6" cacheId="6"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4:E47"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817930-482C-46DA-928B-790B2723A245}" name="数据透视表19" cacheId="8"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9:E52"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F5AC25-435D-4035-9A3B-F67C07778825}" name="数据透视表18" cacheId="7"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37:E42" firstHeaderRow="0" firstDataRow="1" firstDataCol="1"/>
  <pivotFields count="11">
    <pivotField dataField="1" showAll="0"/>
    <pivotField axis="axisRow" showAll="0">
      <items count="6">
        <item x="1"/>
        <item x="2"/>
        <item x="0"/>
        <item x="3"/>
        <item h="1" x="4"/>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5">
    <i>
      <x/>
    </i>
    <i>
      <x v="1"/>
    </i>
    <i>
      <x v="2"/>
    </i>
    <i>
      <x v="3"/>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447" t="s">
        <v>385</v>
      </c>
      <c r="C54" s="1445" t="s">
        <v>582</v>
      </c>
    </row>
    <row r="55" spans="1:4">
      <c r="A55" s="3286"/>
      <c r="B55" s="1447" t="s">
        <v>386</v>
      </c>
      <c r="C55" s="1445" t="s">
        <v>583</v>
      </c>
    </row>
    <row r="56" spans="1:4">
      <c r="A56" s="3286"/>
      <c r="B56" s="1447" t="s">
        <v>387</v>
      </c>
      <c r="C56" s="1445" t="s">
        <v>587</v>
      </c>
    </row>
    <row r="57" spans="1:4">
      <c r="A57" s="3286"/>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87" t="s">
        <v>2578</v>
      </c>
      <c r="J2" s="3287"/>
      <c r="K2" s="3287"/>
      <c r="L2" s="3287"/>
      <c r="M2" s="3287"/>
      <c r="N2" s="3287"/>
      <c r="O2" s="3287"/>
      <c r="P2" s="3287"/>
      <c r="Q2" s="3287"/>
      <c r="R2" s="3287"/>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88" t="str">
        <f>IF(B10="北京市","北京市",C10)&amp;F10&amp;IF('结果表-2号楼1层商业'!G1="在建","出让国有建设用地使用权及在建建筑物",IF('结果表-2号楼1层商业'!G1="土地","出让国有建设用地使用权",))&amp;B9&amp;"预评估"</f>
        <v>房地产市场价值预评估</v>
      </c>
      <c r="C1" s="3289"/>
      <c r="D1" s="3289"/>
      <c r="E1" s="3289"/>
      <c r="F1" s="3289"/>
      <c r="G1" s="3289"/>
      <c r="H1" s="3289"/>
      <c r="I1" s="3290"/>
      <c r="J1" s="2245"/>
      <c r="K1" s="2183"/>
      <c r="L1" s="2184"/>
      <c r="M1" s="2184"/>
      <c r="N1" s="2182"/>
      <c r="O1" s="1466"/>
      <c r="P1" s="2182"/>
      <c r="Q1" s="2182"/>
      <c r="R1" s="2182"/>
      <c r="S1" s="1561" t="str">
        <f>IF(B10="北京市","北京市",C10)&amp;F10&amp;IF('结果表-2号楼1层商业'!G1="在建","出让国有建设用地使用权及在建建筑物房地产抵押价值",IF('结果表-2号楼1层商业'!G1="土地","出让国有建设用地使用权抵押价值",B9))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IF(B10="北京市","北京市",C10)&amp;F10&amp;IF('结果表-2号楼1层商业'!G1="在建","出让国有建设用地使用权及在建建筑物房地产",IF('结果表-2号楼1层商业'!G1="土地","出让国有建设用地使用权","房地产"))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91"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92"/>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98"/>
      <c r="C16" s="3299"/>
      <c r="D16" s="3300"/>
      <c r="E16" s="2222" t="s">
        <v>2192</v>
      </c>
      <c r="F16" s="3301"/>
      <c r="G16" s="3302"/>
      <c r="H16" s="3302"/>
      <c r="I16" s="3303"/>
      <c r="J16" s="2245"/>
      <c r="K16" s="2403"/>
      <c r="L16" s="1670"/>
      <c r="M16" s="1670"/>
      <c r="N16" s="2245"/>
      <c r="O16" s="1670"/>
      <c r="P16" s="2245"/>
      <c r="Q16" s="2245"/>
      <c r="R16" s="2245"/>
    </row>
    <row r="17" spans="1:28">
      <c r="A17" s="305" t="s">
        <v>2193</v>
      </c>
      <c r="B17" s="294" t="s">
        <v>2194</v>
      </c>
      <c r="C17" s="8">
        <f>'数据-汇总表'!E3</f>
        <v>11841.610000000006</v>
      </c>
      <c r="D17" s="1256" t="s">
        <v>2195</v>
      </c>
      <c r="E17" s="3304" t="s">
        <v>2196</v>
      </c>
      <c r="F17" s="3305"/>
      <c r="G17" s="3305"/>
      <c r="H17" s="3305"/>
      <c r="I17" s="3306"/>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307" t="s">
        <v>2200</v>
      </c>
      <c r="F18" s="3308"/>
      <c r="G18" s="3308"/>
      <c r="H18" s="3308"/>
      <c r="I18" s="3309"/>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94" t="s">
        <v>2204</v>
      </c>
      <c r="C20" s="3295"/>
      <c r="D20" s="3296" t="s">
        <v>2205</v>
      </c>
      <c r="E20" s="3297"/>
      <c r="F20" s="2430" t="s">
        <v>1054</v>
      </c>
      <c r="G20" s="2442"/>
      <c r="H20" s="2442"/>
      <c r="I20" s="2442"/>
      <c r="J20" s="2245"/>
      <c r="K20" s="3293"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93"/>
      <c r="L22" s="646" t="str">
        <f>IF(E19="否","",IF('结果表-2号楼1层商业'!D36="同一抵押权人同一抵押物续贷","由于本次评估为同一抵押权人的续贷房地产抵押估价，故未将已抵押担保的债权数额（"&amp;C26&amp;"）作为法定优先受偿款予以扣减。",IF('结果表-2号楼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1"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1"/>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1"/>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2"/>
      <c r="B30" s="294" t="s">
        <v>2216</v>
      </c>
      <c r="C30" s="3313"/>
      <c r="D30" s="3314"/>
      <c r="E30" s="2442"/>
      <c r="F30" s="2442"/>
      <c r="G30" s="2442"/>
      <c r="H30" s="2442"/>
      <c r="I30" s="2442"/>
      <c r="J30" s="2245"/>
      <c r="K30" s="2402"/>
      <c r="L30" s="2399"/>
      <c r="M30" s="2399"/>
      <c r="N30" s="2245"/>
      <c r="O30" s="1670"/>
      <c r="P30" s="2245"/>
      <c r="Q30" s="2245"/>
      <c r="R30" s="2245"/>
      <c r="S30" s="2245"/>
      <c r="T30" s="2245"/>
      <c r="U30" s="2245"/>
      <c r="V30" s="2245"/>
    </row>
    <row r="31" spans="1:28">
      <c r="A31" s="3315"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310" t="s">
        <v>2226</v>
      </c>
      <c r="T34" s="315" t="str">
        <f>NUMBERSTRING(7-K34,1)&amp;"通"</f>
        <v>七通</v>
      </c>
      <c r="U34" s="2245"/>
      <c r="V34" s="2245"/>
    </row>
    <row r="35" spans="1:30">
      <c r="A35" s="2236"/>
      <c r="B35" s="3310" t="s">
        <v>2227</v>
      </c>
      <c r="C35" s="3310"/>
      <c r="D35" s="3310"/>
      <c r="E35" s="331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0"/>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26" t="s">
        <v>1129</v>
      </c>
      <c r="B2" s="3326"/>
      <c r="C2" s="3326"/>
      <c r="D2" s="748" t="s">
        <v>1105</v>
      </c>
      <c r="E2" s="1523" t="s">
        <v>1106</v>
      </c>
      <c r="F2" s="2439"/>
      <c r="G2" s="2432"/>
      <c r="H2" s="2433"/>
      <c r="I2" s="2146" t="s">
        <v>1130</v>
      </c>
      <c r="J2" s="2439"/>
      <c r="K2" s="2439"/>
      <c r="L2" s="2439"/>
      <c r="M2" s="2439"/>
      <c r="N2" s="2440"/>
      <c r="O2" s="2439"/>
      <c r="P2" s="2439"/>
    </row>
    <row r="3" spans="1:16" ht="15.75" thickBot="1">
      <c r="A3" s="3327" t="s">
        <v>1103</v>
      </c>
      <c r="B3" s="3327"/>
      <c r="C3" s="3327"/>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328"/>
      <c r="B4" s="3329"/>
      <c r="C4" s="3330"/>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331" t="s">
        <v>1108</v>
      </c>
      <c r="C5" s="3331"/>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331" t="s">
        <v>1109</v>
      </c>
      <c r="C6" s="3331"/>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323"/>
      <c r="B7" s="3324"/>
      <c r="C7" s="3325"/>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320" t="s">
        <v>1133</v>
      </c>
      <c r="L16" s="3321"/>
      <c r="M16" s="3321"/>
      <c r="N16" s="3321"/>
      <c r="O16" s="3321"/>
      <c r="P16" s="3322"/>
    </row>
    <row r="17" spans="1:19" ht="15">
      <c r="A17" s="1533" t="s">
        <v>1134</v>
      </c>
      <c r="B17" s="1534" t="s">
        <v>1135</v>
      </c>
      <c r="C17" s="1535" t="s">
        <v>1136</v>
      </c>
      <c r="D17" s="1536" t="s">
        <v>1124</v>
      </c>
      <c r="E17" s="1537" t="s">
        <v>1125</v>
      </c>
      <c r="F17" s="1538"/>
      <c r="G17" s="1539"/>
      <c r="H17" s="1540" t="s">
        <v>1137</v>
      </c>
      <c r="I17" s="1541" t="s">
        <v>1122</v>
      </c>
      <c r="J17" s="1071"/>
      <c r="K17" s="3317" t="s">
        <v>1138</v>
      </c>
      <c r="L17" s="3318"/>
      <c r="M17" s="3319"/>
      <c r="N17" s="3317" t="s">
        <v>1139</v>
      </c>
      <c r="O17" s="3318"/>
      <c r="P17" s="3319"/>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3500</v>
      </c>
      <c r="M6" s="64">
        <f t="shared" ref="M6:M14" si="0">ROUND(K6*L6/10000,0)</f>
        <v>61</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237">
        <v>4.5</v>
      </c>
      <c r="V6" s="322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273.6422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3500</v>
      </c>
      <c r="M7" s="64">
        <f t="shared" si="0"/>
        <v>1079</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22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1674.9045000000001</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3500</v>
      </c>
      <c r="M8" s="64">
        <f>ROUND(K8*L8/10000,0)</f>
        <v>2333</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22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560.71100000000001</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3500</v>
      </c>
      <c r="M9" s="64">
        <f t="shared" si="0"/>
        <v>30</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22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15.7563</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v>3500</v>
      </c>
      <c r="M14" s="64">
        <f t="shared" si="0"/>
        <v>0</v>
      </c>
      <c r="N14" s="80">
        <v>0.85</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2958</v>
      </c>
      <c r="M16" s="87">
        <f>SUM(M6:M14)</f>
        <v>3503</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2" t="s">
        <v>2284</v>
      </c>
      <c r="B1" s="3333"/>
      <c r="C1" s="3333"/>
      <c r="D1" s="3333"/>
      <c r="E1" s="3333"/>
      <c r="F1" s="3333"/>
      <c r="G1" s="33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7"/>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4971.7518730000002</v>
      </c>
      <c r="C5" s="2300">
        <f ca="1">IF(B5=D14,'结果表-2号楼1层商业'!H102,ROUND(B5*10000/$B$1,0))</f>
        <v>4199</v>
      </c>
      <c r="D5" s="2300" t="e">
        <f ca="1">ROUND(B5*10000/$B$2,0)</f>
        <v>#DIV/0!</v>
      </c>
      <c r="E5" s="2462"/>
      <c r="F5" s="2463"/>
      <c r="G5" s="2463"/>
      <c r="H5" s="2463"/>
      <c r="I5" s="2463"/>
      <c r="J5" s="2463"/>
      <c r="K5" s="2463"/>
    </row>
    <row r="6" spans="1:11" ht="16.5">
      <c r="A6" s="2300" t="s">
        <v>655</v>
      </c>
      <c r="B6" s="2300">
        <f>SUM(G14:G23)</f>
        <v>0</v>
      </c>
      <c r="C6" s="2300">
        <f ca="1">IF(B6=G14,'结果表-2号楼1层商业'!H108,ROUND(B6*10000/$B$1,0))</f>
        <v>0</v>
      </c>
      <c r="D6" s="2300" t="e">
        <f>ROUND(B6*10000/$B$2,0)</f>
        <v>#DIV/0!</v>
      </c>
      <c r="E6" s="2462"/>
      <c r="F6" s="2463"/>
      <c r="G6" s="2463"/>
      <c r="H6" s="2463"/>
      <c r="I6" s="2463"/>
      <c r="J6" s="2463"/>
      <c r="K6" s="2463"/>
    </row>
    <row r="7" spans="1:11" ht="16.5">
      <c r="A7" s="2300" t="s">
        <v>663</v>
      </c>
      <c r="B7" s="2300">
        <f>SUM(H14:H23)</f>
        <v>0</v>
      </c>
      <c r="C7" s="2300" t="str">
        <f>IF(B7=H14,'结果表-2号楼1层商业'!H110,ROUND(B7*10000/$B$1,0))</f>
        <v>——</v>
      </c>
      <c r="D7" s="2300" t="e">
        <f>ROUND(B7*10000/$B$2,0)</f>
        <v>#DIV/0!</v>
      </c>
      <c r="E7" s="2462"/>
      <c r="F7" s="2463"/>
      <c r="G7" s="2463"/>
      <c r="H7" s="2463"/>
      <c r="I7" s="2463"/>
      <c r="J7" s="2463"/>
      <c r="K7" s="2463"/>
    </row>
    <row r="8" spans="1:11" ht="16.5">
      <c r="A8" s="2300" t="s">
        <v>586</v>
      </c>
      <c r="B8" s="2300">
        <f>SUM(I14:I23)</f>
        <v>0</v>
      </c>
      <c r="C8" s="2300" t="str">
        <f>IF(B8=I14,'结果表-2号楼1层商业'!H112,ROUND(B8*10000/$B$1,0))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最终结果!S45</f>
        <v>2007.2000000000005</v>
      </c>
      <c r="C14" s="2306"/>
      <c r="D14" s="2306">
        <f ca="1">最终结果!R45/10000</f>
        <v>1917.6584280000002</v>
      </c>
      <c r="E14" s="2306">
        <f ca="1">ROUND(D14*10000/B14,0)</f>
        <v>9554</v>
      </c>
      <c r="F14" s="2306" t="e">
        <f ca="1">ROUND(D14*10000/C14,0)</f>
        <v>#DIV/0!</v>
      </c>
      <c r="G14" s="2306"/>
      <c r="H14" s="2306"/>
      <c r="I14" s="2306"/>
      <c r="J14" s="2463"/>
      <c r="K14" s="2463"/>
    </row>
    <row r="15" spans="1:11" ht="16.5">
      <c r="A15" s="2305" t="s">
        <v>648</v>
      </c>
      <c r="B15" s="2306">
        <f>最终结果!S46</f>
        <v>3082.8099999999981</v>
      </c>
      <c r="C15" s="2307"/>
      <c r="D15" s="2306">
        <f ca="1">最终结果!R46/10000</f>
        <v>1801.9024449999988</v>
      </c>
      <c r="E15" s="2306">
        <f t="shared" ref="E15:E23" ca="1" si="0">ROUND(D15*10000/B15,0)</f>
        <v>5845</v>
      </c>
      <c r="F15" s="2306" t="e">
        <f t="shared" ref="F15:F23" ca="1" si="1">ROUND(D15*10000/C15,0)</f>
        <v>#DIV/0!</v>
      </c>
      <c r="G15" s="1244"/>
      <c r="H15" s="1244"/>
      <c r="I15" s="2307"/>
      <c r="J15" s="2463"/>
      <c r="K15" s="2463"/>
    </row>
    <row r="16" spans="1:11" ht="16.5">
      <c r="A16" s="2305" t="s">
        <v>647</v>
      </c>
      <c r="B16" s="2306">
        <f>最终结果!S47</f>
        <v>6666.6000000000076</v>
      </c>
      <c r="C16" s="2307"/>
      <c r="D16" s="2306">
        <f ca="1">最终结果!R47/10000</f>
        <v>1233.3210000000013</v>
      </c>
      <c r="E16" s="2306">
        <f t="shared" ca="1" si="0"/>
        <v>1850</v>
      </c>
      <c r="F16" s="2306" t="e">
        <f t="shared" ca="1" si="1"/>
        <v>#DIV/0!</v>
      </c>
      <c r="G16" s="1244"/>
      <c r="H16" s="1244"/>
      <c r="I16" s="2307"/>
      <c r="J16" s="2463"/>
      <c r="K16" s="2463"/>
    </row>
    <row r="17" spans="1:11" ht="16.5">
      <c r="A17" s="2305" t="s">
        <v>646</v>
      </c>
      <c r="B17" s="2306">
        <f>最终结果!S48</f>
        <v>85</v>
      </c>
      <c r="C17" s="2307"/>
      <c r="D17" s="2306">
        <f ca="1">最终结果!R48/10000</f>
        <v>18.87</v>
      </c>
      <c r="E17" s="2306">
        <f t="shared" ca="1" si="0"/>
        <v>2220</v>
      </c>
      <c r="F17" s="2306" t="e">
        <f t="shared" ca="1"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21C4-CB6A-469D-AF2C-EBF288EF861D}">
  <sheetPr>
    <tabColor rgb="FF7030A0"/>
  </sheetPr>
  <dimension ref="A1:BJ224"/>
  <sheetViews>
    <sheetView workbookViewId="0">
      <selection activeCell="Y2" sqref="Y2"/>
    </sheetView>
  </sheetViews>
  <sheetFormatPr defaultRowHeight="13.5"/>
  <cols>
    <col min="1" max="1" width="11.625" bestFit="1" customWidth="1"/>
    <col min="2" max="3" width="9.75" bestFit="1" customWidth="1"/>
    <col min="4" max="4" width="17.625" bestFit="1" customWidth="1"/>
    <col min="5" max="5" width="13.25" bestFit="1" customWidth="1"/>
    <col min="6" max="6" width="13.125" bestFit="1" customWidth="1"/>
    <col min="7" max="7" width="17.625" bestFit="1" customWidth="1"/>
    <col min="8" max="8" width="13" bestFit="1" customWidth="1"/>
    <col min="9" max="9" width="5.75" style="3224" bestFit="1" customWidth="1"/>
    <col min="10" max="10" width="12.75" style="3224" bestFit="1" customWidth="1"/>
    <col min="11" max="12" width="0" style="3224" hidden="1" customWidth="1"/>
    <col min="13" max="16" width="9" style="3224"/>
    <col min="17" max="17" width="0" style="3224" hidden="1" customWidth="1"/>
    <col min="18" max="18" width="10.5" style="3224" hidden="1" customWidth="1"/>
    <col min="19" max="22" width="0" style="3224" hidden="1" customWidth="1"/>
    <col min="23" max="24" width="9" style="3224"/>
    <col min="25" max="26" width="11.625" style="3224" bestFit="1" customWidth="1"/>
    <col min="27" max="27" width="9.75" style="3224" bestFit="1" customWidth="1"/>
    <col min="28" max="28" width="17.625" style="3224" bestFit="1" customWidth="1"/>
    <col min="29" max="30" width="0" style="3224" hidden="1" customWidth="1"/>
    <col min="31" max="34" width="9" style="3224"/>
    <col min="35" max="35" width="0" style="3224" hidden="1" customWidth="1"/>
    <col min="36" max="36" width="11.625" style="3224" hidden="1" customWidth="1"/>
    <col min="37" max="40" width="0" style="3224" hidden="1" customWidth="1"/>
    <col min="41" max="42" width="9" style="3224"/>
    <col min="43" max="44" width="12.75" style="3224" bestFit="1" customWidth="1"/>
    <col min="45" max="45" width="5.75" style="3224" bestFit="1" customWidth="1"/>
    <col min="46" max="46" width="9" style="3224"/>
    <col min="47" max="48" width="9" style="3224" hidden="1" customWidth="1"/>
    <col min="49" max="52" width="9" style="3224"/>
    <col min="53" max="53" width="9" style="3224" hidden="1" customWidth="1"/>
    <col min="54" max="54" width="11.625" style="3224" hidden="1" customWidth="1"/>
    <col min="55" max="58" width="0" style="3224" hidden="1" customWidth="1"/>
    <col min="59" max="60" width="9" style="3224"/>
    <col min="61" max="62" width="11.625" style="3224" bestFit="1" customWidth="1"/>
    <col min="63" max="16384" width="9" style="3224"/>
  </cols>
  <sheetData>
    <row r="1" spans="1:62" ht="27">
      <c r="A1" s="3224"/>
      <c r="B1" s="3224" t="s">
        <v>4286</v>
      </c>
      <c r="C1" s="3232" t="s">
        <v>4943</v>
      </c>
      <c r="D1" s="3232" t="s">
        <v>4937</v>
      </c>
      <c r="E1" s="3232">
        <v>2</v>
      </c>
      <c r="F1" s="3232">
        <v>4</v>
      </c>
      <c r="G1" s="3224"/>
      <c r="H1" s="3224"/>
      <c r="I1" s="3171" t="s">
        <v>4260</v>
      </c>
      <c r="J1" s="3171" t="s">
        <v>4261</v>
      </c>
      <c r="K1" s="3171" t="s">
        <v>4262</v>
      </c>
      <c r="L1" s="3171" t="s">
        <v>4263</v>
      </c>
      <c r="M1" s="3171" t="s">
        <v>4264</v>
      </c>
      <c r="N1" s="3171" t="s">
        <v>4265</v>
      </c>
      <c r="O1" s="3171" t="s">
        <v>4266</v>
      </c>
      <c r="P1" s="3171" t="s">
        <v>671</v>
      </c>
      <c r="Q1" s="3171" t="s">
        <v>4267</v>
      </c>
      <c r="R1" s="3171" t="s">
        <v>4268</v>
      </c>
      <c r="S1" s="3171" t="s">
        <v>4269</v>
      </c>
      <c r="T1" s="3171" t="s">
        <v>4270</v>
      </c>
      <c r="U1" s="3171" t="s">
        <v>4271</v>
      </c>
      <c r="V1" s="3171" t="s">
        <v>4272</v>
      </c>
      <c r="W1" s="3225" t="s">
        <v>4776</v>
      </c>
      <c r="X1" s="3240" t="s">
        <v>3386</v>
      </c>
      <c r="Y1" s="3241" t="s">
        <v>4924</v>
      </c>
      <c r="AA1" s="3171" t="s">
        <v>4260</v>
      </c>
      <c r="AB1" s="3171" t="s">
        <v>4261</v>
      </c>
      <c r="AC1" s="3171" t="s">
        <v>4262</v>
      </c>
      <c r="AD1" s="3171" t="s">
        <v>4263</v>
      </c>
      <c r="AE1" s="3171" t="s">
        <v>4264</v>
      </c>
      <c r="AF1" s="3171" t="s">
        <v>4265</v>
      </c>
      <c r="AG1" s="3171" t="s">
        <v>4266</v>
      </c>
      <c r="AH1" s="3171" t="s">
        <v>671</v>
      </c>
      <c r="AI1" s="3171" t="s">
        <v>4267</v>
      </c>
      <c r="AJ1" s="3171" t="s">
        <v>4268</v>
      </c>
      <c r="AK1" s="3171" t="s">
        <v>4269</v>
      </c>
      <c r="AL1" s="3171" t="s">
        <v>4270</v>
      </c>
      <c r="AM1" s="3171" t="s">
        <v>4271</v>
      </c>
      <c r="AN1" s="3171" t="s">
        <v>4272</v>
      </c>
      <c r="AO1" s="3225" t="s">
        <v>4776</v>
      </c>
      <c r="AP1" s="3240" t="s">
        <v>3386</v>
      </c>
      <c r="AQ1" s="3241" t="s">
        <v>4924</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204" t="s">
        <v>4776</v>
      </c>
      <c r="BH1" s="3226" t="s">
        <v>3386</v>
      </c>
      <c r="BI1" s="3227" t="s">
        <v>4924</v>
      </c>
    </row>
    <row r="2" spans="1:62" ht="54">
      <c r="A2" s="3224"/>
      <c r="B2" s="3224">
        <v>1</v>
      </c>
      <c r="C2" s="3224" t="s">
        <v>4938</v>
      </c>
      <c r="D2" s="3224">
        <f>COUNTIFS($P$2:$P$200,$B$1,$W$2:$W$200,B2)</f>
        <v>6</v>
      </c>
      <c r="E2" s="3224">
        <f>COUNTIFS($AH$2:$AH$73,$B$1,$AO$2:$AO$73,B2)</f>
        <v>1</v>
      </c>
      <c r="F2" s="3224">
        <f>COUNTIFS($AZ$2:$AZ$107,$B$1,$BG$2:$BG$107,B2)</f>
        <v>2</v>
      </c>
      <c r="G2" s="3230">
        <f>SUM(D2:F2)</f>
        <v>9</v>
      </c>
      <c r="H2" s="3224"/>
      <c r="I2" s="3173">
        <v>1</v>
      </c>
      <c r="J2" s="3173">
        <v>20240070009</v>
      </c>
      <c r="K2" s="3173"/>
      <c r="L2" s="3173"/>
      <c r="M2" s="3173" t="s">
        <v>4274</v>
      </c>
      <c r="N2" s="3178">
        <v>45692</v>
      </c>
      <c r="O2" s="3173">
        <v>39.32</v>
      </c>
      <c r="P2" s="3173" t="s">
        <v>4276</v>
      </c>
      <c r="Q2" s="3173"/>
      <c r="R2" s="3174">
        <v>45364</v>
      </c>
      <c r="S2" s="3173" t="s">
        <v>4277</v>
      </c>
      <c r="T2" s="3173" t="s">
        <v>4278</v>
      </c>
      <c r="U2" s="3173" t="s">
        <v>4279</v>
      </c>
      <c r="V2" s="3173" t="s">
        <v>4280</v>
      </c>
      <c r="X2" s="3242">
        <f ca="1">'结果表-车位'!$G$20</f>
        <v>1850</v>
      </c>
      <c r="Y2" s="3242">
        <f ca="1">X2*O2</f>
        <v>72742</v>
      </c>
      <c r="Z2" s="3224">
        <f>SUM(O2:O200)</f>
        <v>9981.0600000000013</v>
      </c>
      <c r="AA2" s="3173">
        <v>1</v>
      </c>
      <c r="AB2" s="3173" t="s">
        <v>4282</v>
      </c>
      <c r="AC2" s="3173"/>
      <c r="AD2" s="3173"/>
      <c r="AE2" s="3173" t="s">
        <v>4274</v>
      </c>
      <c r="AF2" s="3173" t="s">
        <v>4287</v>
      </c>
      <c r="AG2" s="3173">
        <v>71.28</v>
      </c>
      <c r="AH2" s="3173" t="s">
        <v>672</v>
      </c>
      <c r="AI2" s="3176" t="s">
        <v>4282</v>
      </c>
      <c r="AJ2" s="3177">
        <v>45276</v>
      </c>
      <c r="AK2" s="3176" t="s">
        <v>4279</v>
      </c>
      <c r="AL2" s="3176" t="s">
        <v>4284</v>
      </c>
      <c r="AM2" s="3176" t="s">
        <v>4279</v>
      </c>
      <c r="AN2" s="3176" t="s">
        <v>4280</v>
      </c>
      <c r="AO2" s="3224">
        <v>1</v>
      </c>
      <c r="AP2" s="3242">
        <f ca="1">E35</f>
        <v>17032</v>
      </c>
      <c r="AQ2" s="3242">
        <f ca="1">AP2*AG2</f>
        <v>1214040.96</v>
      </c>
      <c r="AR2" s="3224">
        <f>SUM(AG2:AG73)</f>
        <v>3283.5699999999979</v>
      </c>
      <c r="AS2" s="3173">
        <v>1</v>
      </c>
      <c r="AT2" s="3173" t="s">
        <v>4273</v>
      </c>
      <c r="AU2" s="3173"/>
      <c r="AV2" s="3173"/>
      <c r="AW2" s="3173" t="s">
        <v>4274</v>
      </c>
      <c r="AX2" s="3173" t="s">
        <v>4275</v>
      </c>
      <c r="AY2" s="3173">
        <v>50.34</v>
      </c>
      <c r="AZ2" s="3173" t="s">
        <v>4276</v>
      </c>
      <c r="BA2" s="3173"/>
      <c r="BB2" s="3174">
        <v>45276</v>
      </c>
      <c r="BC2" s="3173" t="s">
        <v>4277</v>
      </c>
      <c r="BD2" s="3173" t="s">
        <v>4278</v>
      </c>
      <c r="BE2" s="3173" t="s">
        <v>4279</v>
      </c>
      <c r="BF2" s="3173" t="s">
        <v>4280</v>
      </c>
      <c r="BG2" s="3180"/>
      <c r="BH2" s="3180">
        <f ca="1">'结果表-车位'!$G$20</f>
        <v>1850</v>
      </c>
      <c r="BI2" s="3224">
        <f ca="1">BH2*AY2</f>
        <v>93129</v>
      </c>
      <c r="BJ2" s="3224">
        <f>SUM(AY2:AY107)</f>
        <v>4621.3200000000024</v>
      </c>
    </row>
    <row r="3" spans="1:62" ht="54">
      <c r="A3" s="3224"/>
      <c r="B3" s="3224"/>
      <c r="C3" s="3224" t="s">
        <v>3385</v>
      </c>
      <c r="D3" s="3224">
        <f>SUMIFS($O$2:$O$200,$P$2:$P$200,$B$1,$W$2:$W$200,B2)</f>
        <v>728.66</v>
      </c>
      <c r="E3" s="3224">
        <f>SUMIFS($AG$2:$AG$73,$AH$2:$AH$73,$B$1,$AO$2:$AO$73,B2)</f>
        <v>71.28</v>
      </c>
      <c r="F3" s="3224">
        <f>SUMIFS($AY$2:$AY$107,$AZ$2:$AZ$107,$B$1,$BG$2:$BG$107,B2)</f>
        <v>173.35</v>
      </c>
      <c r="G3" s="3230">
        <f>SUM(D3:F3)</f>
        <v>973.29</v>
      </c>
      <c r="H3" s="3224"/>
      <c r="I3" s="3173">
        <v>2</v>
      </c>
      <c r="J3" s="3173">
        <v>20240070009</v>
      </c>
      <c r="K3" s="3173"/>
      <c r="L3" s="3173"/>
      <c r="M3" s="3173" t="s">
        <v>4274</v>
      </c>
      <c r="N3" s="3173" t="s">
        <v>4289</v>
      </c>
      <c r="O3" s="3173">
        <v>39.32</v>
      </c>
      <c r="P3" s="3173" t="s">
        <v>4276</v>
      </c>
      <c r="Q3" s="3173"/>
      <c r="R3" s="3174">
        <v>45364</v>
      </c>
      <c r="S3" s="3173" t="s">
        <v>4277</v>
      </c>
      <c r="T3" s="3173" t="s">
        <v>4278</v>
      </c>
      <c r="U3" s="3173" t="s">
        <v>4279</v>
      </c>
      <c r="V3" s="3173" t="s">
        <v>4280</v>
      </c>
      <c r="X3" s="3242">
        <f ca="1">'结果表-车位'!$G$20</f>
        <v>1850</v>
      </c>
      <c r="Y3" s="3242">
        <f t="shared" ref="Y3:Y66" ca="1" si="0">X3*O3</f>
        <v>72742</v>
      </c>
      <c r="Z3" s="3224">
        <f ca="1">SUM(Y2:Y200)</f>
        <v>44721306.29999996</v>
      </c>
      <c r="AA3" s="3173">
        <v>2</v>
      </c>
      <c r="AB3" s="3173" t="s">
        <v>4282</v>
      </c>
      <c r="AC3" s="3173"/>
      <c r="AD3" s="3173"/>
      <c r="AE3" s="3173" t="s">
        <v>4274</v>
      </c>
      <c r="AF3" s="3173" t="s">
        <v>4292</v>
      </c>
      <c r="AG3" s="3173">
        <v>129.47999999999999</v>
      </c>
      <c r="AH3" s="3173" t="s">
        <v>672</v>
      </c>
      <c r="AI3" s="3173" t="s">
        <v>4282</v>
      </c>
      <c r="AJ3" s="3174">
        <v>45276</v>
      </c>
      <c r="AK3" s="3173" t="s">
        <v>4277</v>
      </c>
      <c r="AL3" s="3173" t="s">
        <v>4288</v>
      </c>
      <c r="AM3" s="3173" t="s">
        <v>4279</v>
      </c>
      <c r="AN3" s="3173" t="s">
        <v>4280</v>
      </c>
      <c r="AO3" s="3224">
        <v>2</v>
      </c>
      <c r="AP3" s="3242">
        <f ca="1">ROUND(AP2*0.5,0)</f>
        <v>8516</v>
      </c>
      <c r="AQ3" s="3242">
        <f t="shared" ref="AQ3:AQ66" ca="1" si="1">AP3*AG3</f>
        <v>1102651.68</v>
      </c>
      <c r="AR3" s="3224">
        <f ca="1">SUM(AQ2:AQ73)</f>
        <v>20335717.09</v>
      </c>
      <c r="AS3" s="3173">
        <v>2</v>
      </c>
      <c r="AT3" s="3173" t="s">
        <v>4273</v>
      </c>
      <c r="AU3" s="3173"/>
      <c r="AV3" s="3173"/>
      <c r="AW3" s="3173" t="s">
        <v>4274</v>
      </c>
      <c r="AX3" s="3173" t="s">
        <v>4285</v>
      </c>
      <c r="AY3" s="3173">
        <v>50.34</v>
      </c>
      <c r="AZ3" s="3173" t="s">
        <v>4276</v>
      </c>
      <c r="BA3" s="3173"/>
      <c r="BB3" s="3174">
        <v>45276</v>
      </c>
      <c r="BC3" s="3173" t="s">
        <v>4277</v>
      </c>
      <c r="BD3" s="3173" t="s">
        <v>4278</v>
      </c>
      <c r="BE3" s="3173" t="s">
        <v>4279</v>
      </c>
      <c r="BF3" s="3173" t="s">
        <v>4280</v>
      </c>
      <c r="BG3" s="3180"/>
      <c r="BH3" s="3180">
        <f ca="1">'结果表-车位'!$G$20</f>
        <v>1850</v>
      </c>
      <c r="BI3" s="3224">
        <f t="shared" ref="BI3:BI66" ca="1" si="2">BH3*AY3</f>
        <v>93129</v>
      </c>
      <c r="BJ3" s="3224">
        <f ca="1">SUM(BI2:BI107)</f>
        <v>16167472.089999987</v>
      </c>
    </row>
    <row r="4" spans="1:62" ht="54">
      <c r="A4" s="3224"/>
      <c r="C4" s="1448" t="s">
        <v>4949</v>
      </c>
      <c r="D4" s="3224">
        <f ca="1">SUMIFS($Y$2:$Y$200,$P$2:$P$200,$B$1,$W$2:$W$200,B2)</f>
        <v>8066994.8599999994</v>
      </c>
      <c r="E4" s="3224">
        <f ca="1">SUMIFS($AQ$2:$AQ$73,$AH$2:$AH$73,$B$1,$AO$2:$AO$73,B2)</f>
        <v>1214040.96</v>
      </c>
      <c r="F4" s="3224">
        <f ca="1">SUMIFS($BI$2:$BI$107,$AZ$2:$AZ$107,$B$1,$BG$2:$BG$107,B2)</f>
        <v>1919157.85</v>
      </c>
      <c r="G4" s="3238">
        <f ca="1">SUM(D4:F4)</f>
        <v>11200193.67</v>
      </c>
      <c r="H4" s="3224">
        <f ca="1">G4/G3</f>
        <v>11507.560613999938</v>
      </c>
      <c r="I4" s="3173">
        <v>3</v>
      </c>
      <c r="J4" s="3173">
        <v>20240070009</v>
      </c>
      <c r="K4" s="3173"/>
      <c r="L4" s="3173"/>
      <c r="M4" s="3173" t="s">
        <v>4274</v>
      </c>
      <c r="N4" s="3173" t="s">
        <v>4293</v>
      </c>
      <c r="O4" s="3173">
        <v>39.32</v>
      </c>
      <c r="P4" s="3173" t="s">
        <v>4276</v>
      </c>
      <c r="Q4" s="3173"/>
      <c r="R4" s="3174">
        <v>45364</v>
      </c>
      <c r="S4" s="3173" t="s">
        <v>4277</v>
      </c>
      <c r="T4" s="3173" t="s">
        <v>4278</v>
      </c>
      <c r="U4" s="3173" t="s">
        <v>4279</v>
      </c>
      <c r="V4" s="3173" t="s">
        <v>4280</v>
      </c>
      <c r="X4" s="3242">
        <f ca="1">'结果表-车位'!$G$20</f>
        <v>1850</v>
      </c>
      <c r="Y4" s="3242">
        <f t="shared" ca="1" si="0"/>
        <v>72742</v>
      </c>
      <c r="AA4" s="3173">
        <v>3</v>
      </c>
      <c r="AB4" s="3173" t="s">
        <v>4282</v>
      </c>
      <c r="AC4" s="3173"/>
      <c r="AD4" s="3173"/>
      <c r="AE4" s="3173" t="s">
        <v>4274</v>
      </c>
      <c r="AF4" s="3173" t="s">
        <v>4295</v>
      </c>
      <c r="AG4" s="3173">
        <v>42.72</v>
      </c>
      <c r="AH4" s="3173" t="s">
        <v>4296</v>
      </c>
      <c r="AI4" s="3173" t="s">
        <v>4282</v>
      </c>
      <c r="AJ4" s="3174">
        <v>45276</v>
      </c>
      <c r="AK4" s="3173" t="s">
        <v>4277</v>
      </c>
      <c r="AL4" s="3173" t="s">
        <v>4288</v>
      </c>
      <c r="AM4" s="3173" t="s">
        <v>4279</v>
      </c>
      <c r="AN4" s="3173" t="s">
        <v>4280</v>
      </c>
      <c r="AP4" s="3242">
        <f ca="1">'结果表-办公'!G20</f>
        <v>5845</v>
      </c>
      <c r="AQ4" s="3242">
        <f t="shared" ca="1" si="1"/>
        <v>249698.4</v>
      </c>
      <c r="AS4" s="3173">
        <v>3</v>
      </c>
      <c r="AT4" s="3173" t="s">
        <v>4273</v>
      </c>
      <c r="AU4" s="3173"/>
      <c r="AV4" s="3173"/>
      <c r="AW4" s="3173" t="s">
        <v>4274</v>
      </c>
      <c r="AX4" s="3173" t="s">
        <v>4290</v>
      </c>
      <c r="AY4" s="3173">
        <v>50.34</v>
      </c>
      <c r="AZ4" s="3173" t="s">
        <v>4276</v>
      </c>
      <c r="BA4" s="3173"/>
      <c r="BB4" s="3174">
        <v>45276</v>
      </c>
      <c r="BC4" s="3173" t="s">
        <v>4277</v>
      </c>
      <c r="BD4" s="3173" t="s">
        <v>4278</v>
      </c>
      <c r="BE4" s="3173" t="s">
        <v>4279</v>
      </c>
      <c r="BF4" s="3173" t="s">
        <v>4280</v>
      </c>
      <c r="BG4" s="3180"/>
      <c r="BH4" s="3180">
        <f ca="1">'结果表-车位'!$G$20</f>
        <v>1850</v>
      </c>
      <c r="BI4" s="3224">
        <f t="shared" ca="1" si="2"/>
        <v>93129</v>
      </c>
    </row>
    <row r="5" spans="1:62" ht="54">
      <c r="A5" s="3224"/>
      <c r="B5" s="3224">
        <v>2</v>
      </c>
      <c r="C5" s="3224" t="s">
        <v>4938</v>
      </c>
      <c r="D5" s="3224">
        <f>COUNTIFS($P$2:$P$200,$B$1,$W$2:$W$200,B5)</f>
        <v>34</v>
      </c>
      <c r="E5" s="3224">
        <f>COUNTIFS($AH$2:$AH$73,$B$1,$AO$2:$AO$73,B5)</f>
        <v>1</v>
      </c>
      <c r="F5" s="3224">
        <f>COUNTIFS($AZ$2:$AZ$107,$B$1,$BG$2:$BG$107,B5)</f>
        <v>23</v>
      </c>
      <c r="G5" s="3230">
        <f t="shared" ref="G5:G13" si="3">SUM(D5:F5)</f>
        <v>58</v>
      </c>
      <c r="H5" s="3224"/>
      <c r="I5" s="3173">
        <v>4</v>
      </c>
      <c r="J5" s="3173">
        <v>20240070009</v>
      </c>
      <c r="K5" s="3173"/>
      <c r="L5" s="3173"/>
      <c r="M5" s="3173" t="s">
        <v>4274</v>
      </c>
      <c r="N5" s="3173" t="s">
        <v>4298</v>
      </c>
      <c r="O5" s="3173">
        <v>39.32</v>
      </c>
      <c r="P5" s="3173" t="s">
        <v>4276</v>
      </c>
      <c r="Q5" s="3173"/>
      <c r="R5" s="3174">
        <v>45364</v>
      </c>
      <c r="S5" s="3173" t="s">
        <v>4277</v>
      </c>
      <c r="T5" s="3173" t="s">
        <v>4278</v>
      </c>
      <c r="U5" s="3173" t="s">
        <v>4279</v>
      </c>
      <c r="V5" s="3173" t="s">
        <v>4280</v>
      </c>
      <c r="X5" s="3242">
        <f ca="1">'结果表-车位'!$G$20</f>
        <v>1850</v>
      </c>
      <c r="Y5" s="3242">
        <f t="shared" ca="1" si="0"/>
        <v>72742</v>
      </c>
      <c r="AA5" s="3173">
        <v>4</v>
      </c>
      <c r="AB5" s="3173" t="s">
        <v>4282</v>
      </c>
      <c r="AC5" s="3173"/>
      <c r="AD5" s="3173"/>
      <c r="AE5" s="3173" t="s">
        <v>4274</v>
      </c>
      <c r="AF5" s="3173" t="s">
        <v>4301</v>
      </c>
      <c r="AG5" s="3173">
        <v>66.12</v>
      </c>
      <c r="AH5" s="3173" t="s">
        <v>4296</v>
      </c>
      <c r="AI5" s="3173" t="s">
        <v>4282</v>
      </c>
      <c r="AJ5" s="3174">
        <v>45276</v>
      </c>
      <c r="AK5" s="3173" t="s">
        <v>4277</v>
      </c>
      <c r="AL5" s="3173" t="s">
        <v>4297</v>
      </c>
      <c r="AM5" s="3173" t="s">
        <v>4279</v>
      </c>
      <c r="AN5" s="3173" t="s">
        <v>4280</v>
      </c>
      <c r="AP5" s="3242">
        <f ca="1">AP4</f>
        <v>5845</v>
      </c>
      <c r="AQ5" s="3242">
        <f t="shared" ca="1" si="1"/>
        <v>386471.4</v>
      </c>
      <c r="AS5" s="3173">
        <v>4</v>
      </c>
      <c r="AT5" s="3173" t="s">
        <v>4273</v>
      </c>
      <c r="AU5" s="3173"/>
      <c r="AV5" s="3173"/>
      <c r="AW5" s="3173" t="s">
        <v>4274</v>
      </c>
      <c r="AX5" s="3173" t="s">
        <v>4294</v>
      </c>
      <c r="AY5" s="3173">
        <v>50.34</v>
      </c>
      <c r="AZ5" s="3173" t="s">
        <v>4276</v>
      </c>
      <c r="BA5" s="3173"/>
      <c r="BB5" s="3174">
        <v>45276</v>
      </c>
      <c r="BC5" s="3173" t="s">
        <v>4277</v>
      </c>
      <c r="BD5" s="3173" t="s">
        <v>4278</v>
      </c>
      <c r="BE5" s="3173" t="s">
        <v>4279</v>
      </c>
      <c r="BF5" s="3173" t="s">
        <v>4280</v>
      </c>
      <c r="BG5" s="3180"/>
      <c r="BH5" s="3180">
        <f ca="1">'结果表-车位'!$G$20</f>
        <v>1850</v>
      </c>
      <c r="BI5" s="3224">
        <f t="shared" ca="1" si="2"/>
        <v>93129</v>
      </c>
    </row>
    <row r="6" spans="1:62" ht="54">
      <c r="A6" s="3224"/>
      <c r="B6" s="3224"/>
      <c r="C6" s="3224" t="s">
        <v>3385</v>
      </c>
      <c r="D6" s="3224">
        <f>SUMIFS($O$2:$O$200,$P$2:$P$200,$B$1,$W$2:$W$200,B5)</f>
        <v>1985.0700000000002</v>
      </c>
      <c r="E6" s="3224">
        <f>SUMIFS($AG$2:$AG$73,$AH$2:$AH$73,$B$1,$AO$2:$AO$73,B5)</f>
        <v>129.47999999999999</v>
      </c>
      <c r="F6" s="3224">
        <f>SUMIFS($AY$2:$AY$107,$AZ$2:$AZ$107,$B$1,$BG$2:$BG$107,B5)</f>
        <v>778.83</v>
      </c>
      <c r="G6" s="3230">
        <f t="shared" si="3"/>
        <v>2893.38</v>
      </c>
      <c r="H6" s="3224"/>
      <c r="I6" s="3173">
        <v>5</v>
      </c>
      <c r="J6" s="3173">
        <v>20240070009</v>
      </c>
      <c r="K6" s="3173"/>
      <c r="L6" s="3173"/>
      <c r="M6" s="3173" t="s">
        <v>4274</v>
      </c>
      <c r="N6" s="3173" t="s">
        <v>4302</v>
      </c>
      <c r="O6" s="3173">
        <v>39.32</v>
      </c>
      <c r="P6" s="3173" t="s">
        <v>4276</v>
      </c>
      <c r="Q6" s="3173"/>
      <c r="R6" s="3174">
        <v>45364</v>
      </c>
      <c r="S6" s="3173" t="s">
        <v>4277</v>
      </c>
      <c r="T6" s="3173" t="s">
        <v>4278</v>
      </c>
      <c r="U6" s="3173" t="s">
        <v>4279</v>
      </c>
      <c r="V6" s="3173" t="s">
        <v>4280</v>
      </c>
      <c r="X6" s="3242">
        <f ca="1">'结果表-车位'!$G$20</f>
        <v>1850</v>
      </c>
      <c r="Y6" s="3242">
        <f t="shared" ca="1" si="0"/>
        <v>72742</v>
      </c>
      <c r="AA6" s="3173">
        <v>5</v>
      </c>
      <c r="AB6" s="3173" t="s">
        <v>4282</v>
      </c>
      <c r="AC6" s="3173"/>
      <c r="AD6" s="3173"/>
      <c r="AE6" s="3173" t="s">
        <v>4274</v>
      </c>
      <c r="AF6" s="3173" t="s">
        <v>4305</v>
      </c>
      <c r="AG6" s="3173">
        <v>42.72</v>
      </c>
      <c r="AH6" s="3173" t="s">
        <v>4296</v>
      </c>
      <c r="AI6" s="3173" t="s">
        <v>4282</v>
      </c>
      <c r="AJ6" s="3174">
        <v>45276</v>
      </c>
      <c r="AK6" s="3173" t="s">
        <v>4277</v>
      </c>
      <c r="AL6" s="3173" t="s">
        <v>4297</v>
      </c>
      <c r="AM6" s="3173" t="s">
        <v>4279</v>
      </c>
      <c r="AN6" s="3173" t="s">
        <v>4280</v>
      </c>
      <c r="AP6" s="3242">
        <f t="shared" ref="AP6:AP69" ca="1" si="4">AP5</f>
        <v>5845</v>
      </c>
      <c r="AQ6" s="3242">
        <f t="shared" ca="1" si="1"/>
        <v>249698.4</v>
      </c>
      <c r="AS6" s="3173">
        <v>5</v>
      </c>
      <c r="AT6" s="3173" t="s">
        <v>4273</v>
      </c>
      <c r="AU6" s="3173"/>
      <c r="AV6" s="3173"/>
      <c r="AW6" s="3173" t="s">
        <v>4274</v>
      </c>
      <c r="AX6" s="3173" t="s">
        <v>4299</v>
      </c>
      <c r="AY6" s="3173">
        <v>50.34</v>
      </c>
      <c r="AZ6" s="3173" t="s">
        <v>4276</v>
      </c>
      <c r="BA6" s="3173"/>
      <c r="BB6" s="3174">
        <v>45276</v>
      </c>
      <c r="BC6" s="3173" t="s">
        <v>4277</v>
      </c>
      <c r="BD6" s="3173" t="s">
        <v>4278</v>
      </c>
      <c r="BE6" s="3173" t="s">
        <v>4279</v>
      </c>
      <c r="BF6" s="3173" t="s">
        <v>4280</v>
      </c>
      <c r="BG6" s="3180"/>
      <c r="BH6" s="3180">
        <f ca="1">'结果表-车位'!$G$20</f>
        <v>1850</v>
      </c>
      <c r="BI6" s="3224">
        <f t="shared" ca="1" si="2"/>
        <v>93129</v>
      </c>
    </row>
    <row r="7" spans="1:62" ht="54">
      <c r="A7" s="3224"/>
      <c r="C7" s="1448" t="s">
        <v>4949</v>
      </c>
      <c r="D7" s="3224">
        <f ca="1">SUMIFS($Y$2:$Y$200,$P$2:$P$200,$B$1,$W$2:$W$200,B5)</f>
        <v>10989347.520000001</v>
      </c>
      <c r="E7" s="3224">
        <f ca="1">SUMIFS($AQ$2:$AQ$73,$AH$2:$AH$73,$B$1,$AO$2:$AO$73,B5)</f>
        <v>1102651.68</v>
      </c>
      <c r="F7" s="3224">
        <f ca="1">SUMIFS($BI$2:$BI$107,$AZ$2:$AZ$107,$B$1,$BG$2:$BG$107,B5)</f>
        <v>4311602.8800000008</v>
      </c>
      <c r="G7" s="3238">
        <f ca="1">SUM(D7:F7)</f>
        <v>16403602.080000002</v>
      </c>
      <c r="H7" s="3224">
        <f ca="1">G7/G6</f>
        <v>5669.356282271945</v>
      </c>
      <c r="I7" s="3173">
        <v>6</v>
      </c>
      <c r="J7" s="3173">
        <v>20240070009</v>
      </c>
      <c r="K7" s="3173"/>
      <c r="L7" s="3173"/>
      <c r="M7" s="3173" t="s">
        <v>4274</v>
      </c>
      <c r="N7" s="3173" t="s">
        <v>4306</v>
      </c>
      <c r="O7" s="3173">
        <v>39.32</v>
      </c>
      <c r="P7" s="3173" t="s">
        <v>4276</v>
      </c>
      <c r="Q7" s="3173"/>
      <c r="R7" s="3174">
        <v>45364</v>
      </c>
      <c r="S7" s="3173" t="s">
        <v>4277</v>
      </c>
      <c r="T7" s="3173" t="s">
        <v>4278</v>
      </c>
      <c r="U7" s="3173" t="s">
        <v>4279</v>
      </c>
      <c r="V7" s="3173" t="s">
        <v>4280</v>
      </c>
      <c r="X7" s="3242">
        <f ca="1">'结果表-车位'!$G$20</f>
        <v>1850</v>
      </c>
      <c r="Y7" s="3242">
        <f t="shared" ca="1" si="0"/>
        <v>72742</v>
      </c>
      <c r="AA7" s="3173">
        <v>6</v>
      </c>
      <c r="AB7" s="3173" t="s">
        <v>4282</v>
      </c>
      <c r="AC7" s="3173"/>
      <c r="AD7" s="3173"/>
      <c r="AE7" s="3173" t="s">
        <v>4274</v>
      </c>
      <c r="AF7" s="3173" t="s">
        <v>4309</v>
      </c>
      <c r="AG7" s="3173">
        <v>42.72</v>
      </c>
      <c r="AH7" s="3173" t="s">
        <v>4296</v>
      </c>
      <c r="AI7" s="3173" t="s">
        <v>4282</v>
      </c>
      <c r="AJ7" s="3174">
        <v>45276</v>
      </c>
      <c r="AK7" s="3173" t="s">
        <v>4277</v>
      </c>
      <c r="AL7" s="3173" t="s">
        <v>4297</v>
      </c>
      <c r="AM7" s="3173" t="s">
        <v>4279</v>
      </c>
      <c r="AN7" s="3173" t="s">
        <v>4280</v>
      </c>
      <c r="AP7" s="3242">
        <f t="shared" ca="1" si="4"/>
        <v>5845</v>
      </c>
      <c r="AQ7" s="3242">
        <f t="shared" ca="1" si="1"/>
        <v>249698.4</v>
      </c>
      <c r="AS7" s="3173">
        <v>6</v>
      </c>
      <c r="AT7" s="3173" t="s">
        <v>4273</v>
      </c>
      <c r="AU7" s="3173"/>
      <c r="AV7" s="3173"/>
      <c r="AW7" s="3173" t="s">
        <v>4274</v>
      </c>
      <c r="AX7" s="3173" t="s">
        <v>4303</v>
      </c>
      <c r="AY7" s="3173">
        <v>50.34</v>
      </c>
      <c r="AZ7" s="3173" t="s">
        <v>4276</v>
      </c>
      <c r="BA7" s="3173"/>
      <c r="BB7" s="3174">
        <v>45276</v>
      </c>
      <c r="BC7" s="3173" t="s">
        <v>4277</v>
      </c>
      <c r="BD7" s="3173" t="s">
        <v>4278</v>
      </c>
      <c r="BE7" s="3173" t="s">
        <v>4279</v>
      </c>
      <c r="BF7" s="3173" t="s">
        <v>4280</v>
      </c>
      <c r="BG7" s="3180"/>
      <c r="BH7" s="3180">
        <f ca="1">'结果表-车位'!$G$20</f>
        <v>1850</v>
      </c>
      <c r="BI7" s="3224">
        <f t="shared" ca="1" si="2"/>
        <v>93129</v>
      </c>
    </row>
    <row r="8" spans="1:62" ht="54">
      <c r="A8" s="3224"/>
      <c r="B8" s="3224">
        <v>3</v>
      </c>
      <c r="C8" s="3224" t="s">
        <v>4938</v>
      </c>
      <c r="D8" s="3224">
        <f>COUNTIFS($P$2:$P$200,$B$1,$W$2:$W$200,B8)</f>
        <v>33</v>
      </c>
      <c r="E8" s="3224">
        <f>COUNTIFS($AH$2:$AH$73,$B$1,$AO$2:$AO$73,B8)</f>
        <v>0</v>
      </c>
      <c r="F8" s="3224">
        <f>COUNTIFS($AZ$2:$AZ$107,$B$1,$BG$2:$BG$107,B8)</f>
        <v>18</v>
      </c>
      <c r="G8" s="3230">
        <f t="shared" si="3"/>
        <v>51</v>
      </c>
      <c r="H8" s="3224"/>
      <c r="I8" s="3173">
        <v>7</v>
      </c>
      <c r="J8" s="3173">
        <v>20240070009</v>
      </c>
      <c r="K8" s="3173"/>
      <c r="L8" s="3173"/>
      <c r="M8" s="3173" t="s">
        <v>4274</v>
      </c>
      <c r="N8" s="3173" t="s">
        <v>4310</v>
      </c>
      <c r="O8" s="3173">
        <v>39.32</v>
      </c>
      <c r="P8" s="3173" t="s">
        <v>4276</v>
      </c>
      <c r="Q8" s="3173"/>
      <c r="R8" s="3174">
        <v>45364</v>
      </c>
      <c r="S8" s="3173" t="s">
        <v>4277</v>
      </c>
      <c r="T8" s="3173" t="s">
        <v>4278</v>
      </c>
      <c r="U8" s="3173" t="s">
        <v>4279</v>
      </c>
      <c r="V8" s="3173" t="s">
        <v>4280</v>
      </c>
      <c r="X8" s="3242">
        <f ca="1">'结果表-车位'!$G$20</f>
        <v>1850</v>
      </c>
      <c r="Y8" s="3242">
        <f t="shared" ca="1" si="0"/>
        <v>72742</v>
      </c>
      <c r="AA8" s="3173">
        <v>7</v>
      </c>
      <c r="AB8" s="3173" t="s">
        <v>4282</v>
      </c>
      <c r="AC8" s="3173"/>
      <c r="AD8" s="3173"/>
      <c r="AE8" s="3173" t="s">
        <v>4274</v>
      </c>
      <c r="AF8" s="3173" t="s">
        <v>4312</v>
      </c>
      <c r="AG8" s="3173">
        <v>42.72</v>
      </c>
      <c r="AH8" s="3173" t="s">
        <v>4296</v>
      </c>
      <c r="AI8" s="3173" t="s">
        <v>4282</v>
      </c>
      <c r="AJ8" s="3174">
        <v>45276</v>
      </c>
      <c r="AK8" s="3173" t="s">
        <v>4277</v>
      </c>
      <c r="AL8" s="3173" t="s">
        <v>4297</v>
      </c>
      <c r="AM8" s="3173" t="s">
        <v>4279</v>
      </c>
      <c r="AN8" s="3173" t="s">
        <v>4280</v>
      </c>
      <c r="AP8" s="3242">
        <f t="shared" ca="1" si="4"/>
        <v>5845</v>
      </c>
      <c r="AQ8" s="3242">
        <f t="shared" ca="1" si="1"/>
        <v>249698.4</v>
      </c>
      <c r="AS8" s="3173">
        <v>7</v>
      </c>
      <c r="AT8" s="3173" t="s">
        <v>4273</v>
      </c>
      <c r="AU8" s="3173"/>
      <c r="AV8" s="3173"/>
      <c r="AW8" s="3173" t="s">
        <v>4274</v>
      </c>
      <c r="AX8" s="3173" t="s">
        <v>4307</v>
      </c>
      <c r="AY8" s="3173">
        <v>50.34</v>
      </c>
      <c r="AZ8" s="3173" t="s">
        <v>4276</v>
      </c>
      <c r="BA8" s="3173"/>
      <c r="BB8" s="3174">
        <v>45276</v>
      </c>
      <c r="BC8" s="3173" t="s">
        <v>4277</v>
      </c>
      <c r="BD8" s="3173" t="s">
        <v>4278</v>
      </c>
      <c r="BE8" s="3173" t="s">
        <v>4279</v>
      </c>
      <c r="BF8" s="3173" t="s">
        <v>4280</v>
      </c>
      <c r="BG8" s="3180"/>
      <c r="BH8" s="3180">
        <f ca="1">'结果表-车位'!$G$20</f>
        <v>1850</v>
      </c>
      <c r="BI8" s="3224">
        <f t="shared" ca="1" si="2"/>
        <v>93129</v>
      </c>
    </row>
    <row r="9" spans="1:62" ht="54">
      <c r="A9" s="3224"/>
      <c r="B9" s="3224"/>
      <c r="C9" s="3224" t="s">
        <v>3385</v>
      </c>
      <c r="D9" s="3224">
        <f>SUMIFS($O$2:$O$200,$P$2:$P$200,$B$1,$W$2:$W$200,B8)</f>
        <v>1897.1800000000005</v>
      </c>
      <c r="E9" s="3224">
        <f>SUMIFS($AG$2:$AG$73,$AH$2:$AH$73,$B$1,$AO$2:$AO$73,B8)</f>
        <v>0</v>
      </c>
      <c r="F9" s="3224">
        <f>SUMIFS($AY$2:$AY$107,$AZ$2:$AZ$107,$B$1,$BG$2:$BG$107,B8)</f>
        <v>602.76</v>
      </c>
      <c r="G9" s="3230">
        <f t="shared" si="3"/>
        <v>2499.9400000000005</v>
      </c>
      <c r="H9" s="3224"/>
      <c r="I9" s="3173">
        <v>8</v>
      </c>
      <c r="J9" s="3173">
        <v>20240070009</v>
      </c>
      <c r="K9" s="3173"/>
      <c r="L9" s="3173"/>
      <c r="M9" s="3173" t="s">
        <v>4274</v>
      </c>
      <c r="N9" s="3173" t="s">
        <v>4313</v>
      </c>
      <c r="O9" s="3173">
        <v>39.32</v>
      </c>
      <c r="P9" s="3173" t="s">
        <v>4276</v>
      </c>
      <c r="Q9" s="3173"/>
      <c r="R9" s="3174">
        <v>45364</v>
      </c>
      <c r="S9" s="3173" t="s">
        <v>4277</v>
      </c>
      <c r="T9" s="3173" t="s">
        <v>4278</v>
      </c>
      <c r="U9" s="3173" t="s">
        <v>4279</v>
      </c>
      <c r="V9" s="3173" t="s">
        <v>4280</v>
      </c>
      <c r="X9" s="3242">
        <f ca="1">'结果表-车位'!$G$20</f>
        <v>1850</v>
      </c>
      <c r="Y9" s="3242">
        <f t="shared" ca="1" si="0"/>
        <v>72742</v>
      </c>
      <c r="AA9" s="3173">
        <v>8</v>
      </c>
      <c r="AB9" s="3173" t="s">
        <v>4282</v>
      </c>
      <c r="AC9" s="3173"/>
      <c r="AD9" s="3173"/>
      <c r="AE9" s="3173" t="s">
        <v>4274</v>
      </c>
      <c r="AF9" s="3173" t="s">
        <v>4315</v>
      </c>
      <c r="AG9" s="3173">
        <v>42.72</v>
      </c>
      <c r="AH9" s="3173" t="s">
        <v>4296</v>
      </c>
      <c r="AI9" s="3173" t="s">
        <v>4282</v>
      </c>
      <c r="AJ9" s="3174">
        <v>45276</v>
      </c>
      <c r="AK9" s="3173" t="s">
        <v>4277</v>
      </c>
      <c r="AL9" s="3173" t="s">
        <v>4297</v>
      </c>
      <c r="AM9" s="3173" t="s">
        <v>4279</v>
      </c>
      <c r="AN9" s="3173" t="s">
        <v>4280</v>
      </c>
      <c r="AP9" s="3242">
        <f t="shared" ca="1" si="4"/>
        <v>5845</v>
      </c>
      <c r="AQ9" s="3242">
        <f t="shared" ca="1" si="1"/>
        <v>249698.4</v>
      </c>
      <c r="AS9" s="3173">
        <v>8</v>
      </c>
      <c r="AT9" s="3173" t="s">
        <v>4273</v>
      </c>
      <c r="AU9" s="3173"/>
      <c r="AV9" s="3173"/>
      <c r="AW9" s="3173" t="s">
        <v>4274</v>
      </c>
      <c r="AX9" s="3173" t="s">
        <v>4311</v>
      </c>
      <c r="AY9" s="3173">
        <v>50.34</v>
      </c>
      <c r="AZ9" s="3173" t="s">
        <v>4276</v>
      </c>
      <c r="BA9" s="3173"/>
      <c r="BB9" s="3174">
        <v>45276</v>
      </c>
      <c r="BC9" s="3173" t="s">
        <v>4277</v>
      </c>
      <c r="BD9" s="3173" t="s">
        <v>4278</v>
      </c>
      <c r="BE9" s="3173" t="s">
        <v>4279</v>
      </c>
      <c r="BF9" s="3173" t="s">
        <v>4280</v>
      </c>
      <c r="BG9" s="3180"/>
      <c r="BH9" s="3180">
        <f ca="1">'结果表-车位'!$G$20</f>
        <v>1850</v>
      </c>
      <c r="BI9" s="3224">
        <f t="shared" ca="1" si="2"/>
        <v>93129</v>
      </c>
    </row>
    <row r="10" spans="1:62" ht="54">
      <c r="A10" s="3224"/>
      <c r="C10" s="1448" t="s">
        <v>4949</v>
      </c>
      <c r="D10" s="3224">
        <f ca="1">SUMIFS($Y$2:$Y$200,$P$2:$P$200,$B$1,$W$2:$W$200,B8)</f>
        <v>10502788.479999999</v>
      </c>
      <c r="E10" s="3224">
        <f>SUMIFS($AQ$2:$AQ$73,$AH$2:$AH$73,$B$1,$AO$2:$AO$73,B8)</f>
        <v>0</v>
      </c>
      <c r="F10" s="3224">
        <f ca="1">SUMIFS($BI$2:$BI$107,$AZ$2:$AZ$107,$B$1,$BG$2:$BG$107,B8)</f>
        <v>3336879.36</v>
      </c>
      <c r="G10" s="3238">
        <f t="shared" ca="1" si="3"/>
        <v>13839667.839999998</v>
      </c>
      <c r="H10" s="3224">
        <f ca="1">G10/G9</f>
        <v>5535.9999999999982</v>
      </c>
      <c r="I10" s="3173">
        <v>9</v>
      </c>
      <c r="J10" s="3173">
        <v>20240070009</v>
      </c>
      <c r="K10" s="3173"/>
      <c r="L10" s="3173"/>
      <c r="M10" s="3173" t="s">
        <v>4274</v>
      </c>
      <c r="N10" s="3173" t="s">
        <v>4316</v>
      </c>
      <c r="O10" s="3173">
        <v>39.32</v>
      </c>
      <c r="P10" s="3173" t="s">
        <v>4276</v>
      </c>
      <c r="Q10" s="3173"/>
      <c r="R10" s="3174">
        <v>45364</v>
      </c>
      <c r="S10" s="3173" t="s">
        <v>4277</v>
      </c>
      <c r="T10" s="3173" t="s">
        <v>4278</v>
      </c>
      <c r="U10" s="3173" t="s">
        <v>4279</v>
      </c>
      <c r="V10" s="3173" t="s">
        <v>4280</v>
      </c>
      <c r="X10" s="3242">
        <f ca="1">'结果表-车位'!$G$20</f>
        <v>1850</v>
      </c>
      <c r="Y10" s="3242">
        <f t="shared" ca="1" si="0"/>
        <v>72742</v>
      </c>
      <c r="AA10" s="3173">
        <v>9</v>
      </c>
      <c r="AB10" s="3173" t="s">
        <v>4282</v>
      </c>
      <c r="AC10" s="3173"/>
      <c r="AD10" s="3173"/>
      <c r="AE10" s="3173" t="s">
        <v>4274</v>
      </c>
      <c r="AF10" s="3173" t="s">
        <v>4320</v>
      </c>
      <c r="AG10" s="3173">
        <v>42.72</v>
      </c>
      <c r="AH10" s="3173" t="s">
        <v>4296</v>
      </c>
      <c r="AI10" s="3173" t="s">
        <v>4282</v>
      </c>
      <c r="AJ10" s="3174">
        <v>45276</v>
      </c>
      <c r="AK10" s="3173" t="s">
        <v>4279</v>
      </c>
      <c r="AL10" s="3173" t="s">
        <v>4297</v>
      </c>
      <c r="AM10" s="3173" t="s">
        <v>4279</v>
      </c>
      <c r="AN10" s="3173" t="s">
        <v>4280</v>
      </c>
      <c r="AP10" s="3242">
        <f t="shared" ca="1" si="4"/>
        <v>5845</v>
      </c>
      <c r="AQ10" s="3242">
        <f t="shared" ca="1" si="1"/>
        <v>249698.4</v>
      </c>
      <c r="AS10" s="3173">
        <v>9</v>
      </c>
      <c r="AT10" s="3173" t="s">
        <v>4273</v>
      </c>
      <c r="AU10" s="3173"/>
      <c r="AV10" s="3173"/>
      <c r="AW10" s="3173" t="s">
        <v>4274</v>
      </c>
      <c r="AX10" s="3173" t="s">
        <v>4314</v>
      </c>
      <c r="AY10" s="3173">
        <v>50.34</v>
      </c>
      <c r="AZ10" s="3173" t="s">
        <v>4276</v>
      </c>
      <c r="BA10" s="3173"/>
      <c r="BB10" s="3174">
        <v>45276</v>
      </c>
      <c r="BC10" s="3173" t="s">
        <v>4277</v>
      </c>
      <c r="BD10" s="3173" t="s">
        <v>4278</v>
      </c>
      <c r="BE10" s="3173" t="s">
        <v>4279</v>
      </c>
      <c r="BF10" s="3173" t="s">
        <v>4280</v>
      </c>
      <c r="BG10" s="3180"/>
      <c r="BH10" s="3180">
        <f ca="1">'结果表-车位'!$G$20</f>
        <v>1850</v>
      </c>
      <c r="BI10" s="3224">
        <f t="shared" ca="1" si="2"/>
        <v>93129</v>
      </c>
    </row>
    <row r="11" spans="1:62" ht="54">
      <c r="A11" s="3224"/>
      <c r="B11" s="3224">
        <v>4</v>
      </c>
      <c r="C11" s="3224" t="s">
        <v>4938</v>
      </c>
      <c r="D11" s="3224">
        <f>COUNTIFS($P$2:$P$200,$B$1,$W$2:$W$200,B11)</f>
        <v>25</v>
      </c>
      <c r="E11" s="3224">
        <f>COUNTIFS($AH$2:$AH$73,$B$1,$AO$2:$AO$73,B11)</f>
        <v>0</v>
      </c>
      <c r="F11" s="3224">
        <f>COUNTIFS($AZ$2:$AZ$107,$B$1,$BG$2:$BG$107,B11)</f>
        <v>7</v>
      </c>
      <c r="G11" s="3230">
        <f t="shared" si="3"/>
        <v>32</v>
      </c>
      <c r="H11" s="3224"/>
      <c r="I11" s="3173">
        <v>10</v>
      </c>
      <c r="J11" s="3173">
        <v>20240070009</v>
      </c>
      <c r="K11" s="3173"/>
      <c r="L11" s="3173"/>
      <c r="M11" s="3173" t="s">
        <v>4274</v>
      </c>
      <c r="N11" s="3173" t="s">
        <v>4321</v>
      </c>
      <c r="O11" s="3173">
        <v>39.32</v>
      </c>
      <c r="P11" s="3173" t="s">
        <v>4276</v>
      </c>
      <c r="Q11" s="3173"/>
      <c r="R11" s="3174">
        <v>45364</v>
      </c>
      <c r="S11" s="3173" t="s">
        <v>4277</v>
      </c>
      <c r="T11" s="3173" t="s">
        <v>4278</v>
      </c>
      <c r="U11" s="3173" t="s">
        <v>4279</v>
      </c>
      <c r="V11" s="3173" t="s">
        <v>4280</v>
      </c>
      <c r="X11" s="3242">
        <f ca="1">'结果表-车位'!$G$20</f>
        <v>1850</v>
      </c>
      <c r="Y11" s="3242">
        <f t="shared" ca="1" si="0"/>
        <v>72742</v>
      </c>
      <c r="AA11" s="3173">
        <v>10</v>
      </c>
      <c r="AB11" s="3173" t="s">
        <v>4282</v>
      </c>
      <c r="AC11" s="3173"/>
      <c r="AD11" s="3173"/>
      <c r="AE11" s="3173" t="s">
        <v>4274</v>
      </c>
      <c r="AF11" s="3173" t="s">
        <v>4324</v>
      </c>
      <c r="AG11" s="3173">
        <v>42.72</v>
      </c>
      <c r="AH11" s="3173" t="s">
        <v>4296</v>
      </c>
      <c r="AI11" s="3173" t="s">
        <v>4282</v>
      </c>
      <c r="AJ11" s="3174">
        <v>45276</v>
      </c>
      <c r="AK11" s="3173" t="s">
        <v>4279</v>
      </c>
      <c r="AL11" s="3173" t="s">
        <v>4297</v>
      </c>
      <c r="AM11" s="3173" t="s">
        <v>4279</v>
      </c>
      <c r="AN11" s="3173" t="s">
        <v>4280</v>
      </c>
      <c r="AP11" s="3242">
        <f t="shared" ca="1" si="4"/>
        <v>5845</v>
      </c>
      <c r="AQ11" s="3242">
        <f t="shared" ca="1" si="1"/>
        <v>249698.4</v>
      </c>
      <c r="AS11" s="3173">
        <v>10</v>
      </c>
      <c r="AT11" s="3173" t="s">
        <v>4273</v>
      </c>
      <c r="AU11" s="3173"/>
      <c r="AV11" s="3173"/>
      <c r="AW11" s="3173" t="s">
        <v>4274</v>
      </c>
      <c r="AX11" s="3173" t="s">
        <v>4317</v>
      </c>
      <c r="AY11" s="3173">
        <v>50.34</v>
      </c>
      <c r="AZ11" s="3173" t="s">
        <v>4276</v>
      </c>
      <c r="BA11" s="3173"/>
      <c r="BB11" s="3174">
        <v>45276</v>
      </c>
      <c r="BC11" s="3173" t="s">
        <v>4277</v>
      </c>
      <c r="BD11" s="3173" t="s">
        <v>4278</v>
      </c>
      <c r="BE11" s="3173" t="s">
        <v>4279</v>
      </c>
      <c r="BF11" s="3173" t="s">
        <v>4280</v>
      </c>
      <c r="BG11" s="3180"/>
      <c r="BH11" s="3180">
        <f ca="1">'结果表-车位'!$G$20</f>
        <v>1850</v>
      </c>
      <c r="BI11" s="3224">
        <f t="shared" ca="1" si="2"/>
        <v>93129</v>
      </c>
    </row>
    <row r="12" spans="1:62" ht="54">
      <c r="A12" s="3224">
        <f>G3+G6+G9+G12</f>
        <v>8025.1</v>
      </c>
      <c r="B12" s="3224"/>
      <c r="C12" s="3224" t="s">
        <v>3385</v>
      </c>
      <c r="D12" s="3224">
        <f>SUMIFS($O$2:$O$200,$P$2:$P$200,$B$1,$W$2:$W$200,B11)</f>
        <v>1406.9900000000002</v>
      </c>
      <c r="E12" s="3224">
        <f>SUMIFS($AG$2:$AG$73,$AH$2:$AH$73,$B$1,$AO$2:$AO$73,B11)</f>
        <v>0</v>
      </c>
      <c r="F12" s="3224">
        <f>SUMIFS($AY$2:$AY$107,$AZ$2:$AZ$107,$B$1,$BG$2:$BG$107,B11)</f>
        <v>251.49999999999994</v>
      </c>
      <c r="G12" s="3230">
        <f t="shared" si="3"/>
        <v>1658.4900000000002</v>
      </c>
      <c r="H12" s="3224"/>
      <c r="I12" s="3173">
        <v>11</v>
      </c>
      <c r="J12" s="3173">
        <v>20240070009</v>
      </c>
      <c r="K12" s="3173"/>
      <c r="L12" s="3173"/>
      <c r="M12" s="3173" t="s">
        <v>4274</v>
      </c>
      <c r="N12" s="3173" t="s">
        <v>4325</v>
      </c>
      <c r="O12" s="3173">
        <v>39.32</v>
      </c>
      <c r="P12" s="3173" t="s">
        <v>4276</v>
      </c>
      <c r="Q12" s="3173"/>
      <c r="R12" s="3174">
        <v>45364</v>
      </c>
      <c r="S12" s="3173" t="s">
        <v>4277</v>
      </c>
      <c r="T12" s="3173" t="s">
        <v>4278</v>
      </c>
      <c r="U12" s="3173" t="s">
        <v>4279</v>
      </c>
      <c r="V12" s="3173" t="s">
        <v>4280</v>
      </c>
      <c r="X12" s="3242">
        <f ca="1">'结果表-车位'!$G$20</f>
        <v>1850</v>
      </c>
      <c r="Y12" s="3242">
        <f t="shared" ca="1" si="0"/>
        <v>72742</v>
      </c>
      <c r="AA12" s="3173">
        <v>11</v>
      </c>
      <c r="AB12" s="3173" t="s">
        <v>4282</v>
      </c>
      <c r="AC12" s="3173"/>
      <c r="AD12" s="3173"/>
      <c r="AE12" s="3173" t="s">
        <v>4274</v>
      </c>
      <c r="AF12" s="3173" t="s">
        <v>4327</v>
      </c>
      <c r="AG12" s="3173">
        <v>42.72</v>
      </c>
      <c r="AH12" s="3173" t="s">
        <v>4296</v>
      </c>
      <c r="AI12" s="3173" t="s">
        <v>4282</v>
      </c>
      <c r="AJ12" s="3174">
        <v>45276</v>
      </c>
      <c r="AK12" s="3173" t="s">
        <v>4277</v>
      </c>
      <c r="AL12" s="3173" t="s">
        <v>4288</v>
      </c>
      <c r="AM12" s="3173" t="s">
        <v>4279</v>
      </c>
      <c r="AN12" s="3173" t="s">
        <v>4280</v>
      </c>
      <c r="AP12" s="3242">
        <f t="shared" ca="1" si="4"/>
        <v>5845</v>
      </c>
      <c r="AQ12" s="3242">
        <f t="shared" ca="1" si="1"/>
        <v>249698.4</v>
      </c>
      <c r="AS12" s="3173">
        <v>11</v>
      </c>
      <c r="AT12" s="3173" t="s">
        <v>4273</v>
      </c>
      <c r="AU12" s="3173"/>
      <c r="AV12" s="3173"/>
      <c r="AW12" s="3173" t="s">
        <v>4274</v>
      </c>
      <c r="AX12" s="3173" t="s">
        <v>4322</v>
      </c>
      <c r="AY12" s="3173">
        <v>50.34</v>
      </c>
      <c r="AZ12" s="3173" t="s">
        <v>4276</v>
      </c>
      <c r="BA12" s="3173"/>
      <c r="BB12" s="3174">
        <v>45276</v>
      </c>
      <c r="BC12" s="3173" t="s">
        <v>4277</v>
      </c>
      <c r="BD12" s="3173" t="s">
        <v>4278</v>
      </c>
      <c r="BE12" s="3173" t="s">
        <v>4279</v>
      </c>
      <c r="BF12" s="3173" t="s">
        <v>4280</v>
      </c>
      <c r="BG12" s="3180"/>
      <c r="BH12" s="3180">
        <f ca="1">'结果表-车位'!$G$20</f>
        <v>1850</v>
      </c>
      <c r="BI12" s="3224">
        <f t="shared" ca="1" si="2"/>
        <v>93129</v>
      </c>
    </row>
    <row r="13" spans="1:62" ht="54">
      <c r="A13" s="3224">
        <f ca="1">G4+G7+G10+G13</f>
        <v>50624864.229999997</v>
      </c>
      <c r="B13" s="3224"/>
      <c r="C13" s="1448" t="s">
        <v>4949</v>
      </c>
      <c r="D13" s="3224">
        <f ca="1">SUMIFS($Y$2:$Y$200,$P$2:$P$200,$B$1,$W$2:$W$200,B11)</f>
        <v>7789096.6399999987</v>
      </c>
      <c r="E13" s="3224">
        <f>SUMIFS($AQ$2:$AQ$73,$AH$2:$AH$73,$B$1,$AO$2:$AO$73,B11)</f>
        <v>0</v>
      </c>
      <c r="F13" s="3224">
        <f ca="1">SUMIFS($BI$2:$BI$107,$AZ$2:$AZ$107,$B$1,$BG$2:$BG$107,B11)</f>
        <v>1392304</v>
      </c>
      <c r="G13" s="3238">
        <f t="shared" ca="1" si="3"/>
        <v>9181400.6399999987</v>
      </c>
      <c r="H13" s="3224">
        <f ca="1">G13/G12</f>
        <v>5535.9999999999982</v>
      </c>
      <c r="I13" s="3173">
        <v>12</v>
      </c>
      <c r="J13" s="3173">
        <v>20240070009</v>
      </c>
      <c r="K13" s="3173"/>
      <c r="L13" s="3173"/>
      <c r="M13" s="3173" t="s">
        <v>4274</v>
      </c>
      <c r="N13" s="3173" t="s">
        <v>4328</v>
      </c>
      <c r="O13" s="3173">
        <v>39.32</v>
      </c>
      <c r="P13" s="3173" t="s">
        <v>4276</v>
      </c>
      <c r="Q13" s="3173"/>
      <c r="R13" s="3174">
        <v>45364</v>
      </c>
      <c r="S13" s="3173" t="s">
        <v>4277</v>
      </c>
      <c r="T13" s="3173" t="s">
        <v>4278</v>
      </c>
      <c r="U13" s="3173" t="s">
        <v>4279</v>
      </c>
      <c r="V13" s="3173" t="s">
        <v>4280</v>
      </c>
      <c r="X13" s="3242">
        <f ca="1">'结果表-车位'!$G$20</f>
        <v>1850</v>
      </c>
      <c r="Y13" s="3242">
        <f t="shared" ca="1" si="0"/>
        <v>72742</v>
      </c>
      <c r="AA13" s="3173">
        <v>12</v>
      </c>
      <c r="AB13" s="3173" t="s">
        <v>4282</v>
      </c>
      <c r="AC13" s="3173"/>
      <c r="AD13" s="3173"/>
      <c r="AE13" s="3173" t="s">
        <v>4274</v>
      </c>
      <c r="AF13" s="3173" t="s">
        <v>4330</v>
      </c>
      <c r="AG13" s="3173">
        <v>42.72</v>
      </c>
      <c r="AH13" s="3173" t="s">
        <v>4296</v>
      </c>
      <c r="AI13" s="3173" t="s">
        <v>4282</v>
      </c>
      <c r="AJ13" s="3174">
        <v>45276</v>
      </c>
      <c r="AK13" s="3173" t="s">
        <v>4279</v>
      </c>
      <c r="AL13" s="3173" t="s">
        <v>4297</v>
      </c>
      <c r="AM13" s="3173" t="s">
        <v>4279</v>
      </c>
      <c r="AN13" s="3173" t="s">
        <v>4280</v>
      </c>
      <c r="AP13" s="3242">
        <f t="shared" ca="1" si="4"/>
        <v>5845</v>
      </c>
      <c r="AQ13" s="3242">
        <f t="shared" ca="1" si="1"/>
        <v>249698.4</v>
      </c>
      <c r="AS13" s="3173">
        <v>12</v>
      </c>
      <c r="AT13" s="3173" t="s">
        <v>4273</v>
      </c>
      <c r="AU13" s="3173"/>
      <c r="AV13" s="3173"/>
      <c r="AW13" s="3173" t="s">
        <v>4274</v>
      </c>
      <c r="AX13" s="3173" t="s">
        <v>4326</v>
      </c>
      <c r="AY13" s="3173">
        <v>50.34</v>
      </c>
      <c r="AZ13" s="3173" t="s">
        <v>4276</v>
      </c>
      <c r="BA13" s="3173"/>
      <c r="BB13" s="3174">
        <v>45276</v>
      </c>
      <c r="BC13" s="3173" t="s">
        <v>4277</v>
      </c>
      <c r="BD13" s="3173" t="s">
        <v>4278</v>
      </c>
      <c r="BE13" s="3173" t="s">
        <v>4279</v>
      </c>
      <c r="BF13" s="3173" t="s">
        <v>4280</v>
      </c>
      <c r="BG13" s="3180"/>
      <c r="BH13" s="3180">
        <f ca="1">'结果表-车位'!$G$20</f>
        <v>1850</v>
      </c>
      <c r="BI13" s="3224">
        <f t="shared" ca="1" si="2"/>
        <v>93129</v>
      </c>
    </row>
    <row r="14" spans="1:62" ht="54">
      <c r="A14" s="3224">
        <f ca="1">A13/A12</f>
        <v>6308.3156882780268</v>
      </c>
      <c r="C14" s="3232" t="s">
        <v>4943</v>
      </c>
      <c r="D14" s="3232" t="s">
        <v>4937</v>
      </c>
      <c r="E14" s="3232">
        <v>2</v>
      </c>
      <c r="F14" s="3232">
        <v>4</v>
      </c>
      <c r="G14" s="3224"/>
      <c r="H14" s="3224"/>
      <c r="I14" s="3173">
        <v>13</v>
      </c>
      <c r="J14" s="3173">
        <v>20240070009</v>
      </c>
      <c r="K14" s="3173"/>
      <c r="L14" s="3173"/>
      <c r="M14" s="3173" t="s">
        <v>4274</v>
      </c>
      <c r="N14" s="3173" t="s">
        <v>4331</v>
      </c>
      <c r="O14" s="3173">
        <v>39.32</v>
      </c>
      <c r="P14" s="3173" t="s">
        <v>4276</v>
      </c>
      <c r="Q14" s="3173"/>
      <c r="R14" s="3174">
        <v>45364</v>
      </c>
      <c r="S14" s="3173" t="s">
        <v>4277</v>
      </c>
      <c r="T14" s="3173" t="s">
        <v>4278</v>
      </c>
      <c r="U14" s="3173" t="s">
        <v>4279</v>
      </c>
      <c r="V14" s="3173" t="s">
        <v>4280</v>
      </c>
      <c r="X14" s="3242">
        <f ca="1">'结果表-车位'!$G$20</f>
        <v>1850</v>
      </c>
      <c r="Y14" s="3242">
        <f t="shared" ca="1" si="0"/>
        <v>72742</v>
      </c>
      <c r="AA14" s="3173">
        <v>13</v>
      </c>
      <c r="AB14" s="3173" t="s">
        <v>4282</v>
      </c>
      <c r="AC14" s="3173"/>
      <c r="AD14" s="3173"/>
      <c r="AE14" s="3173" t="s">
        <v>4274</v>
      </c>
      <c r="AF14" s="3173" t="s">
        <v>4333</v>
      </c>
      <c r="AG14" s="3173">
        <v>42.72</v>
      </c>
      <c r="AH14" s="3173" t="s">
        <v>4296</v>
      </c>
      <c r="AI14" s="3173" t="s">
        <v>4282</v>
      </c>
      <c r="AJ14" s="3174">
        <v>45276</v>
      </c>
      <c r="AK14" s="3173" t="s">
        <v>4279</v>
      </c>
      <c r="AL14" s="3173" t="s">
        <v>4297</v>
      </c>
      <c r="AM14" s="3173" t="s">
        <v>4279</v>
      </c>
      <c r="AN14" s="3173" t="s">
        <v>4280</v>
      </c>
      <c r="AP14" s="3242">
        <f t="shared" ca="1" si="4"/>
        <v>5845</v>
      </c>
      <c r="AQ14" s="3242">
        <f t="shared" ca="1" si="1"/>
        <v>249698.4</v>
      </c>
      <c r="AS14" s="3173">
        <v>13</v>
      </c>
      <c r="AT14" s="3173" t="s">
        <v>4273</v>
      </c>
      <c r="AU14" s="3173"/>
      <c r="AV14" s="3173"/>
      <c r="AW14" s="3173" t="s">
        <v>4274</v>
      </c>
      <c r="AX14" s="3173" t="s">
        <v>4329</v>
      </c>
      <c r="AY14" s="3173">
        <v>50.34</v>
      </c>
      <c r="AZ14" s="3173" t="s">
        <v>4276</v>
      </c>
      <c r="BA14" s="3173"/>
      <c r="BB14" s="3174">
        <v>45276</v>
      </c>
      <c r="BC14" s="3173" t="s">
        <v>4277</v>
      </c>
      <c r="BD14" s="3173" t="s">
        <v>4278</v>
      </c>
      <c r="BE14" s="3173" t="s">
        <v>4279</v>
      </c>
      <c r="BF14" s="3173" t="s">
        <v>4280</v>
      </c>
      <c r="BG14" s="3180"/>
      <c r="BH14" s="3180">
        <f ca="1">'结果表-车位'!$G$20</f>
        <v>1850</v>
      </c>
      <c r="BI14" s="3224">
        <f t="shared" ca="1" si="2"/>
        <v>93129</v>
      </c>
    </row>
    <row r="15" spans="1:62" ht="54">
      <c r="A15" s="3224"/>
      <c r="B15" s="3224" t="s">
        <v>4304</v>
      </c>
      <c r="C15" s="3224" t="s">
        <v>4938</v>
      </c>
      <c r="D15" s="3224">
        <f>COUNTIF($P$2:$P$200,$B$15)</f>
        <v>0</v>
      </c>
      <c r="E15" s="3224">
        <f>COUNTIF(AH2:AH73,$B$15)</f>
        <v>70</v>
      </c>
      <c r="F15" s="3224">
        <f>COUNTIF(AZ2:AZ107,$B$15)</f>
        <v>0</v>
      </c>
      <c r="G15" s="3230">
        <f>SUM(D15:F15)</f>
        <v>70</v>
      </c>
      <c r="H15" s="3224"/>
      <c r="I15" s="3173">
        <v>14</v>
      </c>
      <c r="J15" s="3173">
        <v>20240070009</v>
      </c>
      <c r="K15" s="3173"/>
      <c r="L15" s="3173"/>
      <c r="M15" s="3173" t="s">
        <v>4274</v>
      </c>
      <c r="N15" s="3173" t="s">
        <v>4334</v>
      </c>
      <c r="O15" s="3173">
        <v>39.32</v>
      </c>
      <c r="P15" s="3173" t="s">
        <v>4276</v>
      </c>
      <c r="Q15" s="3173"/>
      <c r="R15" s="3174">
        <v>45364</v>
      </c>
      <c r="S15" s="3173" t="s">
        <v>4277</v>
      </c>
      <c r="T15" s="3173" t="s">
        <v>4278</v>
      </c>
      <c r="U15" s="3173" t="s">
        <v>4279</v>
      </c>
      <c r="V15" s="3173" t="s">
        <v>4280</v>
      </c>
      <c r="X15" s="3242">
        <f ca="1">'结果表-车位'!$G$20</f>
        <v>1850</v>
      </c>
      <c r="Y15" s="3242">
        <f t="shared" ca="1" si="0"/>
        <v>72742</v>
      </c>
      <c r="AA15" s="3173">
        <v>14</v>
      </c>
      <c r="AB15" s="3173" t="s">
        <v>4282</v>
      </c>
      <c r="AC15" s="3173"/>
      <c r="AD15" s="3173"/>
      <c r="AE15" s="3173" t="s">
        <v>4274</v>
      </c>
      <c r="AF15" s="3173" t="s">
        <v>4336</v>
      </c>
      <c r="AG15" s="3173">
        <v>42.72</v>
      </c>
      <c r="AH15" s="3173" t="s">
        <v>4296</v>
      </c>
      <c r="AI15" s="3173" t="s">
        <v>4282</v>
      </c>
      <c r="AJ15" s="3174">
        <v>45276</v>
      </c>
      <c r="AK15" s="3173" t="s">
        <v>4279</v>
      </c>
      <c r="AL15" s="3173" t="s">
        <v>4297</v>
      </c>
      <c r="AM15" s="3173" t="s">
        <v>4279</v>
      </c>
      <c r="AN15" s="3173" t="s">
        <v>4280</v>
      </c>
      <c r="AP15" s="3242">
        <f t="shared" ca="1" si="4"/>
        <v>5845</v>
      </c>
      <c r="AQ15" s="3242">
        <f t="shared" ca="1" si="1"/>
        <v>249698.4</v>
      </c>
      <c r="AS15" s="3173">
        <v>14</v>
      </c>
      <c r="AT15" s="3173" t="s">
        <v>4273</v>
      </c>
      <c r="AU15" s="3173"/>
      <c r="AV15" s="3173"/>
      <c r="AW15" s="3173" t="s">
        <v>4274</v>
      </c>
      <c r="AX15" s="3173" t="s">
        <v>4332</v>
      </c>
      <c r="AY15" s="3173">
        <v>50.34</v>
      </c>
      <c r="AZ15" s="3173" t="s">
        <v>4276</v>
      </c>
      <c r="BA15" s="3173"/>
      <c r="BB15" s="3174">
        <v>45276</v>
      </c>
      <c r="BC15" s="3173" t="s">
        <v>4277</v>
      </c>
      <c r="BD15" s="3173" t="s">
        <v>4278</v>
      </c>
      <c r="BE15" s="3173" t="s">
        <v>4279</v>
      </c>
      <c r="BF15" s="3173" t="s">
        <v>4280</v>
      </c>
      <c r="BG15" s="3180"/>
      <c r="BH15" s="3180">
        <f ca="1">'结果表-车位'!$G$20</f>
        <v>1850</v>
      </c>
      <c r="BI15" s="3224">
        <f t="shared" ca="1" si="2"/>
        <v>93129</v>
      </c>
    </row>
    <row r="16" spans="1:62" ht="54">
      <c r="A16" s="3224"/>
      <c r="B16" s="3224"/>
      <c r="C16" s="3224" t="s">
        <v>3385</v>
      </c>
      <c r="D16" s="3224">
        <f>SUMIF($P$2:$P$200,$B$15,O2:O200)</f>
        <v>0</v>
      </c>
      <c r="E16" s="3224">
        <f>SUMIF($AH$2:$AH$73,$B$15,AG2:AG73)</f>
        <v>3082.8099999999981</v>
      </c>
      <c r="F16" s="3224">
        <f>SUMIF($AY$2:$AY$107,$B$15,AZ2:AZ107)</f>
        <v>0</v>
      </c>
      <c r="G16" s="3230">
        <f>SUM(D16:F16)</f>
        <v>3082.8099999999981</v>
      </c>
      <c r="H16" s="3224"/>
      <c r="I16" s="3173">
        <v>15</v>
      </c>
      <c r="J16" s="3173">
        <v>20240070009</v>
      </c>
      <c r="K16" s="3173"/>
      <c r="L16" s="3173"/>
      <c r="M16" s="3173" t="s">
        <v>4274</v>
      </c>
      <c r="N16" s="3173" t="s">
        <v>4337</v>
      </c>
      <c r="O16" s="3173">
        <v>39.32</v>
      </c>
      <c r="P16" s="3173" t="s">
        <v>4276</v>
      </c>
      <c r="Q16" s="3173"/>
      <c r="R16" s="3174">
        <v>45364</v>
      </c>
      <c r="S16" s="3173" t="s">
        <v>4277</v>
      </c>
      <c r="T16" s="3173" t="s">
        <v>4278</v>
      </c>
      <c r="U16" s="3173" t="s">
        <v>4279</v>
      </c>
      <c r="V16" s="3173" t="s">
        <v>4280</v>
      </c>
      <c r="X16" s="3242">
        <f ca="1">'结果表-车位'!$G$20</f>
        <v>1850</v>
      </c>
      <c r="Y16" s="3242">
        <f t="shared" ca="1" si="0"/>
        <v>72742</v>
      </c>
      <c r="AA16" s="3173">
        <v>15</v>
      </c>
      <c r="AB16" s="3173" t="s">
        <v>4282</v>
      </c>
      <c r="AC16" s="3173"/>
      <c r="AD16" s="3173"/>
      <c r="AE16" s="3173" t="s">
        <v>4274</v>
      </c>
      <c r="AF16" s="3173" t="s">
        <v>4339</v>
      </c>
      <c r="AG16" s="3173">
        <v>42.72</v>
      </c>
      <c r="AH16" s="3173" t="s">
        <v>4296</v>
      </c>
      <c r="AI16" s="3173" t="s">
        <v>4282</v>
      </c>
      <c r="AJ16" s="3174">
        <v>45276</v>
      </c>
      <c r="AK16" s="3173" t="s">
        <v>4279</v>
      </c>
      <c r="AL16" s="3173" t="s">
        <v>4297</v>
      </c>
      <c r="AM16" s="3173" t="s">
        <v>4279</v>
      </c>
      <c r="AN16" s="3173" t="s">
        <v>4280</v>
      </c>
      <c r="AP16" s="3242">
        <f t="shared" ca="1" si="4"/>
        <v>5845</v>
      </c>
      <c r="AQ16" s="3242">
        <f t="shared" ca="1" si="1"/>
        <v>249698.4</v>
      </c>
      <c r="AS16" s="3173">
        <v>15</v>
      </c>
      <c r="AT16" s="3173" t="s">
        <v>4273</v>
      </c>
      <c r="AU16" s="3173"/>
      <c r="AV16" s="3173"/>
      <c r="AW16" s="3173" t="s">
        <v>4274</v>
      </c>
      <c r="AX16" s="3173" t="s">
        <v>4335</v>
      </c>
      <c r="AY16" s="3173">
        <v>50.34</v>
      </c>
      <c r="AZ16" s="3173" t="s">
        <v>4276</v>
      </c>
      <c r="BA16" s="3173"/>
      <c r="BB16" s="3174">
        <v>45276</v>
      </c>
      <c r="BC16" s="3173" t="s">
        <v>4277</v>
      </c>
      <c r="BD16" s="3173" t="s">
        <v>4278</v>
      </c>
      <c r="BE16" s="3173" t="s">
        <v>4279</v>
      </c>
      <c r="BF16" s="3173" t="s">
        <v>4280</v>
      </c>
      <c r="BG16" s="3180"/>
      <c r="BH16" s="3180">
        <f ca="1">'结果表-车位'!$G$20</f>
        <v>1850</v>
      </c>
      <c r="BI16" s="3224">
        <f t="shared" ca="1" si="2"/>
        <v>93129</v>
      </c>
    </row>
    <row r="17" spans="1:61" ht="54">
      <c r="A17" s="3224"/>
      <c r="C17" s="1448" t="s">
        <v>4949</v>
      </c>
      <c r="D17" s="3224">
        <f>SUMIF($P$2:$P$200,$B$15,Y2:Y200)</f>
        <v>0</v>
      </c>
      <c r="E17" s="3224">
        <f ca="1">SUMIF($AH$2:$AH$73,$B$15,AQ2:AQ73)</f>
        <v>18019024.45000001</v>
      </c>
      <c r="F17" s="3224">
        <f ca="1">SUMIF($AY$2:$AY$200,$B$15,AZ3:AZ74)</f>
        <v>0</v>
      </c>
      <c r="G17" s="3239">
        <f ca="1">SUM(D17:F17)</f>
        <v>18019024.45000001</v>
      </c>
      <c r="H17" s="3224"/>
      <c r="I17" s="3173">
        <v>16</v>
      </c>
      <c r="J17" s="3173">
        <v>20240070009</v>
      </c>
      <c r="K17" s="3173"/>
      <c r="L17" s="3173"/>
      <c r="M17" s="3173" t="s">
        <v>4274</v>
      </c>
      <c r="N17" s="3173" t="s">
        <v>4340</v>
      </c>
      <c r="O17" s="3173">
        <v>39.32</v>
      </c>
      <c r="P17" s="3173" t="s">
        <v>4276</v>
      </c>
      <c r="Q17" s="3173"/>
      <c r="R17" s="3174">
        <v>45364</v>
      </c>
      <c r="S17" s="3173" t="s">
        <v>4277</v>
      </c>
      <c r="T17" s="3173" t="s">
        <v>4278</v>
      </c>
      <c r="U17" s="3173" t="s">
        <v>4279</v>
      </c>
      <c r="V17" s="3173" t="s">
        <v>4280</v>
      </c>
      <c r="X17" s="3242">
        <f ca="1">'结果表-车位'!$G$20</f>
        <v>1850</v>
      </c>
      <c r="Y17" s="3242">
        <f t="shared" ca="1" si="0"/>
        <v>72742</v>
      </c>
      <c r="AA17" s="3173">
        <v>16</v>
      </c>
      <c r="AB17" s="3173" t="s">
        <v>4282</v>
      </c>
      <c r="AC17" s="3173"/>
      <c r="AD17" s="3173"/>
      <c r="AE17" s="3173" t="s">
        <v>4274</v>
      </c>
      <c r="AF17" s="3173" t="s">
        <v>4342</v>
      </c>
      <c r="AG17" s="3173">
        <v>44.67</v>
      </c>
      <c r="AH17" s="3173" t="s">
        <v>4296</v>
      </c>
      <c r="AI17" s="3173" t="s">
        <v>4282</v>
      </c>
      <c r="AJ17" s="3174">
        <v>45276</v>
      </c>
      <c r="AK17" s="3173" t="s">
        <v>4279</v>
      </c>
      <c r="AL17" s="3173" t="s">
        <v>4297</v>
      </c>
      <c r="AM17" s="3173" t="s">
        <v>4279</v>
      </c>
      <c r="AN17" s="3173" t="s">
        <v>4280</v>
      </c>
      <c r="AP17" s="3242">
        <f t="shared" ca="1" si="4"/>
        <v>5845</v>
      </c>
      <c r="AQ17" s="3242">
        <f t="shared" ca="1" si="1"/>
        <v>261096.15000000002</v>
      </c>
      <c r="AS17" s="3173">
        <v>16</v>
      </c>
      <c r="AT17" s="3173" t="s">
        <v>4273</v>
      </c>
      <c r="AU17" s="3173"/>
      <c r="AV17" s="3173"/>
      <c r="AW17" s="3173" t="s">
        <v>4274</v>
      </c>
      <c r="AX17" s="3173" t="s">
        <v>4338</v>
      </c>
      <c r="AY17" s="3173">
        <v>50.34</v>
      </c>
      <c r="AZ17" s="3173" t="s">
        <v>4276</v>
      </c>
      <c r="BA17" s="3173"/>
      <c r="BB17" s="3174">
        <v>45276</v>
      </c>
      <c r="BC17" s="3173" t="s">
        <v>4277</v>
      </c>
      <c r="BD17" s="3173" t="s">
        <v>4278</v>
      </c>
      <c r="BE17" s="3173" t="s">
        <v>4279</v>
      </c>
      <c r="BF17" s="3173" t="s">
        <v>4280</v>
      </c>
      <c r="BG17" s="3180"/>
      <c r="BH17" s="3180">
        <f ca="1">'结果表-车位'!$G$20</f>
        <v>1850</v>
      </c>
      <c r="BI17" s="3224">
        <f t="shared" ca="1" si="2"/>
        <v>93129</v>
      </c>
    </row>
    <row r="18" spans="1:61" ht="54">
      <c r="A18" s="3224"/>
      <c r="B18" s="3224"/>
      <c r="C18" s="3232" t="s">
        <v>4943</v>
      </c>
      <c r="D18" s="3232" t="s">
        <v>4937</v>
      </c>
      <c r="E18" s="3232">
        <v>2</v>
      </c>
      <c r="F18" s="3232">
        <v>4</v>
      </c>
      <c r="G18" s="3224"/>
      <c r="H18" s="3224" t="s">
        <v>4952</v>
      </c>
      <c r="I18" s="3173">
        <v>17</v>
      </c>
      <c r="J18" s="3173">
        <v>20240070009</v>
      </c>
      <c r="K18" s="3173"/>
      <c r="L18" s="3173"/>
      <c r="M18" s="3173" t="s">
        <v>4274</v>
      </c>
      <c r="N18" s="3173" t="s">
        <v>4343</v>
      </c>
      <c r="O18" s="3173">
        <v>39.32</v>
      </c>
      <c r="P18" s="3173" t="s">
        <v>4276</v>
      </c>
      <c r="Q18" s="3173"/>
      <c r="R18" s="3174">
        <v>45364</v>
      </c>
      <c r="S18" s="3173" t="s">
        <v>4277</v>
      </c>
      <c r="T18" s="3173" t="s">
        <v>4278</v>
      </c>
      <c r="U18" s="3173" t="s">
        <v>4279</v>
      </c>
      <c r="V18" s="3173" t="s">
        <v>4280</v>
      </c>
      <c r="X18" s="3242">
        <f ca="1">'结果表-车位'!$G$20</f>
        <v>1850</v>
      </c>
      <c r="Y18" s="3242">
        <f t="shared" ca="1" si="0"/>
        <v>72742</v>
      </c>
      <c r="AA18" s="3173">
        <v>17</v>
      </c>
      <c r="AB18" s="3173" t="s">
        <v>4282</v>
      </c>
      <c r="AC18" s="3173"/>
      <c r="AD18" s="3173"/>
      <c r="AE18" s="3173" t="s">
        <v>4274</v>
      </c>
      <c r="AF18" s="3173" t="s">
        <v>4345</v>
      </c>
      <c r="AG18" s="3173">
        <v>44.57</v>
      </c>
      <c r="AH18" s="3173" t="s">
        <v>4296</v>
      </c>
      <c r="AI18" s="3173" t="s">
        <v>4282</v>
      </c>
      <c r="AJ18" s="3174">
        <v>45276</v>
      </c>
      <c r="AK18" s="3173" t="s">
        <v>4279</v>
      </c>
      <c r="AL18" s="3173" t="s">
        <v>4297</v>
      </c>
      <c r="AM18" s="3173" t="s">
        <v>4279</v>
      </c>
      <c r="AN18" s="3173" t="s">
        <v>4280</v>
      </c>
      <c r="AP18" s="3242">
        <f t="shared" ca="1" si="4"/>
        <v>5845</v>
      </c>
      <c r="AQ18" s="3242">
        <f t="shared" ca="1" si="1"/>
        <v>260511.65</v>
      </c>
      <c r="AS18" s="3173">
        <v>17</v>
      </c>
      <c r="AT18" s="3173" t="s">
        <v>4273</v>
      </c>
      <c r="AU18" s="3173"/>
      <c r="AV18" s="3173"/>
      <c r="AW18" s="3173" t="s">
        <v>4274</v>
      </c>
      <c r="AX18" s="3173" t="s">
        <v>4341</v>
      </c>
      <c r="AY18" s="3173">
        <v>50.34</v>
      </c>
      <c r="AZ18" s="3173" t="s">
        <v>4276</v>
      </c>
      <c r="BA18" s="3173"/>
      <c r="BB18" s="3174">
        <v>45276</v>
      </c>
      <c r="BC18" s="3173" t="s">
        <v>4277</v>
      </c>
      <c r="BD18" s="3173" t="s">
        <v>4278</v>
      </c>
      <c r="BE18" s="3173" t="s">
        <v>4279</v>
      </c>
      <c r="BF18" s="3173" t="s">
        <v>4280</v>
      </c>
      <c r="BG18" s="3180"/>
      <c r="BH18" s="3180">
        <f ca="1">'结果表-车位'!$G$20</f>
        <v>1850</v>
      </c>
      <c r="BI18" s="3224">
        <f t="shared" ca="1" si="2"/>
        <v>93129</v>
      </c>
    </row>
    <row r="19" spans="1:61" ht="54">
      <c r="A19" s="3224"/>
      <c r="B19" s="3224" t="s">
        <v>4291</v>
      </c>
      <c r="C19" s="3224" t="s">
        <v>4938</v>
      </c>
      <c r="D19" s="3224">
        <f>COUNTIF($P$2:$P$200,$B$19)</f>
        <v>98</v>
      </c>
      <c r="E19" s="3224">
        <f>COUNTIF(AH2:AH77,$B$19)</f>
        <v>0</v>
      </c>
      <c r="F19" s="3224">
        <f>COUNTIF(AZ2:AZ111,$B$19)</f>
        <v>56</v>
      </c>
      <c r="G19" s="3230">
        <f>SUM(D19:F19)</f>
        <v>154</v>
      </c>
      <c r="H19" s="3244">
        <f ca="1">ROUND(G21/G19,0)</f>
        <v>80086</v>
      </c>
      <c r="I19" s="3173">
        <v>18</v>
      </c>
      <c r="J19" s="3173">
        <v>20240070009</v>
      </c>
      <c r="K19" s="3173"/>
      <c r="L19" s="3173"/>
      <c r="M19" s="3173" t="s">
        <v>4274</v>
      </c>
      <c r="N19" s="3173" t="s">
        <v>4346</v>
      </c>
      <c r="O19" s="3173">
        <v>39.32</v>
      </c>
      <c r="P19" s="3173" t="s">
        <v>4276</v>
      </c>
      <c r="Q19" s="3173"/>
      <c r="R19" s="3174">
        <v>45364</v>
      </c>
      <c r="S19" s="3173" t="s">
        <v>4277</v>
      </c>
      <c r="T19" s="3173" t="s">
        <v>4278</v>
      </c>
      <c r="U19" s="3173" t="s">
        <v>4279</v>
      </c>
      <c r="V19" s="3173" t="s">
        <v>4280</v>
      </c>
      <c r="X19" s="3242">
        <f ca="1">'结果表-车位'!$G$20</f>
        <v>1850</v>
      </c>
      <c r="Y19" s="3242">
        <f t="shared" ca="1" si="0"/>
        <v>72742</v>
      </c>
      <c r="AA19" s="3173">
        <v>18</v>
      </c>
      <c r="AB19" s="3173" t="s">
        <v>4282</v>
      </c>
      <c r="AC19" s="3173"/>
      <c r="AD19" s="3173"/>
      <c r="AE19" s="3173" t="s">
        <v>4274</v>
      </c>
      <c r="AF19" s="3173" t="s">
        <v>4348</v>
      </c>
      <c r="AG19" s="3173">
        <v>42.72</v>
      </c>
      <c r="AH19" s="3173" t="s">
        <v>4296</v>
      </c>
      <c r="AI19" s="3173" t="s">
        <v>4282</v>
      </c>
      <c r="AJ19" s="3174">
        <v>45276</v>
      </c>
      <c r="AK19" s="3173" t="s">
        <v>4279</v>
      </c>
      <c r="AL19" s="3173" t="s">
        <v>4297</v>
      </c>
      <c r="AM19" s="3173" t="s">
        <v>4279</v>
      </c>
      <c r="AN19" s="3173" t="s">
        <v>4280</v>
      </c>
      <c r="AP19" s="3242">
        <f t="shared" ca="1" si="4"/>
        <v>5845</v>
      </c>
      <c r="AQ19" s="3242">
        <f t="shared" ca="1" si="1"/>
        <v>249698.4</v>
      </c>
      <c r="AS19" s="3173">
        <v>18</v>
      </c>
      <c r="AT19" s="3173" t="s">
        <v>4273</v>
      </c>
      <c r="AU19" s="3173"/>
      <c r="AV19" s="3173"/>
      <c r="AW19" s="3173" t="s">
        <v>4274</v>
      </c>
      <c r="AX19" s="3173" t="s">
        <v>4344</v>
      </c>
      <c r="AY19" s="3173">
        <v>50.34</v>
      </c>
      <c r="AZ19" s="3173" t="s">
        <v>4276</v>
      </c>
      <c r="BA19" s="3173"/>
      <c r="BB19" s="3174">
        <v>45276</v>
      </c>
      <c r="BC19" s="3173" t="s">
        <v>4277</v>
      </c>
      <c r="BD19" s="3173" t="s">
        <v>4278</v>
      </c>
      <c r="BE19" s="3173" t="s">
        <v>4279</v>
      </c>
      <c r="BF19" s="3173" t="s">
        <v>4280</v>
      </c>
      <c r="BG19" s="3180"/>
      <c r="BH19" s="3180">
        <f ca="1">'结果表-车位'!$G$20</f>
        <v>1850</v>
      </c>
      <c r="BI19" s="3224">
        <f t="shared" ca="1" si="2"/>
        <v>93129</v>
      </c>
    </row>
    <row r="20" spans="1:61" ht="54">
      <c r="A20" s="3224"/>
      <c r="B20" s="3224"/>
      <c r="C20" s="3224" t="s">
        <v>3385</v>
      </c>
      <c r="D20" s="3224">
        <f>SUMIF($P$2:$P$200,$B$19,O2:O200)</f>
        <v>3851.7200000000062</v>
      </c>
      <c r="E20" s="3224">
        <f>SUMIF($AH$2:$AH$73,$B$19,AG2:AG73)</f>
        <v>0</v>
      </c>
      <c r="F20" s="3224">
        <f>SUMIF($AZ$2:$AZ$107,$B$19,AY2:AY107)</f>
        <v>2814.880000000001</v>
      </c>
      <c r="G20" s="3230">
        <f>SUM(D20:F20)</f>
        <v>6666.6000000000076</v>
      </c>
      <c r="H20" s="3224"/>
      <c r="I20" s="3173">
        <v>19</v>
      </c>
      <c r="J20" s="3173">
        <v>20240070009</v>
      </c>
      <c r="K20" s="3173"/>
      <c r="L20" s="3173"/>
      <c r="M20" s="3173" t="s">
        <v>4274</v>
      </c>
      <c r="N20" s="3173" t="s">
        <v>4349</v>
      </c>
      <c r="O20" s="3173">
        <v>39.32</v>
      </c>
      <c r="P20" s="3173" t="s">
        <v>4276</v>
      </c>
      <c r="Q20" s="3173"/>
      <c r="R20" s="3174">
        <v>45364</v>
      </c>
      <c r="S20" s="3173" t="s">
        <v>4277</v>
      </c>
      <c r="T20" s="3173" t="s">
        <v>4278</v>
      </c>
      <c r="U20" s="3173" t="s">
        <v>4279</v>
      </c>
      <c r="V20" s="3173" t="s">
        <v>4280</v>
      </c>
      <c r="X20" s="3242">
        <f ca="1">'结果表-车位'!$G$20</f>
        <v>1850</v>
      </c>
      <c r="Y20" s="3242">
        <f t="shared" ca="1" si="0"/>
        <v>72742</v>
      </c>
      <c r="AA20" s="3173">
        <v>19</v>
      </c>
      <c r="AB20" s="3173" t="s">
        <v>4282</v>
      </c>
      <c r="AC20" s="3173"/>
      <c r="AD20" s="3173"/>
      <c r="AE20" s="3173" t="s">
        <v>4274</v>
      </c>
      <c r="AF20" s="3173" t="s">
        <v>4351</v>
      </c>
      <c r="AG20" s="3173">
        <v>42.72</v>
      </c>
      <c r="AH20" s="3173" t="s">
        <v>4296</v>
      </c>
      <c r="AI20" s="3173" t="s">
        <v>4282</v>
      </c>
      <c r="AJ20" s="3174">
        <v>45276</v>
      </c>
      <c r="AK20" s="3173" t="s">
        <v>4279</v>
      </c>
      <c r="AL20" s="3173" t="s">
        <v>4297</v>
      </c>
      <c r="AM20" s="3173" t="s">
        <v>4279</v>
      </c>
      <c r="AN20" s="3173" t="s">
        <v>4280</v>
      </c>
      <c r="AP20" s="3242">
        <f t="shared" ca="1" si="4"/>
        <v>5845</v>
      </c>
      <c r="AQ20" s="3242">
        <f t="shared" ca="1" si="1"/>
        <v>249698.4</v>
      </c>
      <c r="AS20" s="3173">
        <v>19</v>
      </c>
      <c r="AT20" s="3173" t="s">
        <v>4273</v>
      </c>
      <c r="AU20" s="3173"/>
      <c r="AV20" s="3173"/>
      <c r="AW20" s="3173" t="s">
        <v>4274</v>
      </c>
      <c r="AX20" s="3173" t="s">
        <v>4347</v>
      </c>
      <c r="AY20" s="3173">
        <v>50.34</v>
      </c>
      <c r="AZ20" s="3173" t="s">
        <v>4276</v>
      </c>
      <c r="BA20" s="3173"/>
      <c r="BB20" s="3174">
        <v>45276</v>
      </c>
      <c r="BC20" s="3173" t="s">
        <v>4277</v>
      </c>
      <c r="BD20" s="3173" t="s">
        <v>4278</v>
      </c>
      <c r="BE20" s="3173" t="s">
        <v>4279</v>
      </c>
      <c r="BF20" s="3173" t="s">
        <v>4280</v>
      </c>
      <c r="BG20" s="3180"/>
      <c r="BH20" s="3180">
        <f ca="1">'结果表-车位'!$G$20</f>
        <v>1850</v>
      </c>
      <c r="BI20" s="3224">
        <f t="shared" ca="1" si="2"/>
        <v>93129</v>
      </c>
    </row>
    <row r="21" spans="1:61" ht="54">
      <c r="A21" s="3224"/>
      <c r="C21" s="1448" t="s">
        <v>4949</v>
      </c>
      <c r="D21" s="3224">
        <f ca="1">SUMIF($P$2:$P$200,$B$19,Y2:Y200)</f>
        <v>7125682</v>
      </c>
      <c r="E21" s="3224">
        <f>SUMIF($AH$2:$AH$73,$B$19,AQ2:AQ73)</f>
        <v>0</v>
      </c>
      <c r="F21" s="3224">
        <f ca="1">SUMIF($AZ$2:$AZ$107,$B$19,BI2:BI107)</f>
        <v>5207528</v>
      </c>
      <c r="G21" s="3239">
        <f ca="1">SUM(D21:F21)</f>
        <v>12333210</v>
      </c>
      <c r="H21" s="3224"/>
      <c r="I21" s="3173">
        <v>20</v>
      </c>
      <c r="J21" s="3173">
        <v>20240070009</v>
      </c>
      <c r="K21" s="3173"/>
      <c r="L21" s="3173"/>
      <c r="M21" s="3173" t="s">
        <v>4274</v>
      </c>
      <c r="N21" s="3173" t="s">
        <v>4352</v>
      </c>
      <c r="O21" s="3173">
        <v>39.32</v>
      </c>
      <c r="P21" s="3173" t="s">
        <v>4276</v>
      </c>
      <c r="Q21" s="3173"/>
      <c r="R21" s="3174">
        <v>45364</v>
      </c>
      <c r="S21" s="3173" t="s">
        <v>4277</v>
      </c>
      <c r="T21" s="3173" t="s">
        <v>4278</v>
      </c>
      <c r="U21" s="3173" t="s">
        <v>4279</v>
      </c>
      <c r="V21" s="3173" t="s">
        <v>4280</v>
      </c>
      <c r="X21" s="3242">
        <f ca="1">'结果表-车位'!$G$20</f>
        <v>1850</v>
      </c>
      <c r="Y21" s="3242">
        <f t="shared" ca="1" si="0"/>
        <v>72742</v>
      </c>
      <c r="AA21" s="3173">
        <v>20</v>
      </c>
      <c r="AB21" s="3173" t="s">
        <v>4282</v>
      </c>
      <c r="AC21" s="3173"/>
      <c r="AD21" s="3173"/>
      <c r="AE21" s="3173" t="s">
        <v>4274</v>
      </c>
      <c r="AF21" s="3173" t="s">
        <v>4354</v>
      </c>
      <c r="AG21" s="3173">
        <v>42.72</v>
      </c>
      <c r="AH21" s="3173" t="s">
        <v>4296</v>
      </c>
      <c r="AI21" s="3173" t="s">
        <v>4282</v>
      </c>
      <c r="AJ21" s="3174">
        <v>45276</v>
      </c>
      <c r="AK21" s="3173" t="s">
        <v>4279</v>
      </c>
      <c r="AL21" s="3173" t="s">
        <v>4297</v>
      </c>
      <c r="AM21" s="3173" t="s">
        <v>4279</v>
      </c>
      <c r="AN21" s="3173" t="s">
        <v>4280</v>
      </c>
      <c r="AP21" s="3242">
        <f t="shared" ca="1" si="4"/>
        <v>5845</v>
      </c>
      <c r="AQ21" s="3242">
        <f t="shared" ca="1" si="1"/>
        <v>249698.4</v>
      </c>
      <c r="AS21" s="3173">
        <v>20</v>
      </c>
      <c r="AT21" s="3173" t="s">
        <v>4273</v>
      </c>
      <c r="AU21" s="3173"/>
      <c r="AV21" s="3173"/>
      <c r="AW21" s="3173" t="s">
        <v>4274</v>
      </c>
      <c r="AX21" s="3173" t="s">
        <v>4350</v>
      </c>
      <c r="AY21" s="3173">
        <v>50.34</v>
      </c>
      <c r="AZ21" s="3173" t="s">
        <v>4276</v>
      </c>
      <c r="BA21" s="3173"/>
      <c r="BB21" s="3174">
        <v>45276</v>
      </c>
      <c r="BC21" s="3173" t="s">
        <v>4277</v>
      </c>
      <c r="BD21" s="3173" t="s">
        <v>4278</v>
      </c>
      <c r="BE21" s="3173" t="s">
        <v>4279</v>
      </c>
      <c r="BF21" s="3173" t="s">
        <v>4280</v>
      </c>
      <c r="BG21" s="3180"/>
      <c r="BH21" s="3180">
        <f ca="1">'结果表-车位'!$G$20</f>
        <v>1850</v>
      </c>
      <c r="BI21" s="3224">
        <f t="shared" ca="1" si="2"/>
        <v>93129</v>
      </c>
    </row>
    <row r="22" spans="1:61" ht="54">
      <c r="A22" s="3224"/>
      <c r="B22" s="3224"/>
      <c r="C22" s="3232" t="s">
        <v>4943</v>
      </c>
      <c r="D22" s="3232" t="s">
        <v>4937</v>
      </c>
      <c r="E22" s="3232">
        <v>2</v>
      </c>
      <c r="F22" s="3232">
        <v>4</v>
      </c>
      <c r="G22" s="3224"/>
      <c r="H22" s="3224"/>
      <c r="I22" s="3173">
        <v>21</v>
      </c>
      <c r="J22" s="3173">
        <v>20240070009</v>
      </c>
      <c r="K22" s="3173"/>
      <c r="L22" s="3173"/>
      <c r="M22" s="3173" t="s">
        <v>4274</v>
      </c>
      <c r="N22" s="3173" t="s">
        <v>4355</v>
      </c>
      <c r="O22" s="3173">
        <v>39.32</v>
      </c>
      <c r="P22" s="3173" t="s">
        <v>4276</v>
      </c>
      <c r="Q22" s="3173"/>
      <c r="R22" s="3174">
        <v>45364</v>
      </c>
      <c r="S22" s="3173" t="s">
        <v>4277</v>
      </c>
      <c r="T22" s="3173" t="s">
        <v>4278</v>
      </c>
      <c r="U22" s="3173" t="s">
        <v>4279</v>
      </c>
      <c r="V22" s="3173" t="s">
        <v>4280</v>
      </c>
      <c r="X22" s="3242">
        <f ca="1">'结果表-车位'!$G$20</f>
        <v>1850</v>
      </c>
      <c r="Y22" s="3242">
        <f t="shared" ca="1" si="0"/>
        <v>72742</v>
      </c>
      <c r="AA22" s="3173">
        <v>21</v>
      </c>
      <c r="AB22" s="3173" t="s">
        <v>4282</v>
      </c>
      <c r="AC22" s="3173"/>
      <c r="AD22" s="3173"/>
      <c r="AE22" s="3173" t="s">
        <v>4274</v>
      </c>
      <c r="AF22" s="3173" t="s">
        <v>4357</v>
      </c>
      <c r="AG22" s="3173">
        <v>42.72</v>
      </c>
      <c r="AH22" s="3173" t="s">
        <v>4296</v>
      </c>
      <c r="AI22" s="3173" t="s">
        <v>4282</v>
      </c>
      <c r="AJ22" s="3174">
        <v>45276</v>
      </c>
      <c r="AK22" s="3173" t="s">
        <v>4279</v>
      </c>
      <c r="AL22" s="3173" t="s">
        <v>4297</v>
      </c>
      <c r="AM22" s="3173" t="s">
        <v>4279</v>
      </c>
      <c r="AN22" s="3173" t="s">
        <v>4280</v>
      </c>
      <c r="AP22" s="3242">
        <f t="shared" ca="1" si="4"/>
        <v>5845</v>
      </c>
      <c r="AQ22" s="3242">
        <f t="shared" ca="1" si="1"/>
        <v>249698.4</v>
      </c>
      <c r="AS22" s="3173">
        <v>21</v>
      </c>
      <c r="AT22" s="3173" t="s">
        <v>4273</v>
      </c>
      <c r="AU22" s="3173"/>
      <c r="AV22" s="3173"/>
      <c r="AW22" s="3173" t="s">
        <v>4274</v>
      </c>
      <c r="AX22" s="3173" t="s">
        <v>4353</v>
      </c>
      <c r="AY22" s="3173">
        <v>49.3</v>
      </c>
      <c r="AZ22" s="3173" t="s">
        <v>4276</v>
      </c>
      <c r="BA22" s="3173"/>
      <c r="BB22" s="3174">
        <v>45276</v>
      </c>
      <c r="BC22" s="3173" t="s">
        <v>4277</v>
      </c>
      <c r="BD22" s="3173" t="s">
        <v>4278</v>
      </c>
      <c r="BE22" s="3173" t="s">
        <v>4279</v>
      </c>
      <c r="BF22" s="3173" t="s">
        <v>4280</v>
      </c>
      <c r="BG22" s="3180"/>
      <c r="BH22" s="3180">
        <f ca="1">'结果表-车位'!$G$20</f>
        <v>1850</v>
      </c>
      <c r="BI22" s="3224">
        <f t="shared" ca="1" si="2"/>
        <v>91205</v>
      </c>
    </row>
    <row r="23" spans="1:61" ht="54">
      <c r="A23" s="3224"/>
      <c r="B23" s="3224" t="s">
        <v>4319</v>
      </c>
      <c r="C23" s="3224" t="s">
        <v>4938</v>
      </c>
      <c r="D23" s="3224">
        <f>COUNTIF($P$2:$P$200,$B$23)</f>
        <v>1</v>
      </c>
      <c r="E23" s="3224">
        <f>COUNTIF(AH10:AH81,$B$23)</f>
        <v>0</v>
      </c>
      <c r="F23" s="3224">
        <f>COUNTIF(AZ10:AZ115,$B$23)</f>
        <v>0</v>
      </c>
      <c r="G23" s="3230">
        <f>SUM(D23:F23)</f>
        <v>1</v>
      </c>
      <c r="H23" s="3224"/>
      <c r="I23" s="3173">
        <v>22</v>
      </c>
      <c r="J23" s="3173">
        <v>20240070009</v>
      </c>
      <c r="K23" s="3173"/>
      <c r="L23" s="3173"/>
      <c r="M23" s="3173" t="s">
        <v>4274</v>
      </c>
      <c r="N23" s="3173" t="s">
        <v>4358</v>
      </c>
      <c r="O23" s="3173">
        <v>39.32</v>
      </c>
      <c r="P23" s="3173" t="s">
        <v>4276</v>
      </c>
      <c r="Q23" s="3173"/>
      <c r="R23" s="3174">
        <v>45364</v>
      </c>
      <c r="S23" s="3173" t="s">
        <v>4277</v>
      </c>
      <c r="T23" s="3173" t="s">
        <v>4278</v>
      </c>
      <c r="U23" s="3173" t="s">
        <v>4279</v>
      </c>
      <c r="V23" s="3173" t="s">
        <v>4280</v>
      </c>
      <c r="X23" s="3242">
        <f ca="1">'结果表-车位'!$G$20</f>
        <v>1850</v>
      </c>
      <c r="Y23" s="3242">
        <f t="shared" ca="1" si="0"/>
        <v>72742</v>
      </c>
      <c r="AA23" s="3173">
        <v>22</v>
      </c>
      <c r="AB23" s="3173" t="s">
        <v>4282</v>
      </c>
      <c r="AC23" s="3173"/>
      <c r="AD23" s="3173"/>
      <c r="AE23" s="3173" t="s">
        <v>4274</v>
      </c>
      <c r="AF23" s="3173" t="s">
        <v>4360</v>
      </c>
      <c r="AG23" s="3173">
        <v>42.72</v>
      </c>
      <c r="AH23" s="3173" t="s">
        <v>4296</v>
      </c>
      <c r="AI23" s="3173" t="s">
        <v>4282</v>
      </c>
      <c r="AJ23" s="3174">
        <v>45276</v>
      </c>
      <c r="AK23" s="3173" t="s">
        <v>4279</v>
      </c>
      <c r="AL23" s="3173" t="s">
        <v>4297</v>
      </c>
      <c r="AM23" s="3173" t="s">
        <v>4279</v>
      </c>
      <c r="AN23" s="3173" t="s">
        <v>4280</v>
      </c>
      <c r="AP23" s="3242">
        <f t="shared" ca="1" si="4"/>
        <v>5845</v>
      </c>
      <c r="AQ23" s="3242">
        <f t="shared" ca="1" si="1"/>
        <v>249698.4</v>
      </c>
      <c r="AS23" s="3173">
        <v>22</v>
      </c>
      <c r="AT23" s="3173" t="s">
        <v>4273</v>
      </c>
      <c r="AU23" s="3173"/>
      <c r="AV23" s="3173"/>
      <c r="AW23" s="3173" t="s">
        <v>4274</v>
      </c>
      <c r="AX23" s="3173" t="s">
        <v>4356</v>
      </c>
      <c r="AY23" s="3173">
        <v>49.3</v>
      </c>
      <c r="AZ23" s="3173" t="s">
        <v>4276</v>
      </c>
      <c r="BA23" s="3173"/>
      <c r="BB23" s="3174">
        <v>45276</v>
      </c>
      <c r="BC23" s="3173" t="s">
        <v>4277</v>
      </c>
      <c r="BD23" s="3173" t="s">
        <v>4278</v>
      </c>
      <c r="BE23" s="3173" t="s">
        <v>4279</v>
      </c>
      <c r="BF23" s="3173" t="s">
        <v>4280</v>
      </c>
      <c r="BG23" s="3180"/>
      <c r="BH23" s="3180">
        <f ca="1">'结果表-车位'!$G$20</f>
        <v>1850</v>
      </c>
      <c r="BI23" s="3224">
        <f t="shared" ca="1" si="2"/>
        <v>91205</v>
      </c>
    </row>
    <row r="24" spans="1:61" ht="54">
      <c r="A24" s="3224"/>
      <c r="B24" s="3224"/>
      <c r="C24" s="3224" t="s">
        <v>3385</v>
      </c>
      <c r="D24" s="3224">
        <f>SUMIF(P$2:P$200,B$23,O$2:O$200)</f>
        <v>85</v>
      </c>
      <c r="E24" s="3224">
        <f>SUMIF($AH$2:$AH$73,$B$23,$AG$2:$AG$77)</f>
        <v>0</v>
      </c>
      <c r="F24" s="3224">
        <f>SUMIF($AH$2:$AH$73,$B$23,$AG$2:$AG$77)</f>
        <v>0</v>
      </c>
      <c r="G24" s="3230">
        <f>SUM(D24:F24)</f>
        <v>85</v>
      </c>
      <c r="H24" s="3224"/>
      <c r="I24" s="3173">
        <v>23</v>
      </c>
      <c r="J24" s="3173">
        <v>20240070009</v>
      </c>
      <c r="K24" s="3173"/>
      <c r="L24" s="3173"/>
      <c r="M24" s="3173" t="s">
        <v>4274</v>
      </c>
      <c r="N24" s="3173" t="s">
        <v>4361</v>
      </c>
      <c r="O24" s="3173">
        <v>39.32</v>
      </c>
      <c r="P24" s="3173" t="s">
        <v>4276</v>
      </c>
      <c r="Q24" s="3173"/>
      <c r="R24" s="3174">
        <v>45364</v>
      </c>
      <c r="S24" s="3173" t="s">
        <v>4277</v>
      </c>
      <c r="T24" s="3173" t="s">
        <v>4278</v>
      </c>
      <c r="U24" s="3173" t="s">
        <v>4279</v>
      </c>
      <c r="V24" s="3173" t="s">
        <v>4280</v>
      </c>
      <c r="X24" s="3242">
        <f ca="1">'结果表-车位'!$G$20</f>
        <v>1850</v>
      </c>
      <c r="Y24" s="3242">
        <f t="shared" ca="1" si="0"/>
        <v>72742</v>
      </c>
      <c r="AA24" s="3173">
        <v>23</v>
      </c>
      <c r="AB24" s="3173" t="s">
        <v>4282</v>
      </c>
      <c r="AC24" s="3173"/>
      <c r="AD24" s="3173"/>
      <c r="AE24" s="3173" t="s">
        <v>4274</v>
      </c>
      <c r="AF24" s="3173" t="s">
        <v>4363</v>
      </c>
      <c r="AG24" s="3173">
        <v>42.72</v>
      </c>
      <c r="AH24" s="3173" t="s">
        <v>4296</v>
      </c>
      <c r="AI24" s="3173" t="s">
        <v>4282</v>
      </c>
      <c r="AJ24" s="3174">
        <v>45276</v>
      </c>
      <c r="AK24" s="3173" t="s">
        <v>4279</v>
      </c>
      <c r="AL24" s="3173" t="s">
        <v>4297</v>
      </c>
      <c r="AM24" s="3173" t="s">
        <v>4279</v>
      </c>
      <c r="AN24" s="3173" t="s">
        <v>4280</v>
      </c>
      <c r="AP24" s="3242">
        <f t="shared" ca="1" si="4"/>
        <v>5845</v>
      </c>
      <c r="AQ24" s="3242">
        <f t="shared" ca="1" si="1"/>
        <v>249698.4</v>
      </c>
      <c r="AS24" s="3173">
        <v>23</v>
      </c>
      <c r="AT24" s="3173" t="s">
        <v>4273</v>
      </c>
      <c r="AU24" s="3173"/>
      <c r="AV24" s="3173"/>
      <c r="AW24" s="3173" t="s">
        <v>4274</v>
      </c>
      <c r="AX24" s="3173" t="s">
        <v>4359</v>
      </c>
      <c r="AY24" s="3173">
        <v>50.34</v>
      </c>
      <c r="AZ24" s="3173" t="s">
        <v>4276</v>
      </c>
      <c r="BA24" s="3173"/>
      <c r="BB24" s="3174">
        <v>45276</v>
      </c>
      <c r="BC24" s="3173" t="s">
        <v>4277</v>
      </c>
      <c r="BD24" s="3173" t="s">
        <v>4278</v>
      </c>
      <c r="BE24" s="3173" t="s">
        <v>4279</v>
      </c>
      <c r="BF24" s="3173" t="s">
        <v>4280</v>
      </c>
      <c r="BG24" s="3180"/>
      <c r="BH24" s="3180">
        <f ca="1">'结果表-车位'!$G$20</f>
        <v>1850</v>
      </c>
      <c r="BI24" s="3224">
        <f t="shared" ca="1" si="2"/>
        <v>93129</v>
      </c>
    </row>
    <row r="25" spans="1:61" ht="54">
      <c r="A25" s="3224"/>
      <c r="C25" s="1448" t="s">
        <v>4949</v>
      </c>
      <c r="D25" s="3224">
        <f ca="1">SUMIF(P$2:P$200,B$23,Y$2:Y$200)</f>
        <v>188700</v>
      </c>
      <c r="E25" s="3224">
        <f>SUMIF($AH$2:$AH$73,$B$23,$AG$2:$AG$77)</f>
        <v>0</v>
      </c>
      <c r="F25" s="3224">
        <f>SUMIF($AZ$2:$AZ$73,$B$23,$AY$2:$AY$77)</f>
        <v>0</v>
      </c>
      <c r="G25" s="3239">
        <f ca="1">SUM(D25:F25)</f>
        <v>188700</v>
      </c>
      <c r="H25" s="3224"/>
      <c r="I25" s="3173">
        <v>24</v>
      </c>
      <c r="J25" s="3173">
        <v>20240070009</v>
      </c>
      <c r="K25" s="3173"/>
      <c r="L25" s="3173"/>
      <c r="M25" s="3173" t="s">
        <v>4274</v>
      </c>
      <c r="N25" s="3173" t="s">
        <v>4364</v>
      </c>
      <c r="O25" s="3173">
        <v>39.32</v>
      </c>
      <c r="P25" s="3173" t="s">
        <v>4276</v>
      </c>
      <c r="Q25" s="3173"/>
      <c r="R25" s="3174">
        <v>45364</v>
      </c>
      <c r="S25" s="3173" t="s">
        <v>4277</v>
      </c>
      <c r="T25" s="3173" t="s">
        <v>4278</v>
      </c>
      <c r="U25" s="3173" t="s">
        <v>4279</v>
      </c>
      <c r="V25" s="3173" t="s">
        <v>4280</v>
      </c>
      <c r="X25" s="3242">
        <f ca="1">'结果表-车位'!$G$20</f>
        <v>1850</v>
      </c>
      <c r="Y25" s="3242">
        <f t="shared" ca="1" si="0"/>
        <v>72742</v>
      </c>
      <c r="AA25" s="3173">
        <v>24</v>
      </c>
      <c r="AB25" s="3173" t="s">
        <v>4282</v>
      </c>
      <c r="AC25" s="3173"/>
      <c r="AD25" s="3173"/>
      <c r="AE25" s="3173" t="s">
        <v>4274</v>
      </c>
      <c r="AF25" s="3173" t="s">
        <v>4366</v>
      </c>
      <c r="AG25" s="3173">
        <v>42.72</v>
      </c>
      <c r="AH25" s="3173" t="s">
        <v>4296</v>
      </c>
      <c r="AI25" s="3173" t="s">
        <v>4282</v>
      </c>
      <c r="AJ25" s="3174">
        <v>45276</v>
      </c>
      <c r="AK25" s="3173" t="s">
        <v>4279</v>
      </c>
      <c r="AL25" s="3173" t="s">
        <v>4297</v>
      </c>
      <c r="AM25" s="3173" t="s">
        <v>4279</v>
      </c>
      <c r="AN25" s="3173" t="s">
        <v>4280</v>
      </c>
      <c r="AP25" s="3242">
        <f t="shared" ca="1" si="4"/>
        <v>5845</v>
      </c>
      <c r="AQ25" s="3242">
        <f t="shared" ca="1" si="1"/>
        <v>249698.4</v>
      </c>
      <c r="AS25" s="3173">
        <v>24</v>
      </c>
      <c r="AT25" s="3173" t="s">
        <v>4273</v>
      </c>
      <c r="AU25" s="3173"/>
      <c r="AV25" s="3173"/>
      <c r="AW25" s="3173" t="s">
        <v>4274</v>
      </c>
      <c r="AX25" s="3173" t="s">
        <v>4362</v>
      </c>
      <c r="AY25" s="3173">
        <v>50.34</v>
      </c>
      <c r="AZ25" s="3173" t="s">
        <v>4276</v>
      </c>
      <c r="BA25" s="3173"/>
      <c r="BB25" s="3174">
        <v>45276</v>
      </c>
      <c r="BC25" s="3173" t="s">
        <v>4277</v>
      </c>
      <c r="BD25" s="3173" t="s">
        <v>4278</v>
      </c>
      <c r="BE25" s="3173" t="s">
        <v>4279</v>
      </c>
      <c r="BF25" s="3173" t="s">
        <v>4280</v>
      </c>
      <c r="BG25" s="3180"/>
      <c r="BH25" s="3180">
        <f ca="1">'结果表-车位'!$G$20</f>
        <v>1850</v>
      </c>
      <c r="BI25" s="3224">
        <f t="shared" ca="1" si="2"/>
        <v>93129</v>
      </c>
    </row>
    <row r="26" spans="1:61" ht="54">
      <c r="A26" s="3224"/>
      <c r="B26" s="3224"/>
      <c r="C26" s="3232"/>
      <c r="D26" s="3232" t="s">
        <v>4937</v>
      </c>
      <c r="E26" s="3232">
        <v>2</v>
      </c>
      <c r="F26" s="3232">
        <v>4</v>
      </c>
      <c r="G26" s="3224"/>
      <c r="H26" s="3224"/>
      <c r="I26" s="3173">
        <v>25</v>
      </c>
      <c r="J26" s="3173">
        <v>20240070009</v>
      </c>
      <c r="K26" s="3173"/>
      <c r="L26" s="3173"/>
      <c r="M26" s="3173" t="s">
        <v>4274</v>
      </c>
      <c r="N26" s="3173" t="s">
        <v>4367</v>
      </c>
      <c r="O26" s="3173">
        <v>39.32</v>
      </c>
      <c r="P26" s="3173" t="s">
        <v>4276</v>
      </c>
      <c r="Q26" s="3173"/>
      <c r="R26" s="3174">
        <v>45364</v>
      </c>
      <c r="S26" s="3173" t="s">
        <v>4277</v>
      </c>
      <c r="T26" s="3173" t="s">
        <v>4278</v>
      </c>
      <c r="U26" s="3173" t="s">
        <v>4279</v>
      </c>
      <c r="V26" s="3173" t="s">
        <v>4280</v>
      </c>
      <c r="X26" s="3242">
        <f ca="1">'结果表-车位'!$G$20</f>
        <v>1850</v>
      </c>
      <c r="Y26" s="3242">
        <f t="shared" ca="1" si="0"/>
        <v>72742</v>
      </c>
      <c r="AA26" s="3173">
        <v>25</v>
      </c>
      <c r="AB26" s="3173" t="s">
        <v>4282</v>
      </c>
      <c r="AC26" s="3173"/>
      <c r="AD26" s="3173"/>
      <c r="AE26" s="3173" t="s">
        <v>4274</v>
      </c>
      <c r="AF26" s="3173" t="s">
        <v>4369</v>
      </c>
      <c r="AG26" s="3173">
        <v>42.72</v>
      </c>
      <c r="AH26" s="3173" t="s">
        <v>4296</v>
      </c>
      <c r="AI26" s="3173" t="s">
        <v>4282</v>
      </c>
      <c r="AJ26" s="3174">
        <v>45276</v>
      </c>
      <c r="AK26" s="3173" t="s">
        <v>4279</v>
      </c>
      <c r="AL26" s="3173" t="s">
        <v>4297</v>
      </c>
      <c r="AM26" s="3173" t="s">
        <v>4279</v>
      </c>
      <c r="AN26" s="3173" t="s">
        <v>4280</v>
      </c>
      <c r="AP26" s="3242">
        <f t="shared" ca="1" si="4"/>
        <v>5845</v>
      </c>
      <c r="AQ26" s="3242">
        <f t="shared" ca="1" si="1"/>
        <v>249698.4</v>
      </c>
      <c r="AS26" s="3173">
        <v>25</v>
      </c>
      <c r="AT26" s="3173" t="s">
        <v>4273</v>
      </c>
      <c r="AU26" s="3173"/>
      <c r="AV26" s="3173"/>
      <c r="AW26" s="3173" t="s">
        <v>4274</v>
      </c>
      <c r="AX26" s="3173" t="s">
        <v>4365</v>
      </c>
      <c r="AY26" s="3173">
        <v>50.34</v>
      </c>
      <c r="AZ26" s="3173" t="s">
        <v>4276</v>
      </c>
      <c r="BA26" s="3173"/>
      <c r="BB26" s="3174">
        <v>45276</v>
      </c>
      <c r="BC26" s="3173" t="s">
        <v>4277</v>
      </c>
      <c r="BD26" s="3173" t="s">
        <v>4278</v>
      </c>
      <c r="BE26" s="3173" t="s">
        <v>4279</v>
      </c>
      <c r="BF26" s="3173" t="s">
        <v>4280</v>
      </c>
      <c r="BG26" s="3180"/>
      <c r="BH26" s="3180">
        <f ca="1">'结果表-车位'!$G$20</f>
        <v>1850</v>
      </c>
      <c r="BI26" s="3224">
        <f t="shared" ca="1" si="2"/>
        <v>93129</v>
      </c>
    </row>
    <row r="27" spans="1:61" ht="54">
      <c r="A27" s="3224"/>
      <c r="B27" s="3224" t="s">
        <v>4942</v>
      </c>
      <c r="C27" s="3224" t="s">
        <v>4938</v>
      </c>
      <c r="D27" s="3224">
        <f>COUNTIF($P$2:$P$200,$B$27)</f>
        <v>2</v>
      </c>
      <c r="E27" s="3224">
        <f>COUNTIF(AH13:AH84,$B$27)</f>
        <v>0</v>
      </c>
      <c r="F27" s="3224">
        <f>COUNTIF(AZ13:AZ118,$B$27)</f>
        <v>0</v>
      </c>
      <c r="G27" s="3230">
        <f>SUM(D27:F27)</f>
        <v>2</v>
      </c>
      <c r="H27" s="3224"/>
      <c r="I27" s="3173">
        <v>26</v>
      </c>
      <c r="J27" s="3173">
        <v>20240070009</v>
      </c>
      <c r="K27" s="3173"/>
      <c r="L27" s="3173"/>
      <c r="M27" s="3173" t="s">
        <v>4274</v>
      </c>
      <c r="N27" s="3173" t="s">
        <v>4370</v>
      </c>
      <c r="O27" s="3173">
        <v>39.32</v>
      </c>
      <c r="P27" s="3173" t="s">
        <v>4276</v>
      </c>
      <c r="Q27" s="3173"/>
      <c r="R27" s="3174">
        <v>45364</v>
      </c>
      <c r="S27" s="3173" t="s">
        <v>4277</v>
      </c>
      <c r="T27" s="3173" t="s">
        <v>4278</v>
      </c>
      <c r="U27" s="3173" t="s">
        <v>4279</v>
      </c>
      <c r="V27" s="3173" t="s">
        <v>4280</v>
      </c>
      <c r="X27" s="3242">
        <f ca="1">'结果表-车位'!$G$20</f>
        <v>1850</v>
      </c>
      <c r="Y27" s="3242">
        <f t="shared" ca="1" si="0"/>
        <v>72742</v>
      </c>
      <c r="AA27" s="3173">
        <v>26</v>
      </c>
      <c r="AB27" s="3173" t="s">
        <v>4282</v>
      </c>
      <c r="AC27" s="3173"/>
      <c r="AD27" s="3173"/>
      <c r="AE27" s="3173" t="s">
        <v>4274</v>
      </c>
      <c r="AF27" s="3173" t="s">
        <v>4372</v>
      </c>
      <c r="AG27" s="3173">
        <v>44.57</v>
      </c>
      <c r="AH27" s="3173" t="s">
        <v>4296</v>
      </c>
      <c r="AI27" s="3173" t="s">
        <v>4282</v>
      </c>
      <c r="AJ27" s="3174">
        <v>45276</v>
      </c>
      <c r="AK27" s="3173" t="s">
        <v>4279</v>
      </c>
      <c r="AL27" s="3173" t="s">
        <v>4297</v>
      </c>
      <c r="AM27" s="3173" t="s">
        <v>4279</v>
      </c>
      <c r="AN27" s="3173" t="s">
        <v>4280</v>
      </c>
      <c r="AP27" s="3242">
        <f t="shared" ca="1" si="4"/>
        <v>5845</v>
      </c>
      <c r="AQ27" s="3242">
        <f t="shared" ca="1" si="1"/>
        <v>260511.65</v>
      </c>
      <c r="AS27" s="3173">
        <v>26</v>
      </c>
      <c r="AT27" s="3173" t="s">
        <v>4273</v>
      </c>
      <c r="AU27" s="3173"/>
      <c r="AV27" s="3173"/>
      <c r="AW27" s="3173" t="s">
        <v>4274</v>
      </c>
      <c r="AX27" s="3173" t="s">
        <v>4368</v>
      </c>
      <c r="AY27" s="3173">
        <v>50.34</v>
      </c>
      <c r="AZ27" s="3173" t="s">
        <v>4276</v>
      </c>
      <c r="BA27" s="3173"/>
      <c r="BB27" s="3174">
        <v>45276</v>
      </c>
      <c r="BC27" s="3173" t="s">
        <v>4277</v>
      </c>
      <c r="BD27" s="3173" t="s">
        <v>4278</v>
      </c>
      <c r="BE27" s="3173" t="s">
        <v>4279</v>
      </c>
      <c r="BF27" s="3173" t="s">
        <v>4280</v>
      </c>
      <c r="BG27" s="3180"/>
      <c r="BH27" s="3180">
        <f ca="1">'结果表-车位'!$G$20</f>
        <v>1850</v>
      </c>
      <c r="BI27" s="3224">
        <f t="shared" ca="1" si="2"/>
        <v>93129</v>
      </c>
    </row>
    <row r="28" spans="1:61" ht="54">
      <c r="A28" s="3224"/>
      <c r="B28" s="3224"/>
      <c r="C28" s="3224" t="s">
        <v>3385</v>
      </c>
      <c r="D28" s="3224">
        <f>SUMIF(P$2:P$200,B$27,O$2:O$200)</f>
        <v>26.44</v>
      </c>
      <c r="E28" s="3224">
        <f>SUMIF($AH$2:$AH$73,$B$27,$AG$2:$AG$77)</f>
        <v>0</v>
      </c>
      <c r="F28" s="3224">
        <f>SUMIF($AZ$2:$AZ$107,$B$26,$AY$2:$AY$111)</f>
        <v>0</v>
      </c>
      <c r="G28" s="3230">
        <f>SUM(D28:F28)</f>
        <v>26.44</v>
      </c>
      <c r="H28" s="3224"/>
      <c r="I28" s="3173">
        <v>27</v>
      </c>
      <c r="J28" s="3173">
        <v>20240070009</v>
      </c>
      <c r="K28" s="3173"/>
      <c r="L28" s="3173"/>
      <c r="M28" s="3173" t="s">
        <v>4274</v>
      </c>
      <c r="N28" s="3173" t="s">
        <v>4373</v>
      </c>
      <c r="O28" s="3173">
        <v>39.32</v>
      </c>
      <c r="P28" s="3173" t="s">
        <v>4276</v>
      </c>
      <c r="Q28" s="3173"/>
      <c r="R28" s="3174">
        <v>45364</v>
      </c>
      <c r="S28" s="3173" t="s">
        <v>4277</v>
      </c>
      <c r="T28" s="3173" t="s">
        <v>4278</v>
      </c>
      <c r="U28" s="3173" t="s">
        <v>4279</v>
      </c>
      <c r="V28" s="3173" t="s">
        <v>4280</v>
      </c>
      <c r="X28" s="3242">
        <f ca="1">'结果表-车位'!$G$20</f>
        <v>1850</v>
      </c>
      <c r="Y28" s="3242">
        <f t="shared" ca="1" si="0"/>
        <v>72742</v>
      </c>
      <c r="AA28" s="3173">
        <v>27</v>
      </c>
      <c r="AB28" s="3173" t="s">
        <v>4282</v>
      </c>
      <c r="AC28" s="3173"/>
      <c r="AD28" s="3173"/>
      <c r="AE28" s="3173" t="s">
        <v>4274</v>
      </c>
      <c r="AF28" s="3173" t="s">
        <v>4375</v>
      </c>
      <c r="AG28" s="3173">
        <v>44.67</v>
      </c>
      <c r="AH28" s="3173" t="s">
        <v>4296</v>
      </c>
      <c r="AI28" s="3173" t="s">
        <v>4282</v>
      </c>
      <c r="AJ28" s="3174">
        <v>45276</v>
      </c>
      <c r="AK28" s="3173" t="s">
        <v>4279</v>
      </c>
      <c r="AL28" s="3173" t="s">
        <v>4297</v>
      </c>
      <c r="AM28" s="3173" t="s">
        <v>4279</v>
      </c>
      <c r="AN28" s="3173" t="s">
        <v>4280</v>
      </c>
      <c r="AP28" s="3242">
        <f t="shared" ca="1" si="4"/>
        <v>5845</v>
      </c>
      <c r="AQ28" s="3242">
        <f t="shared" ca="1" si="1"/>
        <v>261096.15000000002</v>
      </c>
      <c r="AS28" s="3173">
        <v>27</v>
      </c>
      <c r="AT28" s="3173" t="s">
        <v>4273</v>
      </c>
      <c r="AU28" s="3173"/>
      <c r="AV28" s="3173"/>
      <c r="AW28" s="3173" t="s">
        <v>4274</v>
      </c>
      <c r="AX28" s="3173" t="s">
        <v>4371</v>
      </c>
      <c r="AY28" s="3173">
        <v>50.34</v>
      </c>
      <c r="AZ28" s="3173" t="s">
        <v>4276</v>
      </c>
      <c r="BA28" s="3173"/>
      <c r="BB28" s="3174">
        <v>45276</v>
      </c>
      <c r="BC28" s="3173" t="s">
        <v>4277</v>
      </c>
      <c r="BD28" s="3173" t="s">
        <v>4278</v>
      </c>
      <c r="BE28" s="3173" t="s">
        <v>4279</v>
      </c>
      <c r="BF28" s="3173" t="s">
        <v>4280</v>
      </c>
      <c r="BG28" s="3180"/>
      <c r="BH28" s="3180">
        <f ca="1">'结果表-车位'!$G$20</f>
        <v>1850</v>
      </c>
      <c r="BI28" s="3224">
        <f t="shared" ca="1" si="2"/>
        <v>93129</v>
      </c>
    </row>
    <row r="29" spans="1:61" ht="54">
      <c r="A29" s="3224"/>
      <c r="C29" s="1448" t="s">
        <v>4949</v>
      </c>
      <c r="D29" s="3224">
        <f ca="1">SUMIF(P$2:P$200,B$27,Y$2:Y$200)</f>
        <v>58696.800000000003</v>
      </c>
      <c r="E29" s="3224">
        <f>SUMIF($AH$2:$AH$73,$B$27,$AQ$2:$AQ$77)</f>
        <v>0</v>
      </c>
      <c r="F29" s="3224">
        <f>SUMIF($AZ$2:$AZ$107,$B$27,$BI$2:$BI$107)</f>
        <v>0</v>
      </c>
      <c r="G29" s="3239">
        <f ca="1">SUM(D29:F29)</f>
        <v>58696.800000000003</v>
      </c>
      <c r="H29" s="3224"/>
      <c r="I29" s="3173">
        <v>28</v>
      </c>
      <c r="J29" s="3173">
        <v>20240070009</v>
      </c>
      <c r="K29" s="3173"/>
      <c r="L29" s="3173"/>
      <c r="M29" s="3173" t="s">
        <v>4274</v>
      </c>
      <c r="N29" s="3173" t="s">
        <v>4376</v>
      </c>
      <c r="O29" s="3173">
        <v>39.32</v>
      </c>
      <c r="P29" s="3173" t="s">
        <v>4276</v>
      </c>
      <c r="Q29" s="3173"/>
      <c r="R29" s="3174">
        <v>45364</v>
      </c>
      <c r="S29" s="3173" t="s">
        <v>4277</v>
      </c>
      <c r="T29" s="3173" t="s">
        <v>4278</v>
      </c>
      <c r="U29" s="3173" t="s">
        <v>4279</v>
      </c>
      <c r="V29" s="3173" t="s">
        <v>4280</v>
      </c>
      <c r="X29" s="3242">
        <f ca="1">'结果表-车位'!$G$20</f>
        <v>1850</v>
      </c>
      <c r="Y29" s="3242">
        <f t="shared" ca="1" si="0"/>
        <v>72742</v>
      </c>
      <c r="AA29" s="3173">
        <v>28</v>
      </c>
      <c r="AB29" s="3173" t="s">
        <v>4282</v>
      </c>
      <c r="AC29" s="3173"/>
      <c r="AD29" s="3173"/>
      <c r="AE29" s="3173" t="s">
        <v>4274</v>
      </c>
      <c r="AF29" s="3173" t="s">
        <v>4378</v>
      </c>
      <c r="AG29" s="3173">
        <v>42.72</v>
      </c>
      <c r="AH29" s="3173" t="s">
        <v>4296</v>
      </c>
      <c r="AI29" s="3173" t="s">
        <v>4282</v>
      </c>
      <c r="AJ29" s="3174">
        <v>45276</v>
      </c>
      <c r="AK29" s="3173" t="s">
        <v>4279</v>
      </c>
      <c r="AL29" s="3173" t="s">
        <v>4297</v>
      </c>
      <c r="AM29" s="3173" t="s">
        <v>4279</v>
      </c>
      <c r="AN29" s="3173" t="s">
        <v>4280</v>
      </c>
      <c r="AP29" s="3242">
        <f t="shared" ca="1" si="4"/>
        <v>5845</v>
      </c>
      <c r="AQ29" s="3242">
        <f t="shared" ca="1" si="1"/>
        <v>249698.4</v>
      </c>
      <c r="AS29" s="3173">
        <v>28</v>
      </c>
      <c r="AT29" s="3173" t="s">
        <v>4273</v>
      </c>
      <c r="AU29" s="3173"/>
      <c r="AV29" s="3173"/>
      <c r="AW29" s="3173" t="s">
        <v>4274</v>
      </c>
      <c r="AX29" s="3173" t="s">
        <v>4374</v>
      </c>
      <c r="AY29" s="3173">
        <v>50.34</v>
      </c>
      <c r="AZ29" s="3173" t="s">
        <v>4276</v>
      </c>
      <c r="BA29" s="3173"/>
      <c r="BB29" s="3174">
        <v>45276</v>
      </c>
      <c r="BC29" s="3173" t="s">
        <v>4277</v>
      </c>
      <c r="BD29" s="3173" t="s">
        <v>4278</v>
      </c>
      <c r="BE29" s="3173" t="s">
        <v>4279</v>
      </c>
      <c r="BF29" s="3173" t="s">
        <v>4280</v>
      </c>
      <c r="BG29" s="3180"/>
      <c r="BH29" s="3180">
        <f ca="1">'结果表-车位'!$G$20</f>
        <v>1850</v>
      </c>
      <c r="BI29" s="3224">
        <f t="shared" ca="1" si="2"/>
        <v>93129</v>
      </c>
    </row>
    <row r="30" spans="1:61" ht="54">
      <c r="A30" s="3224"/>
      <c r="B30" s="3224"/>
      <c r="C30" s="3224">
        <f>199+72+106</f>
        <v>377</v>
      </c>
      <c r="D30" s="3224"/>
      <c r="E30" s="3224"/>
      <c r="F30" s="3224" t="s">
        <v>4947</v>
      </c>
      <c r="G30" s="3228">
        <f>G19+G15+G11+G8+G5+G2+G23+G27</f>
        <v>377</v>
      </c>
      <c r="H30" s="3224"/>
      <c r="I30" s="3173">
        <v>29</v>
      </c>
      <c r="J30" s="3173">
        <v>20240070009</v>
      </c>
      <c r="K30" s="3173"/>
      <c r="L30" s="3173"/>
      <c r="M30" s="3173" t="s">
        <v>4274</v>
      </c>
      <c r="N30" s="3173" t="s">
        <v>4379</v>
      </c>
      <c r="O30" s="3173">
        <v>39.32</v>
      </c>
      <c r="P30" s="3173" t="s">
        <v>4276</v>
      </c>
      <c r="Q30" s="3173"/>
      <c r="R30" s="3174">
        <v>45364</v>
      </c>
      <c r="S30" s="3173" t="s">
        <v>4277</v>
      </c>
      <c r="T30" s="3173" t="s">
        <v>4278</v>
      </c>
      <c r="U30" s="3173" t="s">
        <v>4279</v>
      </c>
      <c r="V30" s="3173" t="s">
        <v>4280</v>
      </c>
      <c r="X30" s="3242">
        <f ca="1">'结果表-车位'!$G$20</f>
        <v>1850</v>
      </c>
      <c r="Y30" s="3242">
        <f t="shared" ca="1" si="0"/>
        <v>72742</v>
      </c>
      <c r="AA30" s="3173">
        <v>29</v>
      </c>
      <c r="AB30" s="3173" t="s">
        <v>4282</v>
      </c>
      <c r="AC30" s="3173"/>
      <c r="AD30" s="3173"/>
      <c r="AE30" s="3173" t="s">
        <v>4274</v>
      </c>
      <c r="AF30" s="3173" t="s">
        <v>4381</v>
      </c>
      <c r="AG30" s="3173">
        <v>42.72</v>
      </c>
      <c r="AH30" s="3173" t="s">
        <v>4296</v>
      </c>
      <c r="AI30" s="3173" t="s">
        <v>4282</v>
      </c>
      <c r="AJ30" s="3174">
        <v>45276</v>
      </c>
      <c r="AK30" s="3173" t="s">
        <v>4279</v>
      </c>
      <c r="AL30" s="3173" t="s">
        <v>4297</v>
      </c>
      <c r="AM30" s="3173" t="s">
        <v>4279</v>
      </c>
      <c r="AN30" s="3173" t="s">
        <v>4280</v>
      </c>
      <c r="AP30" s="3242">
        <f t="shared" ca="1" si="4"/>
        <v>5845</v>
      </c>
      <c r="AQ30" s="3242">
        <f t="shared" ca="1" si="1"/>
        <v>249698.4</v>
      </c>
      <c r="AS30" s="3173">
        <v>29</v>
      </c>
      <c r="AT30" s="3173" t="s">
        <v>4273</v>
      </c>
      <c r="AU30" s="3173"/>
      <c r="AV30" s="3173"/>
      <c r="AW30" s="3173" t="s">
        <v>4274</v>
      </c>
      <c r="AX30" s="3173" t="s">
        <v>4377</v>
      </c>
      <c r="AY30" s="3173">
        <v>50.34</v>
      </c>
      <c r="AZ30" s="3173" t="s">
        <v>4276</v>
      </c>
      <c r="BA30" s="3173"/>
      <c r="BB30" s="3174">
        <v>45276</v>
      </c>
      <c r="BC30" s="3173" t="s">
        <v>4277</v>
      </c>
      <c r="BD30" s="3173" t="s">
        <v>4278</v>
      </c>
      <c r="BE30" s="3173" t="s">
        <v>4279</v>
      </c>
      <c r="BF30" s="3173" t="s">
        <v>4280</v>
      </c>
      <c r="BG30" s="3180"/>
      <c r="BH30" s="3180">
        <f ca="1">'结果表-车位'!$G$20</f>
        <v>1850</v>
      </c>
      <c r="BI30" s="3224">
        <f t="shared" ca="1" si="2"/>
        <v>93129</v>
      </c>
    </row>
    <row r="31" spans="1:61" ht="54">
      <c r="A31" s="3224"/>
      <c r="B31" s="3224"/>
      <c r="C31" s="3224">
        <f>O201+AG74+AY108</f>
        <v>17885.95</v>
      </c>
      <c r="D31" s="3224"/>
      <c r="E31" s="3224"/>
      <c r="F31" s="3224" t="s">
        <v>4925</v>
      </c>
      <c r="G31" s="3228">
        <f>G3+G6+G9+G12+G16+G20+G24+G28</f>
        <v>17885.950000000004</v>
      </c>
      <c r="H31" s="3224"/>
      <c r="I31" s="3173">
        <v>30</v>
      </c>
      <c r="J31" s="3173">
        <v>20240070009</v>
      </c>
      <c r="K31" s="3173"/>
      <c r="L31" s="3173"/>
      <c r="M31" s="3173" t="s">
        <v>4274</v>
      </c>
      <c r="N31" s="3173" t="s">
        <v>4382</v>
      </c>
      <c r="O31" s="3173">
        <v>39.32</v>
      </c>
      <c r="P31" s="3173" t="s">
        <v>4276</v>
      </c>
      <c r="Q31" s="3173"/>
      <c r="R31" s="3174">
        <v>45364</v>
      </c>
      <c r="S31" s="3173" t="s">
        <v>4277</v>
      </c>
      <c r="T31" s="3173" t="s">
        <v>4278</v>
      </c>
      <c r="U31" s="3173" t="s">
        <v>4279</v>
      </c>
      <c r="V31" s="3173" t="s">
        <v>4280</v>
      </c>
      <c r="X31" s="3242">
        <f ca="1">'结果表-车位'!$G$20</f>
        <v>1850</v>
      </c>
      <c r="Y31" s="3242">
        <f t="shared" ca="1" si="0"/>
        <v>72742</v>
      </c>
      <c r="AA31" s="3173">
        <v>30</v>
      </c>
      <c r="AB31" s="3173" t="s">
        <v>4282</v>
      </c>
      <c r="AC31" s="3173"/>
      <c r="AD31" s="3173"/>
      <c r="AE31" s="3173" t="s">
        <v>4274</v>
      </c>
      <c r="AF31" s="3173" t="s">
        <v>4384</v>
      </c>
      <c r="AG31" s="3173">
        <v>42.72</v>
      </c>
      <c r="AH31" s="3173" t="s">
        <v>4296</v>
      </c>
      <c r="AI31" s="3173" t="s">
        <v>4282</v>
      </c>
      <c r="AJ31" s="3174">
        <v>45276</v>
      </c>
      <c r="AK31" s="3173" t="s">
        <v>4279</v>
      </c>
      <c r="AL31" s="3173" t="s">
        <v>4297</v>
      </c>
      <c r="AM31" s="3173" t="s">
        <v>4279</v>
      </c>
      <c r="AN31" s="3173" t="s">
        <v>4280</v>
      </c>
      <c r="AP31" s="3242">
        <f t="shared" ca="1" si="4"/>
        <v>5845</v>
      </c>
      <c r="AQ31" s="3242">
        <f t="shared" ca="1" si="1"/>
        <v>249698.4</v>
      </c>
      <c r="AS31" s="3173">
        <v>30</v>
      </c>
      <c r="AT31" s="3173" t="s">
        <v>4273</v>
      </c>
      <c r="AU31" s="3173"/>
      <c r="AV31" s="3173"/>
      <c r="AW31" s="3173" t="s">
        <v>4274</v>
      </c>
      <c r="AX31" s="3173" t="s">
        <v>4380</v>
      </c>
      <c r="AY31" s="3173">
        <v>50.34</v>
      </c>
      <c r="AZ31" s="3173" t="s">
        <v>4276</v>
      </c>
      <c r="BA31" s="3173"/>
      <c r="BB31" s="3174">
        <v>45276</v>
      </c>
      <c r="BC31" s="3173" t="s">
        <v>4277</v>
      </c>
      <c r="BD31" s="3173" t="s">
        <v>4278</v>
      </c>
      <c r="BE31" s="3173" t="s">
        <v>4279</v>
      </c>
      <c r="BF31" s="3173" t="s">
        <v>4280</v>
      </c>
      <c r="BG31" s="3180"/>
      <c r="BH31" s="3180">
        <f ca="1">'结果表-车位'!$G$20</f>
        <v>1850</v>
      </c>
      <c r="BI31" s="3224">
        <f t="shared" ca="1" si="2"/>
        <v>93129</v>
      </c>
    </row>
    <row r="32" spans="1:61" ht="54">
      <c r="A32" s="3224"/>
      <c r="B32" s="3224"/>
      <c r="C32" s="3224">
        <f ca="1">Y201+AQ74+BI108</f>
        <v>81224495.479999945</v>
      </c>
      <c r="D32" s="3224"/>
      <c r="E32" s="3224">
        <f ca="1">C32-G32</f>
        <v>0</v>
      </c>
      <c r="F32" s="3224" t="s">
        <v>4948</v>
      </c>
      <c r="G32" s="3228">
        <f ca="1">G4+G7+G10+G13+G17+G21+G25+G29</f>
        <v>81224495.480000004</v>
      </c>
      <c r="H32" s="3224"/>
      <c r="I32" s="3173">
        <v>31</v>
      </c>
      <c r="J32" s="3173">
        <v>20240070009</v>
      </c>
      <c r="K32" s="3173"/>
      <c r="L32" s="3173"/>
      <c r="M32" s="3173" t="s">
        <v>4274</v>
      </c>
      <c r="N32" s="3173" t="s">
        <v>4385</v>
      </c>
      <c r="O32" s="3173">
        <v>39.32</v>
      </c>
      <c r="P32" s="3173" t="s">
        <v>4276</v>
      </c>
      <c r="Q32" s="3173"/>
      <c r="R32" s="3174">
        <v>45364</v>
      </c>
      <c r="S32" s="3173" t="s">
        <v>4277</v>
      </c>
      <c r="T32" s="3173" t="s">
        <v>4278</v>
      </c>
      <c r="U32" s="3173" t="s">
        <v>4279</v>
      </c>
      <c r="V32" s="3173" t="s">
        <v>4280</v>
      </c>
      <c r="X32" s="3242">
        <f ca="1">'结果表-车位'!$G$20</f>
        <v>1850</v>
      </c>
      <c r="Y32" s="3242">
        <f t="shared" ca="1" si="0"/>
        <v>72742</v>
      </c>
      <c r="AA32" s="3173">
        <v>31</v>
      </c>
      <c r="AB32" s="3173" t="s">
        <v>4282</v>
      </c>
      <c r="AC32" s="3173"/>
      <c r="AD32" s="3173"/>
      <c r="AE32" s="3173" t="s">
        <v>4274</v>
      </c>
      <c r="AF32" s="3173" t="s">
        <v>4387</v>
      </c>
      <c r="AG32" s="3173">
        <v>42.72</v>
      </c>
      <c r="AH32" s="3173" t="s">
        <v>4296</v>
      </c>
      <c r="AI32" s="3173" t="s">
        <v>4282</v>
      </c>
      <c r="AJ32" s="3174">
        <v>45276</v>
      </c>
      <c r="AK32" s="3173" t="s">
        <v>4279</v>
      </c>
      <c r="AL32" s="3173" t="s">
        <v>4297</v>
      </c>
      <c r="AM32" s="3173" t="s">
        <v>4279</v>
      </c>
      <c r="AN32" s="3173" t="s">
        <v>4280</v>
      </c>
      <c r="AP32" s="3242">
        <f t="shared" ca="1" si="4"/>
        <v>5845</v>
      </c>
      <c r="AQ32" s="3242">
        <f t="shared" ca="1" si="1"/>
        <v>249698.4</v>
      </c>
      <c r="AS32" s="3173">
        <v>31</v>
      </c>
      <c r="AT32" s="3173" t="s">
        <v>4273</v>
      </c>
      <c r="AU32" s="3173"/>
      <c r="AV32" s="3173"/>
      <c r="AW32" s="3173" t="s">
        <v>4274</v>
      </c>
      <c r="AX32" s="3173" t="s">
        <v>4383</v>
      </c>
      <c r="AY32" s="3173">
        <v>50.34</v>
      </c>
      <c r="AZ32" s="3173" t="s">
        <v>4276</v>
      </c>
      <c r="BA32" s="3173"/>
      <c r="BB32" s="3174">
        <v>45276</v>
      </c>
      <c r="BC32" s="3173" t="s">
        <v>4277</v>
      </c>
      <c r="BD32" s="3173" t="s">
        <v>4278</v>
      </c>
      <c r="BE32" s="3173" t="s">
        <v>4279</v>
      </c>
      <c r="BF32" s="3173" t="s">
        <v>4280</v>
      </c>
      <c r="BG32" s="3180"/>
      <c r="BH32" s="3180">
        <f ca="1">'结果表-车位'!$G$20</f>
        <v>1850</v>
      </c>
      <c r="BI32" s="3224">
        <f t="shared" ca="1" si="2"/>
        <v>93129</v>
      </c>
    </row>
    <row r="33" spans="1:61" ht="54">
      <c r="A33" s="3224"/>
      <c r="B33" s="3224"/>
      <c r="C33" s="3224"/>
      <c r="D33" s="3224" t="s">
        <v>653</v>
      </c>
      <c r="E33" s="3224"/>
      <c r="F33" s="3224"/>
      <c r="G33" s="3224">
        <f ca="1">G32*0.56</f>
        <v>45485717.468800008</v>
      </c>
      <c r="H33" s="3224"/>
      <c r="I33" s="3173">
        <v>32</v>
      </c>
      <c r="J33" s="3173">
        <v>20240070009</v>
      </c>
      <c r="K33" s="3173"/>
      <c r="L33" s="3173"/>
      <c r="M33" s="3173" t="s">
        <v>4274</v>
      </c>
      <c r="N33" s="3173" t="s">
        <v>4388</v>
      </c>
      <c r="O33" s="3173">
        <v>39.32</v>
      </c>
      <c r="P33" s="3173" t="s">
        <v>4276</v>
      </c>
      <c r="Q33" s="3173"/>
      <c r="R33" s="3174">
        <v>45364</v>
      </c>
      <c r="S33" s="3173" t="s">
        <v>4277</v>
      </c>
      <c r="T33" s="3173" t="s">
        <v>4278</v>
      </c>
      <c r="U33" s="3173" t="s">
        <v>4279</v>
      </c>
      <c r="V33" s="3173" t="s">
        <v>4280</v>
      </c>
      <c r="X33" s="3242">
        <f ca="1">'结果表-车位'!$G$20</f>
        <v>1850</v>
      </c>
      <c r="Y33" s="3242">
        <f t="shared" ca="1" si="0"/>
        <v>72742</v>
      </c>
      <c r="AA33" s="3173">
        <v>32</v>
      </c>
      <c r="AB33" s="3173" t="s">
        <v>4282</v>
      </c>
      <c r="AC33" s="3173"/>
      <c r="AD33" s="3173"/>
      <c r="AE33" s="3173" t="s">
        <v>4274</v>
      </c>
      <c r="AF33" s="3173" t="s">
        <v>4390</v>
      </c>
      <c r="AG33" s="3173">
        <v>42.72</v>
      </c>
      <c r="AH33" s="3173" t="s">
        <v>4296</v>
      </c>
      <c r="AI33" s="3173" t="s">
        <v>4282</v>
      </c>
      <c r="AJ33" s="3174">
        <v>45276</v>
      </c>
      <c r="AK33" s="3173" t="s">
        <v>4279</v>
      </c>
      <c r="AL33" s="3173" t="s">
        <v>4297</v>
      </c>
      <c r="AM33" s="3173" t="s">
        <v>4279</v>
      </c>
      <c r="AN33" s="3173" t="s">
        <v>4280</v>
      </c>
      <c r="AP33" s="3242">
        <f t="shared" ca="1" si="4"/>
        <v>5845</v>
      </c>
      <c r="AQ33" s="3242">
        <f t="shared" ca="1" si="1"/>
        <v>249698.4</v>
      </c>
      <c r="AS33" s="3173">
        <v>32</v>
      </c>
      <c r="AT33" s="3173" t="s">
        <v>4273</v>
      </c>
      <c r="AU33" s="3173"/>
      <c r="AV33" s="3173"/>
      <c r="AW33" s="3173" t="s">
        <v>4274</v>
      </c>
      <c r="AX33" s="3173" t="s">
        <v>4386</v>
      </c>
      <c r="AY33" s="3173">
        <v>50.34</v>
      </c>
      <c r="AZ33" s="3173" t="s">
        <v>4276</v>
      </c>
      <c r="BA33" s="3173"/>
      <c r="BB33" s="3174">
        <v>45276</v>
      </c>
      <c r="BC33" s="3173" t="s">
        <v>4277</v>
      </c>
      <c r="BD33" s="3173" t="s">
        <v>4278</v>
      </c>
      <c r="BE33" s="3173" t="s">
        <v>4279</v>
      </c>
      <c r="BF33" s="3173" t="s">
        <v>4280</v>
      </c>
      <c r="BG33" s="3180"/>
      <c r="BH33" s="3180">
        <f ca="1">'结果表-车位'!$G$20</f>
        <v>1850</v>
      </c>
      <c r="BI33" s="3224">
        <f t="shared" ca="1" si="2"/>
        <v>93129</v>
      </c>
    </row>
    <row r="34" spans="1:61" ht="54">
      <c r="A34" s="3224">
        <f>D34/D35</f>
        <v>0.66666666666666663</v>
      </c>
      <c r="C34" s="3224" t="s">
        <v>4944</v>
      </c>
      <c r="D34" s="3224">
        <v>3</v>
      </c>
      <c r="E34" s="3233">
        <f ca="1">ROUND($E$35*0.65,0)</f>
        <v>11071</v>
      </c>
      <c r="H34" s="3224"/>
      <c r="I34" s="3173">
        <v>33</v>
      </c>
      <c r="J34" s="3173">
        <v>20240070009</v>
      </c>
      <c r="K34" s="3173"/>
      <c r="L34" s="3173"/>
      <c r="M34" s="3173" t="s">
        <v>4274</v>
      </c>
      <c r="N34" s="3173" t="s">
        <v>4391</v>
      </c>
      <c r="O34" s="3173">
        <v>39.32</v>
      </c>
      <c r="P34" s="3173" t="s">
        <v>4276</v>
      </c>
      <c r="Q34" s="3173"/>
      <c r="R34" s="3174">
        <v>45364</v>
      </c>
      <c r="S34" s="3173" t="s">
        <v>4277</v>
      </c>
      <c r="T34" s="3173" t="s">
        <v>4284</v>
      </c>
      <c r="U34" s="3173" t="s">
        <v>4279</v>
      </c>
      <c r="V34" s="3173" t="s">
        <v>4280</v>
      </c>
      <c r="X34" s="3242">
        <f ca="1">'结果表-车位'!$G$20</f>
        <v>1850</v>
      </c>
      <c r="Y34" s="3242">
        <f t="shared" ca="1" si="0"/>
        <v>72742</v>
      </c>
      <c r="AA34" s="3173">
        <v>33</v>
      </c>
      <c r="AB34" s="3173" t="s">
        <v>4282</v>
      </c>
      <c r="AC34" s="3173"/>
      <c r="AD34" s="3173"/>
      <c r="AE34" s="3173" t="s">
        <v>4274</v>
      </c>
      <c r="AF34" s="3173" t="s">
        <v>4393</v>
      </c>
      <c r="AG34" s="3173">
        <v>42.72</v>
      </c>
      <c r="AH34" s="3173" t="s">
        <v>4296</v>
      </c>
      <c r="AI34" s="3173" t="s">
        <v>4282</v>
      </c>
      <c r="AJ34" s="3174">
        <v>45276</v>
      </c>
      <c r="AK34" s="3173" t="s">
        <v>4279</v>
      </c>
      <c r="AL34" s="3173" t="s">
        <v>4297</v>
      </c>
      <c r="AM34" s="3173" t="s">
        <v>4279</v>
      </c>
      <c r="AN34" s="3173" t="s">
        <v>4280</v>
      </c>
      <c r="AP34" s="3242">
        <f t="shared" ca="1" si="4"/>
        <v>5845</v>
      </c>
      <c r="AQ34" s="3242">
        <f t="shared" ca="1" si="1"/>
        <v>249698.4</v>
      </c>
      <c r="AS34" s="3173">
        <v>33</v>
      </c>
      <c r="AT34" s="3173" t="s">
        <v>4273</v>
      </c>
      <c r="AU34" s="3173"/>
      <c r="AV34" s="3173"/>
      <c r="AW34" s="3173" t="s">
        <v>4274</v>
      </c>
      <c r="AX34" s="3173" t="s">
        <v>4389</v>
      </c>
      <c r="AY34" s="3173">
        <v>50.34</v>
      </c>
      <c r="AZ34" s="3173" t="s">
        <v>4276</v>
      </c>
      <c r="BA34" s="3173"/>
      <c r="BB34" s="3174">
        <v>45276</v>
      </c>
      <c r="BC34" s="3173" t="s">
        <v>4277</v>
      </c>
      <c r="BD34" s="3173" t="s">
        <v>4278</v>
      </c>
      <c r="BE34" s="3173" t="s">
        <v>4279</v>
      </c>
      <c r="BF34" s="3173" t="s">
        <v>4280</v>
      </c>
      <c r="BG34" s="3180"/>
      <c r="BH34" s="3180">
        <f ca="1">'结果表-车位'!$G$20</f>
        <v>1850</v>
      </c>
      <c r="BI34" s="3224">
        <f t="shared" ca="1" si="2"/>
        <v>93129</v>
      </c>
    </row>
    <row r="35" spans="1:61" ht="54">
      <c r="A35" s="3224"/>
      <c r="C35" s="3224" t="s">
        <v>4945</v>
      </c>
      <c r="D35" s="3224">
        <v>4.5</v>
      </c>
      <c r="E35" s="3224">
        <f ca="1">'结果表-2号楼1层商业'!G20</f>
        <v>17032</v>
      </c>
      <c r="H35" s="3224"/>
      <c r="I35" s="3173">
        <v>34</v>
      </c>
      <c r="J35" s="3173">
        <v>20240070009</v>
      </c>
      <c r="K35" s="3173"/>
      <c r="L35" s="3173"/>
      <c r="M35" s="3173" t="s">
        <v>4274</v>
      </c>
      <c r="N35" s="3173" t="s">
        <v>4394</v>
      </c>
      <c r="O35" s="3173">
        <v>39.32</v>
      </c>
      <c r="P35" s="3173" t="s">
        <v>4276</v>
      </c>
      <c r="Q35" s="3173"/>
      <c r="R35" s="3174">
        <v>45364</v>
      </c>
      <c r="S35" s="3173" t="s">
        <v>4277</v>
      </c>
      <c r="T35" s="3173" t="s">
        <v>4297</v>
      </c>
      <c r="U35" s="3173" t="s">
        <v>4279</v>
      </c>
      <c r="V35" s="3173" t="s">
        <v>4280</v>
      </c>
      <c r="X35" s="3242">
        <f ca="1">'结果表-车位'!$G$20</f>
        <v>1850</v>
      </c>
      <c r="Y35" s="3242">
        <f t="shared" ca="1" si="0"/>
        <v>72742</v>
      </c>
      <c r="AA35" s="3173">
        <v>34</v>
      </c>
      <c r="AB35" s="3173" t="s">
        <v>4282</v>
      </c>
      <c r="AC35" s="3173"/>
      <c r="AD35" s="3173"/>
      <c r="AE35" s="3173" t="s">
        <v>4274</v>
      </c>
      <c r="AF35" s="3173" t="s">
        <v>4396</v>
      </c>
      <c r="AG35" s="3173">
        <v>42.72</v>
      </c>
      <c r="AH35" s="3173" t="s">
        <v>4296</v>
      </c>
      <c r="AI35" s="3173" t="s">
        <v>4282</v>
      </c>
      <c r="AJ35" s="3174">
        <v>45276</v>
      </c>
      <c r="AK35" s="3173" t="s">
        <v>4279</v>
      </c>
      <c r="AL35" s="3173" t="s">
        <v>4297</v>
      </c>
      <c r="AM35" s="3173" t="s">
        <v>4279</v>
      </c>
      <c r="AN35" s="3173" t="s">
        <v>4280</v>
      </c>
      <c r="AP35" s="3242">
        <f t="shared" ca="1" si="4"/>
        <v>5845</v>
      </c>
      <c r="AQ35" s="3242">
        <f t="shared" ca="1" si="1"/>
        <v>249698.4</v>
      </c>
      <c r="AS35" s="3173">
        <v>34</v>
      </c>
      <c r="AT35" s="3173" t="s">
        <v>4273</v>
      </c>
      <c r="AU35" s="3173"/>
      <c r="AV35" s="3173"/>
      <c r="AW35" s="3173" t="s">
        <v>4274</v>
      </c>
      <c r="AX35" s="3173" t="s">
        <v>4392</v>
      </c>
      <c r="AY35" s="3173">
        <v>50.34</v>
      </c>
      <c r="AZ35" s="3173" t="s">
        <v>4276</v>
      </c>
      <c r="BA35" s="3173"/>
      <c r="BB35" s="3174">
        <v>45276</v>
      </c>
      <c r="BC35" s="3173" t="s">
        <v>4277</v>
      </c>
      <c r="BD35" s="3173" t="s">
        <v>4278</v>
      </c>
      <c r="BE35" s="3173" t="s">
        <v>4279</v>
      </c>
      <c r="BF35" s="3173" t="s">
        <v>4280</v>
      </c>
      <c r="BG35" s="3180"/>
      <c r="BH35" s="3180">
        <f ca="1">'结果表-车位'!$G$20</f>
        <v>1850</v>
      </c>
      <c r="BI35" s="3224">
        <f t="shared" ca="1" si="2"/>
        <v>93129</v>
      </c>
    </row>
    <row r="36" spans="1:61" ht="54">
      <c r="A36" s="3224"/>
      <c r="C36" s="3224" t="s">
        <v>4946</v>
      </c>
      <c r="D36" s="3224">
        <v>3</v>
      </c>
      <c r="E36" s="3233">
        <f ca="1">ROUND($E$35*0.65,0)</f>
        <v>11071</v>
      </c>
      <c r="H36" s="3224"/>
      <c r="I36" s="3173">
        <v>35</v>
      </c>
      <c r="J36" s="3173">
        <v>20240070009</v>
      </c>
      <c r="K36" s="3173"/>
      <c r="L36" s="3173"/>
      <c r="M36" s="3173" t="s">
        <v>4274</v>
      </c>
      <c r="N36" s="3173" t="s">
        <v>4397</v>
      </c>
      <c r="O36" s="3173">
        <v>39.32</v>
      </c>
      <c r="P36" s="3173" t="s">
        <v>4276</v>
      </c>
      <c r="Q36" s="3173"/>
      <c r="R36" s="3174">
        <v>45364</v>
      </c>
      <c r="S36" s="3173" t="s">
        <v>4277</v>
      </c>
      <c r="T36" s="3173" t="s">
        <v>4284</v>
      </c>
      <c r="U36" s="3173" t="s">
        <v>4279</v>
      </c>
      <c r="V36" s="3173" t="s">
        <v>4280</v>
      </c>
      <c r="X36" s="3242">
        <f ca="1">'结果表-车位'!$G$20</f>
        <v>1850</v>
      </c>
      <c r="Y36" s="3242">
        <f t="shared" ca="1" si="0"/>
        <v>72742</v>
      </c>
      <c r="AA36" s="3173">
        <v>35</v>
      </c>
      <c r="AB36" s="3173" t="s">
        <v>4282</v>
      </c>
      <c r="AC36" s="3173"/>
      <c r="AD36" s="3173"/>
      <c r="AE36" s="3173" t="s">
        <v>4274</v>
      </c>
      <c r="AF36" s="3173" t="s">
        <v>4399</v>
      </c>
      <c r="AG36" s="3173">
        <v>44.57</v>
      </c>
      <c r="AH36" s="3173" t="s">
        <v>4296</v>
      </c>
      <c r="AI36" s="3173" t="s">
        <v>4282</v>
      </c>
      <c r="AJ36" s="3174">
        <v>45276</v>
      </c>
      <c r="AK36" s="3173" t="s">
        <v>4279</v>
      </c>
      <c r="AL36" s="3173" t="s">
        <v>4297</v>
      </c>
      <c r="AM36" s="3173" t="s">
        <v>4279</v>
      </c>
      <c r="AN36" s="3173" t="s">
        <v>4280</v>
      </c>
      <c r="AP36" s="3242">
        <f t="shared" ca="1" si="4"/>
        <v>5845</v>
      </c>
      <c r="AQ36" s="3242">
        <f t="shared" ca="1" si="1"/>
        <v>260511.65</v>
      </c>
      <c r="AS36" s="3173">
        <v>35</v>
      </c>
      <c r="AT36" s="3173" t="s">
        <v>4273</v>
      </c>
      <c r="AU36" s="3173"/>
      <c r="AV36" s="3173"/>
      <c r="AW36" s="3173" t="s">
        <v>4274</v>
      </c>
      <c r="AX36" s="3173" t="s">
        <v>4395</v>
      </c>
      <c r="AY36" s="3173">
        <v>50.34</v>
      </c>
      <c r="AZ36" s="3173" t="s">
        <v>4276</v>
      </c>
      <c r="BA36" s="3173"/>
      <c r="BB36" s="3174">
        <v>45276</v>
      </c>
      <c r="BC36" s="3173" t="s">
        <v>4277</v>
      </c>
      <c r="BD36" s="3173" t="s">
        <v>4278</v>
      </c>
      <c r="BE36" s="3173" t="s">
        <v>4279</v>
      </c>
      <c r="BF36" s="3173" t="s">
        <v>4280</v>
      </c>
      <c r="BG36" s="3180"/>
      <c r="BH36" s="3180">
        <f ca="1">'结果表-车位'!$G$20</f>
        <v>1850</v>
      </c>
      <c r="BI36" s="3224">
        <f t="shared" ca="1" si="2"/>
        <v>93129</v>
      </c>
    </row>
    <row r="37" spans="1:61" ht="54">
      <c r="A37" s="3224"/>
      <c r="B37" s="1405" t="s">
        <v>4951</v>
      </c>
      <c r="C37" s="3231" t="s">
        <v>4939</v>
      </c>
      <c r="D37" t="s">
        <v>4941</v>
      </c>
      <c r="E37" t="s">
        <v>4950</v>
      </c>
      <c r="H37" s="3224"/>
      <c r="I37" s="3173">
        <v>36</v>
      </c>
      <c r="J37" s="3173">
        <v>20240070009</v>
      </c>
      <c r="K37" s="3173"/>
      <c r="L37" s="3173"/>
      <c r="M37" s="3173" t="s">
        <v>4274</v>
      </c>
      <c r="N37" s="3173" t="s">
        <v>4400</v>
      </c>
      <c r="O37" s="3173">
        <v>39.32</v>
      </c>
      <c r="P37" s="3173" t="s">
        <v>4276</v>
      </c>
      <c r="Q37" s="3173"/>
      <c r="R37" s="3174">
        <v>45364</v>
      </c>
      <c r="S37" s="3173" t="s">
        <v>4277</v>
      </c>
      <c r="T37" s="3173" t="s">
        <v>4284</v>
      </c>
      <c r="U37" s="3173" t="s">
        <v>4279</v>
      </c>
      <c r="V37" s="3173" t="s">
        <v>4280</v>
      </c>
      <c r="X37" s="3242">
        <f ca="1">'结果表-车位'!$G$20</f>
        <v>1850</v>
      </c>
      <c r="Y37" s="3242">
        <f t="shared" ca="1" si="0"/>
        <v>72742</v>
      </c>
      <c r="AA37" s="3173">
        <v>36</v>
      </c>
      <c r="AB37" s="3173" t="s">
        <v>4282</v>
      </c>
      <c r="AC37" s="3173"/>
      <c r="AD37" s="3173"/>
      <c r="AE37" s="3173" t="s">
        <v>4274</v>
      </c>
      <c r="AF37" s="3173" t="s">
        <v>4402</v>
      </c>
      <c r="AG37" s="3173">
        <v>44.67</v>
      </c>
      <c r="AH37" s="3173" t="s">
        <v>4296</v>
      </c>
      <c r="AI37" s="3173" t="s">
        <v>4282</v>
      </c>
      <c r="AJ37" s="3174">
        <v>45276</v>
      </c>
      <c r="AK37" s="3173" t="s">
        <v>4277</v>
      </c>
      <c r="AL37" s="3173" t="s">
        <v>4297</v>
      </c>
      <c r="AM37" s="3173" t="s">
        <v>4279</v>
      </c>
      <c r="AN37" s="3173" t="s">
        <v>4280</v>
      </c>
      <c r="AP37" s="3242">
        <f t="shared" ca="1" si="4"/>
        <v>5845</v>
      </c>
      <c r="AQ37" s="3242">
        <f t="shared" ca="1" si="1"/>
        <v>261096.15000000002</v>
      </c>
      <c r="AS37" s="3173">
        <v>36</v>
      </c>
      <c r="AT37" s="3173" t="s">
        <v>4273</v>
      </c>
      <c r="AU37" s="3173"/>
      <c r="AV37" s="3173"/>
      <c r="AW37" s="3173" t="s">
        <v>4274</v>
      </c>
      <c r="AX37" s="3173" t="s">
        <v>4398</v>
      </c>
      <c r="AY37" s="3173">
        <v>50.34</v>
      </c>
      <c r="AZ37" s="3173" t="s">
        <v>4276</v>
      </c>
      <c r="BA37" s="3173"/>
      <c r="BB37" s="3174">
        <v>45276</v>
      </c>
      <c r="BC37" s="3173" t="s">
        <v>4277</v>
      </c>
      <c r="BD37" s="3173" t="s">
        <v>4278</v>
      </c>
      <c r="BE37" s="3173" t="s">
        <v>4279</v>
      </c>
      <c r="BF37" s="3173" t="s">
        <v>4280</v>
      </c>
      <c r="BG37" s="3180"/>
      <c r="BH37" s="3180">
        <f ca="1">'结果表-车位'!$G$20</f>
        <v>1850</v>
      </c>
      <c r="BI37" s="3224">
        <f t="shared" ca="1" si="2"/>
        <v>93129</v>
      </c>
    </row>
    <row r="38" spans="1:61" ht="54">
      <c r="A38" s="3224"/>
      <c r="C38" s="2814" t="s">
        <v>4533</v>
      </c>
      <c r="D38">
        <v>85</v>
      </c>
      <c r="E38">
        <v>198220</v>
      </c>
      <c r="F38">
        <f>GETPIVOTDATA("求和项:总价",$C$37,"用途","储藏室")/GETPIVOTDATA("求和项:建筑面积",$C$37,"用途","储藏室")</f>
        <v>2332</v>
      </c>
      <c r="H38" s="3224"/>
      <c r="I38" s="3173">
        <v>37</v>
      </c>
      <c r="J38" s="3173">
        <v>20240070009</v>
      </c>
      <c r="K38" s="3173"/>
      <c r="L38" s="3173"/>
      <c r="M38" s="3173" t="s">
        <v>4274</v>
      </c>
      <c r="N38" s="3173" t="s">
        <v>4403</v>
      </c>
      <c r="O38" s="3173">
        <v>39.32</v>
      </c>
      <c r="P38" s="3173" t="s">
        <v>4276</v>
      </c>
      <c r="Q38" s="3173"/>
      <c r="R38" s="3174">
        <v>45364</v>
      </c>
      <c r="S38" s="3173" t="s">
        <v>4277</v>
      </c>
      <c r="T38" s="3173" t="s">
        <v>4284</v>
      </c>
      <c r="U38" s="3173" t="s">
        <v>4279</v>
      </c>
      <c r="V38" s="3173" t="s">
        <v>4280</v>
      </c>
      <c r="X38" s="3242">
        <f ca="1">'结果表-车位'!$G$20</f>
        <v>1850</v>
      </c>
      <c r="Y38" s="3242">
        <f t="shared" ca="1" si="0"/>
        <v>72742</v>
      </c>
      <c r="AA38" s="3173">
        <v>37</v>
      </c>
      <c r="AB38" s="3173" t="s">
        <v>4282</v>
      </c>
      <c r="AC38" s="3173"/>
      <c r="AD38" s="3173"/>
      <c r="AE38" s="3173" t="s">
        <v>4274</v>
      </c>
      <c r="AF38" s="3173" t="s">
        <v>4405</v>
      </c>
      <c r="AG38" s="3173">
        <v>42.72</v>
      </c>
      <c r="AH38" s="3173" t="s">
        <v>4296</v>
      </c>
      <c r="AI38" s="3173" t="s">
        <v>4282</v>
      </c>
      <c r="AJ38" s="3174">
        <v>45276</v>
      </c>
      <c r="AK38" s="3173" t="s">
        <v>4277</v>
      </c>
      <c r="AL38" s="3173" t="s">
        <v>4297</v>
      </c>
      <c r="AM38" s="3173" t="s">
        <v>4279</v>
      </c>
      <c r="AN38" s="3173" t="s">
        <v>4280</v>
      </c>
      <c r="AP38" s="3242">
        <f t="shared" ca="1" si="4"/>
        <v>5845</v>
      </c>
      <c r="AQ38" s="3242">
        <f t="shared" ca="1" si="1"/>
        <v>249698.4</v>
      </c>
      <c r="AS38" s="3173">
        <v>37</v>
      </c>
      <c r="AT38" s="3173" t="s">
        <v>4273</v>
      </c>
      <c r="AU38" s="3173"/>
      <c r="AV38" s="3173"/>
      <c r="AW38" s="3173" t="s">
        <v>4274</v>
      </c>
      <c r="AX38" s="3173" t="s">
        <v>4401</v>
      </c>
      <c r="AY38" s="3173">
        <v>50.34</v>
      </c>
      <c r="AZ38" s="3173" t="s">
        <v>4276</v>
      </c>
      <c r="BA38" s="3173"/>
      <c r="BB38" s="3174">
        <v>45276</v>
      </c>
      <c r="BC38" s="3173" t="s">
        <v>4277</v>
      </c>
      <c r="BD38" s="3173" t="s">
        <v>4278</v>
      </c>
      <c r="BE38" s="3173" t="s">
        <v>4279</v>
      </c>
      <c r="BF38" s="3173" t="s">
        <v>4280</v>
      </c>
      <c r="BG38" s="3180"/>
      <c r="BH38" s="3180">
        <f ca="1">'结果表-车位'!$G$20</f>
        <v>1850</v>
      </c>
      <c r="BI38" s="3224">
        <f t="shared" ca="1" si="2"/>
        <v>93129</v>
      </c>
    </row>
    <row r="39" spans="1:61" ht="54">
      <c r="A39" s="3224"/>
      <c r="C39" s="2814" t="s">
        <v>672</v>
      </c>
      <c r="D39">
        <v>6017.9000000000005</v>
      </c>
      <c r="E39">
        <v>40911139.840000026</v>
      </c>
      <c r="F39">
        <f>GETPIVOTDATA("求和项:总价",$C$37,"用途","商业")/GETPIVOTDATA("求和项:建筑面积",$C$37,"用途","商业")</f>
        <v>6798.2418850429585</v>
      </c>
      <c r="G39" s="3224"/>
      <c r="H39" s="3224"/>
      <c r="I39" s="3173">
        <v>38</v>
      </c>
      <c r="J39" s="3173">
        <v>20240070009</v>
      </c>
      <c r="K39" s="3173"/>
      <c r="L39" s="3173"/>
      <c r="M39" s="3173" t="s">
        <v>4274</v>
      </c>
      <c r="N39" s="3173" t="s">
        <v>4406</v>
      </c>
      <c r="O39" s="3173">
        <v>39.32</v>
      </c>
      <c r="P39" s="3173" t="s">
        <v>4276</v>
      </c>
      <c r="Q39" s="3173"/>
      <c r="R39" s="3174">
        <v>45364</v>
      </c>
      <c r="S39" s="3173" t="s">
        <v>4277</v>
      </c>
      <c r="T39" s="3173" t="s">
        <v>4284</v>
      </c>
      <c r="U39" s="3173" t="s">
        <v>4279</v>
      </c>
      <c r="V39" s="3173" t="s">
        <v>4280</v>
      </c>
      <c r="X39" s="3242">
        <f ca="1">'结果表-车位'!$G$20</f>
        <v>1850</v>
      </c>
      <c r="Y39" s="3242">
        <f t="shared" ca="1" si="0"/>
        <v>72742</v>
      </c>
      <c r="AA39" s="3173">
        <v>38</v>
      </c>
      <c r="AB39" s="3173" t="s">
        <v>4282</v>
      </c>
      <c r="AC39" s="3173"/>
      <c r="AD39" s="3173"/>
      <c r="AE39" s="3173" t="s">
        <v>4274</v>
      </c>
      <c r="AF39" s="3173" t="s">
        <v>4408</v>
      </c>
      <c r="AG39" s="3173">
        <v>42.72</v>
      </c>
      <c r="AH39" s="3173" t="s">
        <v>4296</v>
      </c>
      <c r="AI39" s="3173" t="s">
        <v>4282</v>
      </c>
      <c r="AJ39" s="3174">
        <v>45276</v>
      </c>
      <c r="AK39" s="3173" t="s">
        <v>4279</v>
      </c>
      <c r="AL39" s="3173" t="s">
        <v>4297</v>
      </c>
      <c r="AM39" s="3173" t="s">
        <v>4279</v>
      </c>
      <c r="AN39" s="3173" t="s">
        <v>4280</v>
      </c>
      <c r="AP39" s="3242">
        <f t="shared" ca="1" si="4"/>
        <v>5845</v>
      </c>
      <c r="AQ39" s="3242">
        <f t="shared" ca="1" si="1"/>
        <v>249698.4</v>
      </c>
      <c r="AS39" s="3173">
        <v>38</v>
      </c>
      <c r="AT39" s="3173" t="s">
        <v>4273</v>
      </c>
      <c r="AU39" s="3173"/>
      <c r="AV39" s="3173"/>
      <c r="AW39" s="3173" t="s">
        <v>4274</v>
      </c>
      <c r="AX39" s="3173" t="s">
        <v>4404</v>
      </c>
      <c r="AY39" s="3173">
        <v>50.34</v>
      </c>
      <c r="AZ39" s="3173" t="s">
        <v>4276</v>
      </c>
      <c r="BA39" s="3173"/>
      <c r="BB39" s="3174">
        <v>45276</v>
      </c>
      <c r="BC39" s="3173" t="s">
        <v>4277</v>
      </c>
      <c r="BD39" s="3173" t="s">
        <v>4278</v>
      </c>
      <c r="BE39" s="3173" t="s">
        <v>4279</v>
      </c>
      <c r="BF39" s="3173" t="s">
        <v>4280</v>
      </c>
      <c r="BG39" s="3180"/>
      <c r="BH39" s="3180">
        <f ca="1">'结果表-车位'!$G$20</f>
        <v>1850</v>
      </c>
      <c r="BI39" s="3224">
        <f t="shared" ca="1" si="2"/>
        <v>93129</v>
      </c>
    </row>
    <row r="40" spans="1:61" ht="54">
      <c r="A40" s="3224"/>
      <c r="B40" s="3224"/>
      <c r="C40" s="2814" t="s">
        <v>4276</v>
      </c>
      <c r="D40">
        <v>3851.7200000000062</v>
      </c>
      <c r="E40">
        <v>9274941.7599999905</v>
      </c>
      <c r="F40">
        <f>GETPIVOTDATA("求和项:总价",$C$37,"用途","停车位")/GETPIVOTDATA("求和项:建筑面积",$C$37,"用途","停车位")</f>
        <v>2407.9999999999936</v>
      </c>
      <c r="G40" s="3224"/>
      <c r="H40" s="3224"/>
      <c r="I40" s="3173">
        <v>39</v>
      </c>
      <c r="J40" s="3173">
        <v>20240070009</v>
      </c>
      <c r="K40" s="3173"/>
      <c r="L40" s="3173"/>
      <c r="M40" s="3173" t="s">
        <v>4274</v>
      </c>
      <c r="N40" s="3173" t="s">
        <v>4409</v>
      </c>
      <c r="O40" s="3173">
        <v>39.32</v>
      </c>
      <c r="P40" s="3173" t="s">
        <v>4276</v>
      </c>
      <c r="Q40" s="3173"/>
      <c r="R40" s="3174">
        <v>45364</v>
      </c>
      <c r="S40" s="3173" t="s">
        <v>4277</v>
      </c>
      <c r="T40" s="3173" t="s">
        <v>4284</v>
      </c>
      <c r="U40" s="3173" t="s">
        <v>4279</v>
      </c>
      <c r="V40" s="3173" t="s">
        <v>4280</v>
      </c>
      <c r="X40" s="3242">
        <f ca="1">'结果表-车位'!$G$20</f>
        <v>1850</v>
      </c>
      <c r="Y40" s="3242">
        <f t="shared" ca="1" si="0"/>
        <v>72742</v>
      </c>
      <c r="AA40" s="3173">
        <v>39</v>
      </c>
      <c r="AB40" s="3173" t="s">
        <v>4282</v>
      </c>
      <c r="AC40" s="3173"/>
      <c r="AD40" s="3173"/>
      <c r="AE40" s="3173" t="s">
        <v>4274</v>
      </c>
      <c r="AF40" s="3173" t="s">
        <v>4411</v>
      </c>
      <c r="AG40" s="3173">
        <v>44.67</v>
      </c>
      <c r="AH40" s="3173" t="s">
        <v>4296</v>
      </c>
      <c r="AI40" s="3173" t="s">
        <v>4282</v>
      </c>
      <c r="AJ40" s="3174">
        <v>45276</v>
      </c>
      <c r="AK40" s="3173" t="s">
        <v>4277</v>
      </c>
      <c r="AL40" s="3173" t="s">
        <v>4288</v>
      </c>
      <c r="AM40" s="3173" t="s">
        <v>4279</v>
      </c>
      <c r="AN40" s="3173" t="s">
        <v>4280</v>
      </c>
      <c r="AP40" s="3242">
        <f t="shared" ca="1" si="4"/>
        <v>5845</v>
      </c>
      <c r="AQ40" s="3242">
        <f t="shared" ca="1" si="1"/>
        <v>261096.15000000002</v>
      </c>
      <c r="AS40" s="3173">
        <v>39</v>
      </c>
      <c r="AT40" s="3173" t="s">
        <v>4273</v>
      </c>
      <c r="AU40" s="3173"/>
      <c r="AV40" s="3173"/>
      <c r="AW40" s="3173" t="s">
        <v>4274</v>
      </c>
      <c r="AX40" s="3173" t="s">
        <v>4407</v>
      </c>
      <c r="AY40" s="3173">
        <v>50.34</v>
      </c>
      <c r="AZ40" s="3173" t="s">
        <v>4276</v>
      </c>
      <c r="BA40" s="3173"/>
      <c r="BB40" s="3174">
        <v>45276</v>
      </c>
      <c r="BC40" s="3173" t="s">
        <v>4277</v>
      </c>
      <c r="BD40" s="3173" t="s">
        <v>4278</v>
      </c>
      <c r="BE40" s="3173" t="s">
        <v>4279</v>
      </c>
      <c r="BF40" s="3173" t="s">
        <v>4280</v>
      </c>
      <c r="BG40" s="3180"/>
      <c r="BH40" s="3180">
        <f ca="1">'结果表-车位'!$G$20</f>
        <v>1850</v>
      </c>
      <c r="BI40" s="3224">
        <f t="shared" ca="1" si="2"/>
        <v>93129</v>
      </c>
    </row>
    <row r="41" spans="1:61" ht="54">
      <c r="A41" s="3224"/>
      <c r="B41" s="3224"/>
      <c r="C41" s="2814" t="s">
        <v>4637</v>
      </c>
      <c r="D41">
        <v>26.44</v>
      </c>
      <c r="E41">
        <v>61658.080000000002</v>
      </c>
      <c r="F41">
        <f>GETPIVOTDATA("求和项:总价",$C$37,"用途","杂物间")/GETPIVOTDATA("求和项:建筑面积",$C$37,"用途","杂物间")</f>
        <v>2332</v>
      </c>
      <c r="G41" s="3224"/>
      <c r="H41" s="3224"/>
      <c r="I41" s="3173">
        <v>40</v>
      </c>
      <c r="J41" s="3173">
        <v>20240070009</v>
      </c>
      <c r="K41" s="3173"/>
      <c r="L41" s="3173"/>
      <c r="M41" s="3173" t="s">
        <v>4274</v>
      </c>
      <c r="N41" s="3173" t="s">
        <v>4412</v>
      </c>
      <c r="O41" s="3173">
        <v>39.32</v>
      </c>
      <c r="P41" s="3173" t="s">
        <v>4276</v>
      </c>
      <c r="Q41" s="3173"/>
      <c r="R41" s="3174">
        <v>45364</v>
      </c>
      <c r="S41" s="3173" t="s">
        <v>4277</v>
      </c>
      <c r="T41" s="3173" t="s">
        <v>4284</v>
      </c>
      <c r="U41" s="3173" t="s">
        <v>4279</v>
      </c>
      <c r="V41" s="3173" t="s">
        <v>4280</v>
      </c>
      <c r="X41" s="3242">
        <f ca="1">'结果表-车位'!$G$20</f>
        <v>1850</v>
      </c>
      <c r="Y41" s="3242">
        <f t="shared" ca="1" si="0"/>
        <v>72742</v>
      </c>
      <c r="AA41" s="3173">
        <v>40</v>
      </c>
      <c r="AB41" s="3173" t="s">
        <v>4282</v>
      </c>
      <c r="AC41" s="3173"/>
      <c r="AD41" s="3173"/>
      <c r="AE41" s="3173" t="s">
        <v>4274</v>
      </c>
      <c r="AF41" s="3173" t="s">
        <v>4414</v>
      </c>
      <c r="AG41" s="3173">
        <v>44.57</v>
      </c>
      <c r="AH41" s="3173" t="s">
        <v>4296</v>
      </c>
      <c r="AI41" s="3173" t="s">
        <v>4282</v>
      </c>
      <c r="AJ41" s="3174">
        <v>45276</v>
      </c>
      <c r="AK41" s="3173" t="s">
        <v>4277</v>
      </c>
      <c r="AL41" s="3173" t="s">
        <v>4288</v>
      </c>
      <c r="AM41" s="3173" t="s">
        <v>4279</v>
      </c>
      <c r="AN41" s="3173" t="s">
        <v>4280</v>
      </c>
      <c r="AP41" s="3242">
        <f t="shared" ca="1" si="4"/>
        <v>5845</v>
      </c>
      <c r="AQ41" s="3242">
        <f t="shared" ca="1" si="1"/>
        <v>260511.65</v>
      </c>
      <c r="AS41" s="3173">
        <v>40</v>
      </c>
      <c r="AT41" s="3173" t="s">
        <v>4273</v>
      </c>
      <c r="AU41" s="3173"/>
      <c r="AV41" s="3173"/>
      <c r="AW41" s="3173" t="s">
        <v>4274</v>
      </c>
      <c r="AX41" s="3173" t="s">
        <v>4410</v>
      </c>
      <c r="AY41" s="3173">
        <v>50.34</v>
      </c>
      <c r="AZ41" s="3173" t="s">
        <v>4276</v>
      </c>
      <c r="BA41" s="3173"/>
      <c r="BB41" s="3174">
        <v>45276</v>
      </c>
      <c r="BC41" s="3173" t="s">
        <v>4277</v>
      </c>
      <c r="BD41" s="3173" t="s">
        <v>4278</v>
      </c>
      <c r="BE41" s="3173" t="s">
        <v>4279</v>
      </c>
      <c r="BF41" s="3173" t="s">
        <v>4280</v>
      </c>
      <c r="BG41" s="3180"/>
      <c r="BH41" s="3180">
        <f ca="1">'结果表-车位'!$G$20</f>
        <v>1850</v>
      </c>
      <c r="BI41" s="3224">
        <f t="shared" ca="1" si="2"/>
        <v>93129</v>
      </c>
    </row>
    <row r="42" spans="1:61" ht="54">
      <c r="A42" s="3224"/>
      <c r="B42" s="3224"/>
      <c r="C42" s="2814" t="s">
        <v>4940</v>
      </c>
      <c r="D42">
        <v>9981.0600000000068</v>
      </c>
      <c r="E42">
        <v>50445959.680000015</v>
      </c>
      <c r="G42" s="3224"/>
      <c r="H42" s="3224"/>
      <c r="I42" s="3173">
        <v>41</v>
      </c>
      <c r="J42" s="3173">
        <v>20240070009</v>
      </c>
      <c r="K42" s="3173"/>
      <c r="L42" s="3173"/>
      <c r="M42" s="3173" t="s">
        <v>4274</v>
      </c>
      <c r="N42" s="3173" t="s">
        <v>4415</v>
      </c>
      <c r="O42" s="3173">
        <v>39.32</v>
      </c>
      <c r="P42" s="3173" t="s">
        <v>4276</v>
      </c>
      <c r="Q42" s="3173"/>
      <c r="R42" s="3174">
        <v>45364</v>
      </c>
      <c r="S42" s="3173" t="s">
        <v>4277</v>
      </c>
      <c r="T42" s="3173" t="s">
        <v>4284</v>
      </c>
      <c r="U42" s="3173" t="s">
        <v>4279</v>
      </c>
      <c r="V42" s="3173" t="s">
        <v>4280</v>
      </c>
      <c r="X42" s="3242">
        <f ca="1">'结果表-车位'!$G$20</f>
        <v>1850</v>
      </c>
      <c r="Y42" s="3242">
        <f t="shared" ca="1" si="0"/>
        <v>72742</v>
      </c>
      <c r="AA42" s="3173">
        <v>41</v>
      </c>
      <c r="AB42" s="3173" t="s">
        <v>4282</v>
      </c>
      <c r="AC42" s="3173"/>
      <c r="AD42" s="3173"/>
      <c r="AE42" s="3173" t="s">
        <v>4274</v>
      </c>
      <c r="AF42" s="3173" t="s">
        <v>4417</v>
      </c>
      <c r="AG42" s="3173">
        <v>42.72</v>
      </c>
      <c r="AH42" s="3173" t="s">
        <v>4296</v>
      </c>
      <c r="AI42" s="3173" t="s">
        <v>4282</v>
      </c>
      <c r="AJ42" s="3174">
        <v>45276</v>
      </c>
      <c r="AK42" s="3173" t="s">
        <v>4277</v>
      </c>
      <c r="AL42" s="3173" t="s">
        <v>4288</v>
      </c>
      <c r="AM42" s="3173" t="s">
        <v>4279</v>
      </c>
      <c r="AN42" s="3173" t="s">
        <v>4280</v>
      </c>
      <c r="AP42" s="3242">
        <f t="shared" ca="1" si="4"/>
        <v>5845</v>
      </c>
      <c r="AQ42" s="3242">
        <f t="shared" ca="1" si="1"/>
        <v>249698.4</v>
      </c>
      <c r="AS42" s="3173">
        <v>41</v>
      </c>
      <c r="AT42" s="3173" t="s">
        <v>4273</v>
      </c>
      <c r="AU42" s="3173"/>
      <c r="AV42" s="3173"/>
      <c r="AW42" s="3173" t="s">
        <v>4274</v>
      </c>
      <c r="AX42" s="3173" t="s">
        <v>4413</v>
      </c>
      <c r="AY42" s="3173">
        <v>50.34</v>
      </c>
      <c r="AZ42" s="3173" t="s">
        <v>4276</v>
      </c>
      <c r="BA42" s="3173"/>
      <c r="BB42" s="3174">
        <v>45276</v>
      </c>
      <c r="BC42" s="3173" t="s">
        <v>4277</v>
      </c>
      <c r="BD42" s="3173" t="s">
        <v>4278</v>
      </c>
      <c r="BE42" s="3173" t="s">
        <v>4279</v>
      </c>
      <c r="BF42" s="3173" t="s">
        <v>4280</v>
      </c>
      <c r="BG42" s="3180"/>
      <c r="BH42" s="3180">
        <f ca="1">'结果表-车位'!$G$20</f>
        <v>1850</v>
      </c>
      <c r="BI42" s="3224">
        <f t="shared" ca="1" si="2"/>
        <v>93129</v>
      </c>
    </row>
    <row r="43" spans="1:61" ht="54">
      <c r="A43" s="3224"/>
      <c r="B43" s="3224"/>
      <c r="F43" s="3224"/>
      <c r="G43" s="3224"/>
      <c r="H43" s="3224"/>
      <c r="I43" s="3173">
        <v>42</v>
      </c>
      <c r="J43" s="3173">
        <v>20240070009</v>
      </c>
      <c r="K43" s="3173"/>
      <c r="L43" s="3173"/>
      <c r="M43" s="3173" t="s">
        <v>4274</v>
      </c>
      <c r="N43" s="3173" t="s">
        <v>4418</v>
      </c>
      <c r="O43" s="3173">
        <v>39.32</v>
      </c>
      <c r="P43" s="3173" t="s">
        <v>4276</v>
      </c>
      <c r="Q43" s="3173"/>
      <c r="R43" s="3174">
        <v>45364</v>
      </c>
      <c r="S43" s="3173" t="s">
        <v>4277</v>
      </c>
      <c r="T43" s="3173" t="s">
        <v>4284</v>
      </c>
      <c r="U43" s="3173" t="s">
        <v>4279</v>
      </c>
      <c r="V43" s="3173" t="s">
        <v>4280</v>
      </c>
      <c r="X43" s="3242">
        <f ca="1">'结果表-车位'!$G$20</f>
        <v>1850</v>
      </c>
      <c r="Y43" s="3242">
        <f t="shared" ca="1" si="0"/>
        <v>72742</v>
      </c>
      <c r="AA43" s="3173">
        <v>42</v>
      </c>
      <c r="AB43" s="3173" t="s">
        <v>4282</v>
      </c>
      <c r="AC43" s="3173"/>
      <c r="AD43" s="3173"/>
      <c r="AE43" s="3173" t="s">
        <v>4274</v>
      </c>
      <c r="AF43" s="3173" t="s">
        <v>4420</v>
      </c>
      <c r="AG43" s="3173">
        <v>42.72</v>
      </c>
      <c r="AH43" s="3173" t="s">
        <v>4296</v>
      </c>
      <c r="AI43" s="3173" t="s">
        <v>4282</v>
      </c>
      <c r="AJ43" s="3174">
        <v>45276</v>
      </c>
      <c r="AK43" s="3173" t="s">
        <v>4279</v>
      </c>
      <c r="AL43" s="3173" t="s">
        <v>4297</v>
      </c>
      <c r="AM43" s="3173" t="s">
        <v>4279</v>
      </c>
      <c r="AN43" s="3173" t="s">
        <v>4280</v>
      </c>
      <c r="AP43" s="3242">
        <f t="shared" ca="1" si="4"/>
        <v>5845</v>
      </c>
      <c r="AQ43" s="3242">
        <f t="shared" ca="1" si="1"/>
        <v>249698.4</v>
      </c>
      <c r="AS43" s="3173">
        <v>42</v>
      </c>
      <c r="AT43" s="3173" t="s">
        <v>4273</v>
      </c>
      <c r="AU43" s="3173"/>
      <c r="AV43" s="3173"/>
      <c r="AW43" s="3173" t="s">
        <v>4274</v>
      </c>
      <c r="AX43" s="3173" t="s">
        <v>4416</v>
      </c>
      <c r="AY43" s="3173">
        <v>50.34</v>
      </c>
      <c r="AZ43" s="3173" t="s">
        <v>4276</v>
      </c>
      <c r="BA43" s="3173"/>
      <c r="BB43" s="3174">
        <v>45276</v>
      </c>
      <c r="BC43" s="3173" t="s">
        <v>4277</v>
      </c>
      <c r="BD43" s="3173" t="s">
        <v>4278</v>
      </c>
      <c r="BE43" s="3173" t="s">
        <v>4279</v>
      </c>
      <c r="BF43" s="3173" t="s">
        <v>4280</v>
      </c>
      <c r="BG43" s="3180"/>
      <c r="BH43" s="3180">
        <f ca="1">'结果表-车位'!$G$20</f>
        <v>1850</v>
      </c>
      <c r="BI43" s="3224">
        <f t="shared" ca="1" si="2"/>
        <v>93129</v>
      </c>
    </row>
    <row r="44" spans="1:61" ht="54">
      <c r="A44" s="3224"/>
      <c r="B44" s="1405" t="s">
        <v>4300</v>
      </c>
      <c r="C44" s="3231" t="s">
        <v>4939</v>
      </c>
      <c r="D44" t="s">
        <v>4941</v>
      </c>
      <c r="E44" t="s">
        <v>4950</v>
      </c>
      <c r="G44" s="3224"/>
      <c r="H44" s="3224"/>
      <c r="I44" s="3173">
        <v>43</v>
      </c>
      <c r="J44" s="3173">
        <v>20240070009</v>
      </c>
      <c r="K44" s="3173"/>
      <c r="L44" s="3173"/>
      <c r="M44" s="3173" t="s">
        <v>4274</v>
      </c>
      <c r="N44" s="3173" t="s">
        <v>4421</v>
      </c>
      <c r="O44" s="3173">
        <v>39.32</v>
      </c>
      <c r="P44" s="3173" t="s">
        <v>4276</v>
      </c>
      <c r="Q44" s="3173"/>
      <c r="R44" s="3174">
        <v>45364</v>
      </c>
      <c r="S44" s="3173" t="s">
        <v>4277</v>
      </c>
      <c r="T44" s="3173" t="s">
        <v>4284</v>
      </c>
      <c r="U44" s="3173" t="s">
        <v>4279</v>
      </c>
      <c r="V44" s="3173" t="s">
        <v>4280</v>
      </c>
      <c r="X44" s="3242">
        <f ca="1">'结果表-车位'!$G$20</f>
        <v>1850</v>
      </c>
      <c r="Y44" s="3242">
        <f t="shared" ca="1" si="0"/>
        <v>72742</v>
      </c>
      <c r="AA44" s="3173">
        <v>43</v>
      </c>
      <c r="AB44" s="3173" t="s">
        <v>4282</v>
      </c>
      <c r="AC44" s="3173"/>
      <c r="AD44" s="3173"/>
      <c r="AE44" s="3173" t="s">
        <v>4274</v>
      </c>
      <c r="AF44" s="3173" t="s">
        <v>4423</v>
      </c>
      <c r="AG44" s="3173">
        <v>42.72</v>
      </c>
      <c r="AH44" s="3173" t="s">
        <v>4296</v>
      </c>
      <c r="AI44" s="3173" t="s">
        <v>4282</v>
      </c>
      <c r="AJ44" s="3174">
        <v>45276</v>
      </c>
      <c r="AK44" s="3173" t="s">
        <v>4279</v>
      </c>
      <c r="AL44" s="3173" t="s">
        <v>4297</v>
      </c>
      <c r="AM44" s="3173" t="s">
        <v>4279</v>
      </c>
      <c r="AN44" s="3173" t="s">
        <v>4280</v>
      </c>
      <c r="AP44" s="3242">
        <f t="shared" ca="1" si="4"/>
        <v>5845</v>
      </c>
      <c r="AQ44" s="3242">
        <f t="shared" ca="1" si="1"/>
        <v>249698.4</v>
      </c>
      <c r="AS44" s="3173">
        <v>43</v>
      </c>
      <c r="AT44" s="3173" t="s">
        <v>4273</v>
      </c>
      <c r="AU44" s="3173"/>
      <c r="AV44" s="3173"/>
      <c r="AW44" s="3173" t="s">
        <v>4274</v>
      </c>
      <c r="AX44" s="3173" t="s">
        <v>4419</v>
      </c>
      <c r="AY44" s="3173">
        <v>50.34</v>
      </c>
      <c r="AZ44" s="3173" t="s">
        <v>4276</v>
      </c>
      <c r="BA44" s="3173"/>
      <c r="BB44" s="3174">
        <v>45276</v>
      </c>
      <c r="BC44" s="3173" t="s">
        <v>4277</v>
      </c>
      <c r="BD44" s="3173" t="s">
        <v>4278</v>
      </c>
      <c r="BE44" s="3173" t="s">
        <v>4279</v>
      </c>
      <c r="BF44" s="3173" t="s">
        <v>4280</v>
      </c>
      <c r="BG44" s="3180"/>
      <c r="BH44" s="3180">
        <f ca="1">'结果表-车位'!$G$20</f>
        <v>1850</v>
      </c>
      <c r="BI44" s="3224">
        <f t="shared" ca="1" si="2"/>
        <v>93129</v>
      </c>
    </row>
    <row r="45" spans="1:61" ht="54">
      <c r="A45" s="3224"/>
      <c r="C45" s="2814" t="s">
        <v>4296</v>
      </c>
      <c r="D45">
        <v>3082.8099999999981</v>
      </c>
      <c r="E45">
        <v>19039434.559999999</v>
      </c>
      <c r="F45">
        <f>GETPIVOTDATA("求和项:总价",$C$44,"用途","商务办公")/GETPIVOTDATA("求和项:建筑面积",$C$44,"用途","商务办公")</f>
        <v>6176.0000000000036</v>
      </c>
      <c r="G45" s="3224"/>
      <c r="H45" s="3224"/>
      <c r="I45" s="3173">
        <v>44</v>
      </c>
      <c r="J45" s="3173">
        <v>20240070009</v>
      </c>
      <c r="K45" s="3173"/>
      <c r="L45" s="3173"/>
      <c r="M45" s="3173" t="s">
        <v>4274</v>
      </c>
      <c r="N45" s="3173" t="s">
        <v>4424</v>
      </c>
      <c r="O45" s="3173">
        <v>39.32</v>
      </c>
      <c r="P45" s="3173" t="s">
        <v>4276</v>
      </c>
      <c r="Q45" s="3173"/>
      <c r="R45" s="3174">
        <v>45364</v>
      </c>
      <c r="S45" s="3173" t="s">
        <v>4277</v>
      </c>
      <c r="T45" s="3173" t="s">
        <v>4284</v>
      </c>
      <c r="U45" s="3173" t="s">
        <v>4279</v>
      </c>
      <c r="V45" s="3173" t="s">
        <v>4280</v>
      </c>
      <c r="X45" s="3242">
        <f ca="1">'结果表-车位'!$G$20</f>
        <v>1850</v>
      </c>
      <c r="Y45" s="3242">
        <f t="shared" ca="1" si="0"/>
        <v>72742</v>
      </c>
      <c r="AA45" s="3173">
        <v>44</v>
      </c>
      <c r="AB45" s="3173" t="s">
        <v>4282</v>
      </c>
      <c r="AC45" s="3173"/>
      <c r="AD45" s="3173"/>
      <c r="AE45" s="3173" t="s">
        <v>4274</v>
      </c>
      <c r="AF45" s="3173" t="s">
        <v>4426</v>
      </c>
      <c r="AG45" s="3173">
        <v>42.72</v>
      </c>
      <c r="AH45" s="3173" t="s">
        <v>4296</v>
      </c>
      <c r="AI45" s="3173" t="s">
        <v>4282</v>
      </c>
      <c r="AJ45" s="3174">
        <v>45276</v>
      </c>
      <c r="AK45" s="3173" t="s">
        <v>4279</v>
      </c>
      <c r="AL45" s="3173" t="s">
        <v>4297</v>
      </c>
      <c r="AM45" s="3173" t="s">
        <v>4279</v>
      </c>
      <c r="AN45" s="3173" t="s">
        <v>4280</v>
      </c>
      <c r="AP45" s="3242">
        <f t="shared" ca="1" si="4"/>
        <v>5845</v>
      </c>
      <c r="AQ45" s="3242">
        <f t="shared" ca="1" si="1"/>
        <v>249698.4</v>
      </c>
      <c r="AS45" s="3173">
        <v>44</v>
      </c>
      <c r="AT45" s="3173" t="s">
        <v>4273</v>
      </c>
      <c r="AU45" s="3173"/>
      <c r="AV45" s="3173"/>
      <c r="AW45" s="3173" t="s">
        <v>4274</v>
      </c>
      <c r="AX45" s="3173" t="s">
        <v>4422</v>
      </c>
      <c r="AY45" s="3173">
        <v>50.34</v>
      </c>
      <c r="AZ45" s="3173" t="s">
        <v>4276</v>
      </c>
      <c r="BA45" s="3173"/>
      <c r="BB45" s="3174">
        <v>45276</v>
      </c>
      <c r="BC45" s="3173" t="s">
        <v>4277</v>
      </c>
      <c r="BD45" s="3173" t="s">
        <v>4278</v>
      </c>
      <c r="BE45" s="3173" t="s">
        <v>4279</v>
      </c>
      <c r="BF45" s="3173" t="s">
        <v>4280</v>
      </c>
      <c r="BG45" s="3180"/>
      <c r="BH45" s="3180">
        <f ca="1">'结果表-车位'!$G$20</f>
        <v>1850</v>
      </c>
      <c r="BI45" s="3224">
        <f t="shared" ca="1" si="2"/>
        <v>93129</v>
      </c>
    </row>
    <row r="46" spans="1:61" ht="54">
      <c r="A46" s="3224"/>
      <c r="C46" s="2814" t="s">
        <v>672</v>
      </c>
      <c r="D46">
        <v>200.76</v>
      </c>
      <c r="E46">
        <v>2538061.92</v>
      </c>
      <c r="F46">
        <f>GETPIVOTDATA("求和项:总价",$C$44,"用途","商业")/GETPIVOTDATA("求和项:建筑面积",$C$44,"用途","商业")</f>
        <v>12642.268977884041</v>
      </c>
      <c r="G46" s="3224"/>
      <c r="H46" s="3224"/>
      <c r="I46" s="3173">
        <v>45</v>
      </c>
      <c r="J46" s="3173">
        <v>20240070009</v>
      </c>
      <c r="K46" s="3173"/>
      <c r="L46" s="3173"/>
      <c r="M46" s="3173" t="s">
        <v>4274</v>
      </c>
      <c r="N46" s="3173" t="s">
        <v>4427</v>
      </c>
      <c r="O46" s="3173">
        <v>39.32</v>
      </c>
      <c r="P46" s="3173" t="s">
        <v>4276</v>
      </c>
      <c r="Q46" s="3173"/>
      <c r="R46" s="3174">
        <v>45364</v>
      </c>
      <c r="S46" s="3173" t="s">
        <v>4277</v>
      </c>
      <c r="T46" s="3173" t="s">
        <v>4284</v>
      </c>
      <c r="U46" s="3173" t="s">
        <v>4279</v>
      </c>
      <c r="V46" s="3173" t="s">
        <v>4280</v>
      </c>
      <c r="X46" s="3242">
        <f ca="1">'结果表-车位'!$G$20</f>
        <v>1850</v>
      </c>
      <c r="Y46" s="3242">
        <f t="shared" ca="1" si="0"/>
        <v>72742</v>
      </c>
      <c r="AA46" s="3173">
        <v>45</v>
      </c>
      <c r="AB46" s="3173" t="s">
        <v>4282</v>
      </c>
      <c r="AC46" s="3173"/>
      <c r="AD46" s="3173"/>
      <c r="AE46" s="3173" t="s">
        <v>4274</v>
      </c>
      <c r="AF46" s="3173" t="s">
        <v>4429</v>
      </c>
      <c r="AG46" s="3173">
        <v>44.57</v>
      </c>
      <c r="AH46" s="3173" t="s">
        <v>4296</v>
      </c>
      <c r="AI46" s="3173" t="s">
        <v>4282</v>
      </c>
      <c r="AJ46" s="3174">
        <v>45276</v>
      </c>
      <c r="AK46" s="3173" t="s">
        <v>4277</v>
      </c>
      <c r="AL46" s="3173" t="s">
        <v>4297</v>
      </c>
      <c r="AM46" s="3173" t="s">
        <v>4279</v>
      </c>
      <c r="AN46" s="3173" t="s">
        <v>4280</v>
      </c>
      <c r="AP46" s="3242">
        <f t="shared" ca="1" si="4"/>
        <v>5845</v>
      </c>
      <c r="AQ46" s="3242">
        <f t="shared" ca="1" si="1"/>
        <v>260511.65</v>
      </c>
      <c r="AS46" s="3173">
        <v>45</v>
      </c>
      <c r="AT46" s="3173" t="s">
        <v>4273</v>
      </c>
      <c r="AU46" s="3173"/>
      <c r="AV46" s="3173"/>
      <c r="AW46" s="3173" t="s">
        <v>4274</v>
      </c>
      <c r="AX46" s="3173" t="s">
        <v>4425</v>
      </c>
      <c r="AY46" s="3173">
        <v>50.34</v>
      </c>
      <c r="AZ46" s="3173" t="s">
        <v>4276</v>
      </c>
      <c r="BA46" s="3173"/>
      <c r="BB46" s="3174">
        <v>45276</v>
      </c>
      <c r="BC46" s="3173" t="s">
        <v>4277</v>
      </c>
      <c r="BD46" s="3173" t="s">
        <v>4278</v>
      </c>
      <c r="BE46" s="3173" t="s">
        <v>4279</v>
      </c>
      <c r="BF46" s="3173" t="s">
        <v>4280</v>
      </c>
      <c r="BG46" s="3180"/>
      <c r="BH46" s="3180">
        <f ca="1">'结果表-车位'!$G$20</f>
        <v>1850</v>
      </c>
      <c r="BI46" s="3224">
        <f t="shared" ca="1" si="2"/>
        <v>93129</v>
      </c>
    </row>
    <row r="47" spans="1:61" ht="54">
      <c r="A47" s="3224"/>
      <c r="C47" s="2814" t="s">
        <v>4940</v>
      </c>
      <c r="D47">
        <v>3283.5699999999979</v>
      </c>
      <c r="E47">
        <v>21577496.479999997</v>
      </c>
      <c r="G47" s="3224"/>
      <c r="H47" s="3224"/>
      <c r="I47" s="3173">
        <v>46</v>
      </c>
      <c r="J47" s="3173">
        <v>20240070009</v>
      </c>
      <c r="K47" s="3173"/>
      <c r="L47" s="3173"/>
      <c r="M47" s="3173" t="s">
        <v>4274</v>
      </c>
      <c r="N47" s="3173" t="s">
        <v>4430</v>
      </c>
      <c r="O47" s="3173">
        <v>39.32</v>
      </c>
      <c r="P47" s="3173" t="s">
        <v>4276</v>
      </c>
      <c r="Q47" s="3173"/>
      <c r="R47" s="3174">
        <v>45364</v>
      </c>
      <c r="S47" s="3173" t="s">
        <v>4277</v>
      </c>
      <c r="T47" s="3173" t="s">
        <v>4284</v>
      </c>
      <c r="U47" s="3173" t="s">
        <v>4279</v>
      </c>
      <c r="V47" s="3173" t="s">
        <v>4280</v>
      </c>
      <c r="X47" s="3242">
        <f ca="1">'结果表-车位'!$G$20</f>
        <v>1850</v>
      </c>
      <c r="Y47" s="3242">
        <f t="shared" ca="1" si="0"/>
        <v>72742</v>
      </c>
      <c r="AA47" s="3173">
        <v>46</v>
      </c>
      <c r="AB47" s="3173" t="s">
        <v>4282</v>
      </c>
      <c r="AC47" s="3173"/>
      <c r="AD47" s="3173"/>
      <c r="AE47" s="3173" t="s">
        <v>4274</v>
      </c>
      <c r="AF47" s="3173" t="s">
        <v>4432</v>
      </c>
      <c r="AG47" s="3173">
        <v>44.67</v>
      </c>
      <c r="AH47" s="3173" t="s">
        <v>4296</v>
      </c>
      <c r="AI47" s="3173" t="s">
        <v>4282</v>
      </c>
      <c r="AJ47" s="3174">
        <v>45276</v>
      </c>
      <c r="AK47" s="3173" t="s">
        <v>4279</v>
      </c>
      <c r="AL47" s="3173" t="s">
        <v>4297</v>
      </c>
      <c r="AM47" s="3173" t="s">
        <v>4279</v>
      </c>
      <c r="AN47" s="3173" t="s">
        <v>4280</v>
      </c>
      <c r="AP47" s="3242">
        <f t="shared" ca="1" si="4"/>
        <v>5845</v>
      </c>
      <c r="AQ47" s="3242">
        <f t="shared" ca="1" si="1"/>
        <v>261096.15000000002</v>
      </c>
      <c r="AS47" s="3173">
        <v>46</v>
      </c>
      <c r="AT47" s="3173" t="s">
        <v>4273</v>
      </c>
      <c r="AU47" s="3173"/>
      <c r="AV47" s="3173"/>
      <c r="AW47" s="3173" t="s">
        <v>4274</v>
      </c>
      <c r="AX47" s="3173" t="s">
        <v>4428</v>
      </c>
      <c r="AY47" s="3173">
        <v>50.34</v>
      </c>
      <c r="AZ47" s="3173" t="s">
        <v>4276</v>
      </c>
      <c r="BA47" s="3173"/>
      <c r="BB47" s="3174">
        <v>45276</v>
      </c>
      <c r="BC47" s="3173" t="s">
        <v>4277</v>
      </c>
      <c r="BD47" s="3173" t="s">
        <v>4278</v>
      </c>
      <c r="BE47" s="3173" t="s">
        <v>4279</v>
      </c>
      <c r="BF47" s="3173" t="s">
        <v>4280</v>
      </c>
      <c r="BG47" s="3180"/>
      <c r="BH47" s="3180">
        <f ca="1">'结果表-车位'!$G$20</f>
        <v>1850</v>
      </c>
      <c r="BI47" s="3224">
        <f t="shared" ca="1" si="2"/>
        <v>93129</v>
      </c>
    </row>
    <row r="48" spans="1:61" ht="54">
      <c r="A48" s="3224"/>
      <c r="E48" s="3224"/>
      <c r="G48" s="3224"/>
      <c r="H48" s="3224"/>
      <c r="I48" s="3173">
        <v>47</v>
      </c>
      <c r="J48" s="3173">
        <v>20240070009</v>
      </c>
      <c r="K48" s="3173"/>
      <c r="L48" s="3173"/>
      <c r="M48" s="3173" t="s">
        <v>4274</v>
      </c>
      <c r="N48" s="3173" t="s">
        <v>4433</v>
      </c>
      <c r="O48" s="3173">
        <v>39.32</v>
      </c>
      <c r="P48" s="3173" t="s">
        <v>4276</v>
      </c>
      <c r="Q48" s="3173"/>
      <c r="R48" s="3174">
        <v>45364</v>
      </c>
      <c r="S48" s="3173" t="s">
        <v>4277</v>
      </c>
      <c r="T48" s="3173" t="s">
        <v>4284</v>
      </c>
      <c r="U48" s="3173" t="s">
        <v>4279</v>
      </c>
      <c r="V48" s="3173" t="s">
        <v>4280</v>
      </c>
      <c r="X48" s="3242">
        <f ca="1">'结果表-车位'!$G$20</f>
        <v>1850</v>
      </c>
      <c r="Y48" s="3242">
        <f t="shared" ca="1" si="0"/>
        <v>72742</v>
      </c>
      <c r="AA48" s="3173">
        <v>47</v>
      </c>
      <c r="AB48" s="3173" t="s">
        <v>4282</v>
      </c>
      <c r="AC48" s="3173"/>
      <c r="AD48" s="3173"/>
      <c r="AE48" s="3173" t="s">
        <v>4274</v>
      </c>
      <c r="AF48" s="3173" t="s">
        <v>4435</v>
      </c>
      <c r="AG48" s="3173">
        <v>42.72</v>
      </c>
      <c r="AH48" s="3173" t="s">
        <v>4296</v>
      </c>
      <c r="AI48" s="3173" t="s">
        <v>4282</v>
      </c>
      <c r="AJ48" s="3174">
        <v>45276</v>
      </c>
      <c r="AK48" s="3173" t="s">
        <v>4279</v>
      </c>
      <c r="AL48" s="3173" t="s">
        <v>4297</v>
      </c>
      <c r="AM48" s="3173" t="s">
        <v>4279</v>
      </c>
      <c r="AN48" s="3173" t="s">
        <v>4280</v>
      </c>
      <c r="AP48" s="3242">
        <f t="shared" ca="1" si="4"/>
        <v>5845</v>
      </c>
      <c r="AQ48" s="3242">
        <f t="shared" ca="1" si="1"/>
        <v>249698.4</v>
      </c>
      <c r="AS48" s="3173">
        <v>47</v>
      </c>
      <c r="AT48" s="3173" t="s">
        <v>4273</v>
      </c>
      <c r="AU48" s="3173"/>
      <c r="AV48" s="3173"/>
      <c r="AW48" s="3173" t="s">
        <v>4274</v>
      </c>
      <c r="AX48" s="3173" t="s">
        <v>4431</v>
      </c>
      <c r="AY48" s="3173">
        <v>49.3</v>
      </c>
      <c r="AZ48" s="3173" t="s">
        <v>4276</v>
      </c>
      <c r="BA48" s="3173"/>
      <c r="BB48" s="3174">
        <v>45276</v>
      </c>
      <c r="BC48" s="3173" t="s">
        <v>4277</v>
      </c>
      <c r="BD48" s="3173" t="s">
        <v>4278</v>
      </c>
      <c r="BE48" s="3173" t="s">
        <v>4279</v>
      </c>
      <c r="BF48" s="3173" t="s">
        <v>4280</v>
      </c>
      <c r="BG48" s="3180"/>
      <c r="BH48" s="3180">
        <f ca="1">'结果表-车位'!$G$20</f>
        <v>1850</v>
      </c>
      <c r="BI48" s="3224">
        <f t="shared" ca="1" si="2"/>
        <v>91205</v>
      </c>
    </row>
    <row r="49" spans="1:61" ht="54">
      <c r="A49" s="3224"/>
      <c r="B49" s="1405" t="s">
        <v>4281</v>
      </c>
      <c r="C49" s="3231" t="s">
        <v>4939</v>
      </c>
      <c r="D49" t="s">
        <v>4941</v>
      </c>
      <c r="E49" t="s">
        <v>4950</v>
      </c>
      <c r="G49" s="3224"/>
      <c r="H49" s="3224"/>
      <c r="I49" s="3173">
        <v>48</v>
      </c>
      <c r="J49" s="3173">
        <v>20240070009</v>
      </c>
      <c r="K49" s="3173"/>
      <c r="L49" s="3173"/>
      <c r="M49" s="3173" t="s">
        <v>4274</v>
      </c>
      <c r="N49" s="3173" t="s">
        <v>4436</v>
      </c>
      <c r="O49" s="3173">
        <v>39.32</v>
      </c>
      <c r="P49" s="3173" t="s">
        <v>4276</v>
      </c>
      <c r="Q49" s="3173"/>
      <c r="R49" s="3174">
        <v>45364</v>
      </c>
      <c r="S49" s="3173" t="s">
        <v>4277</v>
      </c>
      <c r="T49" s="3173" t="s">
        <v>4284</v>
      </c>
      <c r="U49" s="3173" t="s">
        <v>4279</v>
      </c>
      <c r="V49" s="3173" t="s">
        <v>4280</v>
      </c>
      <c r="X49" s="3242">
        <f ca="1">'结果表-车位'!$G$20</f>
        <v>1850</v>
      </c>
      <c r="Y49" s="3242">
        <f t="shared" ca="1" si="0"/>
        <v>72742</v>
      </c>
      <c r="AA49" s="3173">
        <v>48</v>
      </c>
      <c r="AB49" s="3173" t="s">
        <v>4282</v>
      </c>
      <c r="AC49" s="3173"/>
      <c r="AD49" s="3173"/>
      <c r="AE49" s="3173" t="s">
        <v>4274</v>
      </c>
      <c r="AF49" s="3173" t="s">
        <v>4438</v>
      </c>
      <c r="AG49" s="3173">
        <v>42.72</v>
      </c>
      <c r="AH49" s="3173" t="s">
        <v>4296</v>
      </c>
      <c r="AI49" s="3173" t="s">
        <v>4282</v>
      </c>
      <c r="AJ49" s="3174">
        <v>45276</v>
      </c>
      <c r="AK49" s="3173" t="s">
        <v>4277</v>
      </c>
      <c r="AL49" s="3173" t="s">
        <v>4288</v>
      </c>
      <c r="AM49" s="3173" t="s">
        <v>4279</v>
      </c>
      <c r="AN49" s="3173" t="s">
        <v>4280</v>
      </c>
      <c r="AP49" s="3242">
        <f t="shared" ca="1" si="4"/>
        <v>5845</v>
      </c>
      <c r="AQ49" s="3242">
        <f t="shared" ca="1" si="1"/>
        <v>249698.4</v>
      </c>
      <c r="AS49" s="3173">
        <v>48</v>
      </c>
      <c r="AT49" s="3173" t="s">
        <v>4273</v>
      </c>
      <c r="AU49" s="3173"/>
      <c r="AV49" s="3173"/>
      <c r="AW49" s="3173" t="s">
        <v>4274</v>
      </c>
      <c r="AX49" s="3173" t="s">
        <v>4434</v>
      </c>
      <c r="AY49" s="3173">
        <v>50.34</v>
      </c>
      <c r="AZ49" s="3173" t="s">
        <v>4276</v>
      </c>
      <c r="BA49" s="3173"/>
      <c r="BB49" s="3174">
        <v>45276</v>
      </c>
      <c r="BC49" s="3173" t="s">
        <v>4277</v>
      </c>
      <c r="BD49" s="3173" t="s">
        <v>4278</v>
      </c>
      <c r="BE49" s="3173" t="s">
        <v>4279</v>
      </c>
      <c r="BF49" s="3173" t="s">
        <v>4280</v>
      </c>
      <c r="BG49" s="3180"/>
      <c r="BH49" s="3180">
        <f ca="1">'结果表-车位'!$G$20</f>
        <v>1850</v>
      </c>
      <c r="BI49" s="3224">
        <f t="shared" ca="1" si="2"/>
        <v>93129</v>
      </c>
    </row>
    <row r="50" spans="1:61" ht="54">
      <c r="A50" s="3224"/>
      <c r="C50" s="2814" t="s">
        <v>672</v>
      </c>
      <c r="D50">
        <v>1806.4400000000005</v>
      </c>
      <c r="E50">
        <v>12005446.560000002</v>
      </c>
      <c r="F50">
        <f>GETPIVOTDATA("求和项:总价",$C$49,"用途","商业")/GETPIVOTDATA("求和项:建筑面积",$C$49,"用途","商业")</f>
        <v>6645.9149265959559</v>
      </c>
      <c r="G50" s="3224"/>
      <c r="H50" s="3224"/>
      <c r="I50" s="3173">
        <v>49</v>
      </c>
      <c r="J50" s="3173">
        <v>20240070009</v>
      </c>
      <c r="K50" s="3173"/>
      <c r="L50" s="3173"/>
      <c r="M50" s="3173" t="s">
        <v>4274</v>
      </c>
      <c r="N50" s="3173" t="s">
        <v>4439</v>
      </c>
      <c r="O50" s="3173">
        <v>39.32</v>
      </c>
      <c r="P50" s="3173" t="s">
        <v>4276</v>
      </c>
      <c r="Q50" s="3173"/>
      <c r="R50" s="3174">
        <v>45364</v>
      </c>
      <c r="S50" s="3173" t="s">
        <v>4277</v>
      </c>
      <c r="T50" s="3173" t="s">
        <v>4284</v>
      </c>
      <c r="U50" s="3173" t="s">
        <v>4279</v>
      </c>
      <c r="V50" s="3173" t="s">
        <v>4280</v>
      </c>
      <c r="X50" s="3242">
        <f ca="1">'结果表-车位'!$G$20</f>
        <v>1850</v>
      </c>
      <c r="Y50" s="3242">
        <f t="shared" ca="1" si="0"/>
        <v>72742</v>
      </c>
      <c r="AA50" s="3173">
        <v>49</v>
      </c>
      <c r="AB50" s="3173" t="s">
        <v>4282</v>
      </c>
      <c r="AC50" s="3173"/>
      <c r="AD50" s="3173"/>
      <c r="AE50" s="3173" t="s">
        <v>4274</v>
      </c>
      <c r="AF50" s="3173" t="s">
        <v>4441</v>
      </c>
      <c r="AG50" s="3173">
        <v>42.72</v>
      </c>
      <c r="AH50" s="3173" t="s">
        <v>4296</v>
      </c>
      <c r="AI50" s="3173" t="s">
        <v>4282</v>
      </c>
      <c r="AJ50" s="3174">
        <v>45276</v>
      </c>
      <c r="AK50" s="3173" t="s">
        <v>4277</v>
      </c>
      <c r="AL50" s="3173" t="s">
        <v>4288</v>
      </c>
      <c r="AM50" s="3173" t="s">
        <v>4279</v>
      </c>
      <c r="AN50" s="3173" t="s">
        <v>4280</v>
      </c>
      <c r="AP50" s="3242">
        <f t="shared" ca="1" si="4"/>
        <v>5845</v>
      </c>
      <c r="AQ50" s="3242">
        <f t="shared" ca="1" si="1"/>
        <v>249698.4</v>
      </c>
      <c r="AS50" s="3173">
        <v>49</v>
      </c>
      <c r="AT50" s="3173" t="s">
        <v>4273</v>
      </c>
      <c r="AU50" s="3173"/>
      <c r="AV50" s="3173"/>
      <c r="AW50" s="3173" t="s">
        <v>4274</v>
      </c>
      <c r="AX50" s="3173" t="s">
        <v>4437</v>
      </c>
      <c r="AY50" s="3173">
        <v>49.3</v>
      </c>
      <c r="AZ50" s="3173" t="s">
        <v>4276</v>
      </c>
      <c r="BA50" s="3173"/>
      <c r="BB50" s="3174">
        <v>45276</v>
      </c>
      <c r="BC50" s="3173" t="s">
        <v>4277</v>
      </c>
      <c r="BD50" s="3173" t="s">
        <v>4278</v>
      </c>
      <c r="BE50" s="3173" t="s">
        <v>4279</v>
      </c>
      <c r="BF50" s="3173" t="s">
        <v>4280</v>
      </c>
      <c r="BG50" s="3180"/>
      <c r="BH50" s="3180">
        <f ca="1">'结果表-车位'!$G$20</f>
        <v>1850</v>
      </c>
      <c r="BI50" s="3224">
        <f t="shared" ca="1" si="2"/>
        <v>91205</v>
      </c>
    </row>
    <row r="51" spans="1:61" ht="54">
      <c r="A51" s="3224"/>
      <c r="C51" s="2814" t="s">
        <v>4276</v>
      </c>
      <c r="D51">
        <v>2814.880000000001</v>
      </c>
      <c r="E51">
        <v>6778231.0399999982</v>
      </c>
      <c r="F51">
        <f>GETPIVOTDATA("求和项:总价",$C$49,"用途","停车位")/GETPIVOTDATA("求和项:建筑面积",$C$49,"用途","停车位")</f>
        <v>2407.9999999999986</v>
      </c>
      <c r="G51" s="3224"/>
      <c r="H51" s="3224"/>
      <c r="I51" s="3173">
        <v>50</v>
      </c>
      <c r="J51" s="3173">
        <v>20240070009</v>
      </c>
      <c r="K51" s="3173"/>
      <c r="L51" s="3173"/>
      <c r="M51" s="3173" t="s">
        <v>4274</v>
      </c>
      <c r="N51" s="3173" t="s">
        <v>4442</v>
      </c>
      <c r="O51" s="3173">
        <v>39.32</v>
      </c>
      <c r="P51" s="3173" t="s">
        <v>4276</v>
      </c>
      <c r="Q51" s="3173"/>
      <c r="R51" s="3174">
        <v>45364</v>
      </c>
      <c r="S51" s="3173" t="s">
        <v>4277</v>
      </c>
      <c r="T51" s="3173" t="s">
        <v>4278</v>
      </c>
      <c r="U51" s="3173" t="s">
        <v>4279</v>
      </c>
      <c r="V51" s="3173" t="s">
        <v>4280</v>
      </c>
      <c r="X51" s="3242">
        <f ca="1">'结果表-车位'!$G$20</f>
        <v>1850</v>
      </c>
      <c r="Y51" s="3242">
        <f t="shared" ca="1" si="0"/>
        <v>72742</v>
      </c>
      <c r="AA51" s="3173">
        <v>50</v>
      </c>
      <c r="AB51" s="3173" t="s">
        <v>4282</v>
      </c>
      <c r="AC51" s="3173"/>
      <c r="AD51" s="3173"/>
      <c r="AE51" s="3173" t="s">
        <v>4274</v>
      </c>
      <c r="AF51" s="3173" t="s">
        <v>4444</v>
      </c>
      <c r="AG51" s="3173">
        <v>42.72</v>
      </c>
      <c r="AH51" s="3173" t="s">
        <v>4296</v>
      </c>
      <c r="AI51" s="3173" t="s">
        <v>4282</v>
      </c>
      <c r="AJ51" s="3174">
        <v>45276</v>
      </c>
      <c r="AK51" s="3173" t="s">
        <v>4279</v>
      </c>
      <c r="AL51" s="3173" t="s">
        <v>4297</v>
      </c>
      <c r="AM51" s="3173" t="s">
        <v>4279</v>
      </c>
      <c r="AN51" s="3173" t="s">
        <v>4280</v>
      </c>
      <c r="AP51" s="3242">
        <f t="shared" ca="1" si="4"/>
        <v>5845</v>
      </c>
      <c r="AQ51" s="3242">
        <f t="shared" ca="1" si="1"/>
        <v>249698.4</v>
      </c>
      <c r="AS51" s="3173">
        <v>50</v>
      </c>
      <c r="AT51" s="3173" t="s">
        <v>4273</v>
      </c>
      <c r="AU51" s="3173"/>
      <c r="AV51" s="3173"/>
      <c r="AW51" s="3173" t="s">
        <v>4274</v>
      </c>
      <c r="AX51" s="3173" t="s">
        <v>4440</v>
      </c>
      <c r="AY51" s="3173">
        <v>50.34</v>
      </c>
      <c r="AZ51" s="3173" t="s">
        <v>4276</v>
      </c>
      <c r="BA51" s="3173"/>
      <c r="BB51" s="3174">
        <v>45276</v>
      </c>
      <c r="BC51" s="3173" t="s">
        <v>4277</v>
      </c>
      <c r="BD51" s="3173" t="s">
        <v>4278</v>
      </c>
      <c r="BE51" s="3173" t="s">
        <v>4279</v>
      </c>
      <c r="BF51" s="3173" t="s">
        <v>4280</v>
      </c>
      <c r="BG51" s="3180"/>
      <c r="BH51" s="3180">
        <f ca="1">'结果表-车位'!$G$20</f>
        <v>1850</v>
      </c>
      <c r="BI51" s="3224">
        <f t="shared" ca="1" si="2"/>
        <v>93129</v>
      </c>
    </row>
    <row r="52" spans="1:61" ht="54">
      <c r="A52" s="3224"/>
      <c r="C52" s="2814" t="s">
        <v>4940</v>
      </c>
      <c r="D52">
        <v>4621.3200000000015</v>
      </c>
      <c r="E52">
        <v>18783677.600000001</v>
      </c>
      <c r="G52" s="3224"/>
      <c r="H52" s="3224"/>
      <c r="I52" s="3173">
        <v>51</v>
      </c>
      <c r="J52" s="3173">
        <v>20240070009</v>
      </c>
      <c r="K52" s="3173"/>
      <c r="L52" s="3173"/>
      <c r="M52" s="3173" t="s">
        <v>4274</v>
      </c>
      <c r="N52" s="3173" t="s">
        <v>4445</v>
      </c>
      <c r="O52" s="3173">
        <v>39.32</v>
      </c>
      <c r="P52" s="3173" t="s">
        <v>4276</v>
      </c>
      <c r="Q52" s="3173"/>
      <c r="R52" s="3174">
        <v>45364</v>
      </c>
      <c r="S52" s="3173" t="s">
        <v>4277</v>
      </c>
      <c r="T52" s="3173" t="s">
        <v>4278</v>
      </c>
      <c r="U52" s="3173" t="s">
        <v>4279</v>
      </c>
      <c r="V52" s="3173" t="s">
        <v>4280</v>
      </c>
      <c r="X52" s="3242">
        <f ca="1">'结果表-车位'!$G$20</f>
        <v>1850</v>
      </c>
      <c r="Y52" s="3242">
        <f t="shared" ca="1" si="0"/>
        <v>72742</v>
      </c>
      <c r="AA52" s="3173">
        <v>51</v>
      </c>
      <c r="AB52" s="3173" t="s">
        <v>4282</v>
      </c>
      <c r="AC52" s="3173"/>
      <c r="AD52" s="3173"/>
      <c r="AE52" s="3173" t="s">
        <v>4274</v>
      </c>
      <c r="AF52" s="3173" t="s">
        <v>4447</v>
      </c>
      <c r="AG52" s="3173">
        <v>42.72</v>
      </c>
      <c r="AH52" s="3173" t="s">
        <v>4296</v>
      </c>
      <c r="AI52" s="3173" t="s">
        <v>4282</v>
      </c>
      <c r="AJ52" s="3174">
        <v>45276</v>
      </c>
      <c r="AK52" s="3173" t="s">
        <v>4279</v>
      </c>
      <c r="AL52" s="3173" t="s">
        <v>4297</v>
      </c>
      <c r="AM52" s="3173" t="s">
        <v>4279</v>
      </c>
      <c r="AN52" s="3173" t="s">
        <v>4280</v>
      </c>
      <c r="AP52" s="3242">
        <f t="shared" ca="1" si="4"/>
        <v>5845</v>
      </c>
      <c r="AQ52" s="3242">
        <f t="shared" ca="1" si="1"/>
        <v>249698.4</v>
      </c>
      <c r="AS52" s="3173">
        <v>51</v>
      </c>
      <c r="AT52" s="3173" t="s">
        <v>4273</v>
      </c>
      <c r="AU52" s="3173"/>
      <c r="AV52" s="3173"/>
      <c r="AW52" s="3173" t="s">
        <v>4274</v>
      </c>
      <c r="AX52" s="3173" t="s">
        <v>4443</v>
      </c>
      <c r="AY52" s="3173">
        <v>50.34</v>
      </c>
      <c r="AZ52" s="3173" t="s">
        <v>4276</v>
      </c>
      <c r="BA52" s="3173"/>
      <c r="BB52" s="3174">
        <v>45276</v>
      </c>
      <c r="BC52" s="3173" t="s">
        <v>4277</v>
      </c>
      <c r="BD52" s="3173" t="s">
        <v>4278</v>
      </c>
      <c r="BE52" s="3173" t="s">
        <v>4279</v>
      </c>
      <c r="BF52" s="3173" t="s">
        <v>4280</v>
      </c>
      <c r="BG52" s="3180"/>
      <c r="BH52" s="3180">
        <f ca="1">'结果表-车位'!$G$20</f>
        <v>1850</v>
      </c>
      <c r="BI52" s="3224">
        <f t="shared" ca="1" si="2"/>
        <v>93129</v>
      </c>
    </row>
    <row r="53" spans="1:61" ht="54">
      <c r="A53" s="3224"/>
      <c r="G53" s="3224"/>
      <c r="H53" s="3224"/>
      <c r="I53" s="3173">
        <v>52</v>
      </c>
      <c r="J53" s="3173">
        <v>20240070009</v>
      </c>
      <c r="K53" s="3173"/>
      <c r="L53" s="3173"/>
      <c r="M53" s="3173" t="s">
        <v>4274</v>
      </c>
      <c r="N53" s="3173" t="s">
        <v>4448</v>
      </c>
      <c r="O53" s="3173">
        <v>39.32</v>
      </c>
      <c r="P53" s="3173" t="s">
        <v>4276</v>
      </c>
      <c r="Q53" s="3173"/>
      <c r="R53" s="3174">
        <v>45364</v>
      </c>
      <c r="S53" s="3173" t="s">
        <v>4277</v>
      </c>
      <c r="T53" s="3173" t="s">
        <v>4278</v>
      </c>
      <c r="U53" s="3173" t="s">
        <v>4279</v>
      </c>
      <c r="V53" s="3173" t="s">
        <v>4280</v>
      </c>
      <c r="X53" s="3242">
        <f ca="1">'结果表-车位'!$G$20</f>
        <v>1850</v>
      </c>
      <c r="Y53" s="3242">
        <f t="shared" ca="1" si="0"/>
        <v>72742</v>
      </c>
      <c r="AA53" s="3173">
        <v>52</v>
      </c>
      <c r="AB53" s="3173" t="s">
        <v>4282</v>
      </c>
      <c r="AC53" s="3173"/>
      <c r="AD53" s="3173"/>
      <c r="AE53" s="3173" t="s">
        <v>4274</v>
      </c>
      <c r="AF53" s="3173" t="s">
        <v>4450</v>
      </c>
      <c r="AG53" s="3173">
        <v>66.12</v>
      </c>
      <c r="AH53" s="3173" t="s">
        <v>4296</v>
      </c>
      <c r="AI53" s="3173" t="s">
        <v>4282</v>
      </c>
      <c r="AJ53" s="3174">
        <v>45276</v>
      </c>
      <c r="AK53" s="3173" t="s">
        <v>4279</v>
      </c>
      <c r="AL53" s="3173" t="s">
        <v>4297</v>
      </c>
      <c r="AM53" s="3173" t="s">
        <v>4279</v>
      </c>
      <c r="AN53" s="3173" t="s">
        <v>4280</v>
      </c>
      <c r="AP53" s="3242">
        <f t="shared" ca="1" si="4"/>
        <v>5845</v>
      </c>
      <c r="AQ53" s="3242">
        <f t="shared" ca="1" si="1"/>
        <v>386471.4</v>
      </c>
      <c r="AS53" s="3173">
        <v>52</v>
      </c>
      <c r="AT53" s="3173" t="s">
        <v>4273</v>
      </c>
      <c r="AU53" s="3173"/>
      <c r="AV53" s="3173"/>
      <c r="AW53" s="3173" t="s">
        <v>4274</v>
      </c>
      <c r="AX53" s="3173" t="s">
        <v>4446</v>
      </c>
      <c r="AY53" s="3173">
        <v>50.34</v>
      </c>
      <c r="AZ53" s="3173" t="s">
        <v>4276</v>
      </c>
      <c r="BA53" s="3173"/>
      <c r="BB53" s="3174">
        <v>45276</v>
      </c>
      <c r="BC53" s="3173" t="s">
        <v>4277</v>
      </c>
      <c r="BD53" s="3173" t="s">
        <v>4278</v>
      </c>
      <c r="BE53" s="3173" t="s">
        <v>4279</v>
      </c>
      <c r="BF53" s="3173" t="s">
        <v>4280</v>
      </c>
      <c r="BG53" s="3180"/>
      <c r="BH53" s="3180">
        <f ca="1">'结果表-车位'!$G$20</f>
        <v>1850</v>
      </c>
      <c r="BI53" s="3224">
        <f t="shared" ca="1" si="2"/>
        <v>93129</v>
      </c>
    </row>
    <row r="54" spans="1:61" ht="54">
      <c r="A54" s="3224"/>
      <c r="F54" s="3224"/>
      <c r="G54" s="3224"/>
      <c r="H54" s="3224"/>
      <c r="I54" s="3173">
        <v>53</v>
      </c>
      <c r="J54" s="3173">
        <v>20240070009</v>
      </c>
      <c r="K54" s="3173"/>
      <c r="L54" s="3173"/>
      <c r="M54" s="3173" t="s">
        <v>4274</v>
      </c>
      <c r="N54" s="3173" t="s">
        <v>4451</v>
      </c>
      <c r="O54" s="3173">
        <v>39.32</v>
      </c>
      <c r="P54" s="3173" t="s">
        <v>4276</v>
      </c>
      <c r="Q54" s="3173"/>
      <c r="R54" s="3174">
        <v>45364</v>
      </c>
      <c r="S54" s="3173" t="s">
        <v>4277</v>
      </c>
      <c r="T54" s="3173" t="s">
        <v>4284</v>
      </c>
      <c r="U54" s="3173" t="s">
        <v>4279</v>
      </c>
      <c r="V54" s="3173" t="s">
        <v>4280</v>
      </c>
      <c r="X54" s="3242">
        <f ca="1">'结果表-车位'!$G$20</f>
        <v>1850</v>
      </c>
      <c r="Y54" s="3242">
        <f t="shared" ca="1" si="0"/>
        <v>72742</v>
      </c>
      <c r="AA54" s="3173">
        <v>53</v>
      </c>
      <c r="AB54" s="3173" t="s">
        <v>4282</v>
      </c>
      <c r="AC54" s="3173"/>
      <c r="AD54" s="3173"/>
      <c r="AE54" s="3173" t="s">
        <v>4274</v>
      </c>
      <c r="AF54" s="3173" t="s">
        <v>4453</v>
      </c>
      <c r="AG54" s="3173">
        <v>44.67</v>
      </c>
      <c r="AH54" s="3173" t="s">
        <v>4296</v>
      </c>
      <c r="AI54" s="3173" t="s">
        <v>4282</v>
      </c>
      <c r="AJ54" s="3174">
        <v>45276</v>
      </c>
      <c r="AK54" s="3173" t="s">
        <v>4279</v>
      </c>
      <c r="AL54" s="3173" t="s">
        <v>4297</v>
      </c>
      <c r="AM54" s="3173" t="s">
        <v>4279</v>
      </c>
      <c r="AN54" s="3173" t="s">
        <v>4280</v>
      </c>
      <c r="AP54" s="3242">
        <f t="shared" ca="1" si="4"/>
        <v>5845</v>
      </c>
      <c r="AQ54" s="3242">
        <f t="shared" ca="1" si="1"/>
        <v>261096.15000000002</v>
      </c>
      <c r="AS54" s="3173">
        <v>53</v>
      </c>
      <c r="AT54" s="3173" t="s">
        <v>4273</v>
      </c>
      <c r="AU54" s="3173"/>
      <c r="AV54" s="3173"/>
      <c r="AW54" s="3173" t="s">
        <v>4274</v>
      </c>
      <c r="AX54" s="3173" t="s">
        <v>4449</v>
      </c>
      <c r="AY54" s="3173">
        <v>50.34</v>
      </c>
      <c r="AZ54" s="3173" t="s">
        <v>4276</v>
      </c>
      <c r="BA54" s="3173"/>
      <c r="BB54" s="3174">
        <v>45276</v>
      </c>
      <c r="BC54" s="3173" t="s">
        <v>4277</v>
      </c>
      <c r="BD54" s="3173" t="s">
        <v>4278</v>
      </c>
      <c r="BE54" s="3173" t="s">
        <v>4279</v>
      </c>
      <c r="BF54" s="3173" t="s">
        <v>4280</v>
      </c>
      <c r="BG54" s="3180"/>
      <c r="BH54" s="3180">
        <f ca="1">'结果表-车位'!$G$20</f>
        <v>1850</v>
      </c>
      <c r="BI54" s="3224">
        <f t="shared" ca="1" si="2"/>
        <v>93129</v>
      </c>
    </row>
    <row r="55" spans="1:61" ht="54">
      <c r="A55" s="3224"/>
      <c r="F55" s="3224"/>
      <c r="G55" s="3224"/>
      <c r="H55" s="3224"/>
      <c r="I55" s="3173">
        <v>54</v>
      </c>
      <c r="J55" s="3173">
        <v>20240070009</v>
      </c>
      <c r="K55" s="3173"/>
      <c r="L55" s="3173"/>
      <c r="M55" s="3173" t="s">
        <v>4274</v>
      </c>
      <c r="N55" s="3173" t="s">
        <v>4454</v>
      </c>
      <c r="O55" s="3173">
        <v>39.32</v>
      </c>
      <c r="P55" s="3173" t="s">
        <v>4276</v>
      </c>
      <c r="Q55" s="3173"/>
      <c r="R55" s="3174">
        <v>45364</v>
      </c>
      <c r="S55" s="3173" t="s">
        <v>4277</v>
      </c>
      <c r="T55" s="3173" t="s">
        <v>4284</v>
      </c>
      <c r="U55" s="3173" t="s">
        <v>4279</v>
      </c>
      <c r="V55" s="3173" t="s">
        <v>4280</v>
      </c>
      <c r="X55" s="3242">
        <f ca="1">'结果表-车位'!$G$20</f>
        <v>1850</v>
      </c>
      <c r="Y55" s="3242">
        <f t="shared" ca="1" si="0"/>
        <v>72742</v>
      </c>
      <c r="AA55" s="3173">
        <v>54</v>
      </c>
      <c r="AB55" s="3173" t="s">
        <v>4282</v>
      </c>
      <c r="AC55" s="3173"/>
      <c r="AD55" s="3173"/>
      <c r="AE55" s="3173" t="s">
        <v>4274</v>
      </c>
      <c r="AF55" s="3173" t="s">
        <v>4456</v>
      </c>
      <c r="AG55" s="3173">
        <v>44.57</v>
      </c>
      <c r="AH55" s="3173" t="s">
        <v>4296</v>
      </c>
      <c r="AI55" s="3173" t="s">
        <v>4282</v>
      </c>
      <c r="AJ55" s="3174">
        <v>45276</v>
      </c>
      <c r="AK55" s="3173" t="s">
        <v>4279</v>
      </c>
      <c r="AL55" s="3173" t="s">
        <v>4297</v>
      </c>
      <c r="AM55" s="3173" t="s">
        <v>4279</v>
      </c>
      <c r="AN55" s="3173" t="s">
        <v>4280</v>
      </c>
      <c r="AP55" s="3242">
        <f t="shared" ca="1" si="4"/>
        <v>5845</v>
      </c>
      <c r="AQ55" s="3242">
        <f t="shared" ca="1" si="1"/>
        <v>260511.65</v>
      </c>
      <c r="AS55" s="3173">
        <v>54</v>
      </c>
      <c r="AT55" s="3173" t="s">
        <v>4273</v>
      </c>
      <c r="AU55" s="3173"/>
      <c r="AV55" s="3173"/>
      <c r="AW55" s="3173" t="s">
        <v>4274</v>
      </c>
      <c r="AX55" s="3173" t="s">
        <v>4452</v>
      </c>
      <c r="AY55" s="3173">
        <v>50.34</v>
      </c>
      <c r="AZ55" s="3173" t="s">
        <v>4276</v>
      </c>
      <c r="BA55" s="3173"/>
      <c r="BB55" s="3174">
        <v>45276</v>
      </c>
      <c r="BC55" s="3173" t="s">
        <v>4277</v>
      </c>
      <c r="BD55" s="3173" t="s">
        <v>4278</v>
      </c>
      <c r="BE55" s="3173" t="s">
        <v>4279</v>
      </c>
      <c r="BF55" s="3173" t="s">
        <v>4280</v>
      </c>
      <c r="BG55" s="3180"/>
      <c r="BH55" s="3180">
        <f ca="1">'结果表-车位'!$G$20</f>
        <v>1850</v>
      </c>
      <c r="BI55" s="3224">
        <f t="shared" ca="1" si="2"/>
        <v>93129</v>
      </c>
    </row>
    <row r="56" spans="1:61" ht="54">
      <c r="A56" s="3224"/>
      <c r="F56" s="3224"/>
      <c r="G56" s="3224"/>
      <c r="H56" s="3224"/>
      <c r="I56" s="3173">
        <v>55</v>
      </c>
      <c r="J56" s="3173">
        <v>20240070009</v>
      </c>
      <c r="K56" s="3173"/>
      <c r="L56" s="3173"/>
      <c r="M56" s="3173" t="s">
        <v>4274</v>
      </c>
      <c r="N56" s="3173" t="s">
        <v>4457</v>
      </c>
      <c r="O56" s="3173">
        <v>37.68</v>
      </c>
      <c r="P56" s="3173" t="s">
        <v>4276</v>
      </c>
      <c r="Q56" s="3173"/>
      <c r="R56" s="3174">
        <v>45364</v>
      </c>
      <c r="S56" s="3173" t="s">
        <v>4277</v>
      </c>
      <c r="T56" s="3173" t="s">
        <v>4284</v>
      </c>
      <c r="U56" s="3173" t="s">
        <v>4279</v>
      </c>
      <c r="V56" s="3173" t="s">
        <v>4280</v>
      </c>
      <c r="X56" s="3242">
        <f ca="1">'结果表-车位'!$G$20</f>
        <v>1850</v>
      </c>
      <c r="Y56" s="3242">
        <f t="shared" ca="1" si="0"/>
        <v>69708</v>
      </c>
      <c r="AA56" s="3173">
        <v>55</v>
      </c>
      <c r="AB56" s="3173" t="s">
        <v>4282</v>
      </c>
      <c r="AC56" s="3173"/>
      <c r="AD56" s="3173"/>
      <c r="AE56" s="3173" t="s">
        <v>4274</v>
      </c>
      <c r="AF56" s="3173" t="s">
        <v>4459</v>
      </c>
      <c r="AG56" s="3173">
        <v>42.72</v>
      </c>
      <c r="AH56" s="3173" t="s">
        <v>4296</v>
      </c>
      <c r="AI56" s="3173" t="s">
        <v>4282</v>
      </c>
      <c r="AJ56" s="3174">
        <v>45276</v>
      </c>
      <c r="AK56" s="3173" t="s">
        <v>4279</v>
      </c>
      <c r="AL56" s="3173" t="s">
        <v>4297</v>
      </c>
      <c r="AM56" s="3173" t="s">
        <v>4279</v>
      </c>
      <c r="AN56" s="3173" t="s">
        <v>4280</v>
      </c>
      <c r="AP56" s="3242">
        <f t="shared" ca="1" si="4"/>
        <v>5845</v>
      </c>
      <c r="AQ56" s="3242">
        <f t="shared" ca="1" si="1"/>
        <v>249698.4</v>
      </c>
      <c r="AS56" s="3173">
        <v>55</v>
      </c>
      <c r="AT56" s="3173" t="s">
        <v>4273</v>
      </c>
      <c r="AU56" s="3173"/>
      <c r="AV56" s="3173"/>
      <c r="AW56" s="3173" t="s">
        <v>4274</v>
      </c>
      <c r="AX56" s="3173" t="s">
        <v>4455</v>
      </c>
      <c r="AY56" s="3173">
        <v>50.34</v>
      </c>
      <c r="AZ56" s="3173" t="s">
        <v>4276</v>
      </c>
      <c r="BA56" s="3173"/>
      <c r="BB56" s="3174">
        <v>45276</v>
      </c>
      <c r="BC56" s="3173" t="s">
        <v>4277</v>
      </c>
      <c r="BD56" s="3173" t="s">
        <v>4278</v>
      </c>
      <c r="BE56" s="3173" t="s">
        <v>4279</v>
      </c>
      <c r="BF56" s="3173" t="s">
        <v>4280</v>
      </c>
      <c r="BG56" s="3180"/>
      <c r="BH56" s="3180">
        <f ca="1">'结果表-车位'!$G$20</f>
        <v>1850</v>
      </c>
      <c r="BI56" s="3224">
        <f t="shared" ca="1" si="2"/>
        <v>93129</v>
      </c>
    </row>
    <row r="57" spans="1:61" ht="54">
      <c r="A57" s="3224"/>
      <c r="F57" s="3224"/>
      <c r="G57" s="3224"/>
      <c r="H57" s="3224"/>
      <c r="I57" s="3173">
        <v>56</v>
      </c>
      <c r="J57" s="3173">
        <v>20240070009</v>
      </c>
      <c r="K57" s="3173"/>
      <c r="L57" s="3173"/>
      <c r="M57" s="3173" t="s">
        <v>4274</v>
      </c>
      <c r="N57" s="3173" t="s">
        <v>4460</v>
      </c>
      <c r="O57" s="3173">
        <v>39.32</v>
      </c>
      <c r="P57" s="3173" t="s">
        <v>4276</v>
      </c>
      <c r="Q57" s="3173"/>
      <c r="R57" s="3174">
        <v>45364</v>
      </c>
      <c r="S57" s="3173" t="s">
        <v>4277</v>
      </c>
      <c r="T57" s="3173" t="s">
        <v>4284</v>
      </c>
      <c r="U57" s="3173" t="s">
        <v>4279</v>
      </c>
      <c r="V57" s="3173" t="s">
        <v>4280</v>
      </c>
      <c r="X57" s="3242">
        <f ca="1">'结果表-车位'!$G$20</f>
        <v>1850</v>
      </c>
      <c r="Y57" s="3242">
        <f t="shared" ca="1" si="0"/>
        <v>72742</v>
      </c>
      <c r="AA57" s="3173">
        <v>56</v>
      </c>
      <c r="AB57" s="3173" t="s">
        <v>4282</v>
      </c>
      <c r="AC57" s="3173"/>
      <c r="AD57" s="3173"/>
      <c r="AE57" s="3173" t="s">
        <v>4274</v>
      </c>
      <c r="AF57" s="3173" t="s">
        <v>4461</v>
      </c>
      <c r="AG57" s="3173">
        <v>42.72</v>
      </c>
      <c r="AH57" s="3173" t="s">
        <v>4296</v>
      </c>
      <c r="AI57" s="3173" t="s">
        <v>4282</v>
      </c>
      <c r="AJ57" s="3174">
        <v>45276</v>
      </c>
      <c r="AK57" s="3173" t="s">
        <v>4277</v>
      </c>
      <c r="AL57" s="3173" t="s">
        <v>4284</v>
      </c>
      <c r="AM57" s="3173" t="s">
        <v>4279</v>
      </c>
      <c r="AN57" s="3173" t="s">
        <v>4280</v>
      </c>
      <c r="AP57" s="3242">
        <f t="shared" ca="1" si="4"/>
        <v>5845</v>
      </c>
      <c r="AQ57" s="3242">
        <f t="shared" ca="1" si="1"/>
        <v>249698.4</v>
      </c>
      <c r="AS57" s="3173">
        <v>56</v>
      </c>
      <c r="AT57" s="3173" t="s">
        <v>4273</v>
      </c>
      <c r="AU57" s="3173"/>
      <c r="AV57" s="3173"/>
      <c r="AW57" s="3173" t="s">
        <v>4274</v>
      </c>
      <c r="AX57" s="3173" t="s">
        <v>4458</v>
      </c>
      <c r="AY57" s="3173">
        <v>50.34</v>
      </c>
      <c r="AZ57" s="3173" t="s">
        <v>4276</v>
      </c>
      <c r="BA57" s="3173"/>
      <c r="BB57" s="3174">
        <v>45276</v>
      </c>
      <c r="BC57" s="3173" t="s">
        <v>4277</v>
      </c>
      <c r="BD57" s="3173" t="s">
        <v>4278</v>
      </c>
      <c r="BE57" s="3173" t="s">
        <v>4279</v>
      </c>
      <c r="BF57" s="3173" t="s">
        <v>4280</v>
      </c>
      <c r="BG57" s="3180"/>
      <c r="BH57" s="3180">
        <f ca="1">'结果表-车位'!$G$20</f>
        <v>1850</v>
      </c>
      <c r="BI57" s="3224">
        <f t="shared" ca="1" si="2"/>
        <v>93129</v>
      </c>
    </row>
    <row r="58" spans="1:61" ht="54">
      <c r="A58" s="3224"/>
      <c r="F58" s="3224"/>
      <c r="G58" s="3224"/>
      <c r="H58" s="3224"/>
      <c r="I58" s="3173">
        <v>57</v>
      </c>
      <c r="J58" s="3173">
        <v>20240070009</v>
      </c>
      <c r="K58" s="3173"/>
      <c r="L58" s="3173"/>
      <c r="M58" s="3173" t="s">
        <v>4274</v>
      </c>
      <c r="N58" s="3173" t="s">
        <v>4462</v>
      </c>
      <c r="O58" s="3173">
        <v>39.32</v>
      </c>
      <c r="P58" s="3173" t="s">
        <v>4276</v>
      </c>
      <c r="Q58" s="3173"/>
      <c r="R58" s="3174">
        <v>45364</v>
      </c>
      <c r="S58" s="3173" t="s">
        <v>4277</v>
      </c>
      <c r="T58" s="3173" t="s">
        <v>4284</v>
      </c>
      <c r="U58" s="3173" t="s">
        <v>4279</v>
      </c>
      <c r="V58" s="3173" t="s">
        <v>4280</v>
      </c>
      <c r="X58" s="3242">
        <f ca="1">'结果表-车位'!$G$20</f>
        <v>1850</v>
      </c>
      <c r="Y58" s="3242">
        <f t="shared" ca="1" si="0"/>
        <v>72742</v>
      </c>
      <c r="AA58" s="3173">
        <v>57</v>
      </c>
      <c r="AB58" s="3173" t="s">
        <v>4282</v>
      </c>
      <c r="AC58" s="3173"/>
      <c r="AD58" s="3173"/>
      <c r="AE58" s="3173" t="s">
        <v>4274</v>
      </c>
      <c r="AF58" s="3173" t="s">
        <v>4463</v>
      </c>
      <c r="AG58" s="3173">
        <v>51.35</v>
      </c>
      <c r="AH58" s="3173" t="s">
        <v>4296</v>
      </c>
      <c r="AI58" s="3173" t="s">
        <v>4282</v>
      </c>
      <c r="AJ58" s="3174">
        <v>45276</v>
      </c>
      <c r="AK58" s="3173" t="s">
        <v>4277</v>
      </c>
      <c r="AL58" s="3173" t="s">
        <v>4297</v>
      </c>
      <c r="AM58" s="3173" t="s">
        <v>4279</v>
      </c>
      <c r="AN58" s="3173" t="s">
        <v>4280</v>
      </c>
      <c r="AP58" s="3242">
        <f t="shared" ca="1" si="4"/>
        <v>5845</v>
      </c>
      <c r="AQ58" s="3242">
        <f t="shared" ca="1" si="1"/>
        <v>300140.75</v>
      </c>
      <c r="AS58" s="3173">
        <v>57</v>
      </c>
      <c r="AT58" s="3173" t="s">
        <v>4273</v>
      </c>
      <c r="AU58" s="3173"/>
      <c r="AV58" s="3173"/>
      <c r="AW58" s="3173" t="s">
        <v>4274</v>
      </c>
      <c r="AX58" s="3173" t="s">
        <v>4383</v>
      </c>
      <c r="AY58" s="3173">
        <v>104.3</v>
      </c>
      <c r="AZ58" s="3173" t="s">
        <v>672</v>
      </c>
      <c r="BA58" s="3173"/>
      <c r="BB58" s="3174">
        <v>45276</v>
      </c>
      <c r="BC58" s="3173" t="s">
        <v>4279</v>
      </c>
      <c r="BD58" s="3173" t="s">
        <v>4278</v>
      </c>
      <c r="BE58" s="3173" t="s">
        <v>4279</v>
      </c>
      <c r="BF58" s="3173" t="s">
        <v>4280</v>
      </c>
      <c r="BG58" s="3180">
        <v>1</v>
      </c>
      <c r="BH58" s="3180">
        <f ca="1">E36</f>
        <v>11071</v>
      </c>
      <c r="BI58" s="3224">
        <f t="shared" ca="1" si="2"/>
        <v>1154705.3</v>
      </c>
    </row>
    <row r="59" spans="1:61" ht="54">
      <c r="A59" s="3224"/>
      <c r="F59" s="3224"/>
      <c r="G59" s="3224"/>
      <c r="H59" s="3224"/>
      <c r="I59" s="3173">
        <v>58</v>
      </c>
      <c r="J59" s="3173">
        <v>20240070009</v>
      </c>
      <c r="K59" s="3173"/>
      <c r="L59" s="3173"/>
      <c r="M59" s="3173" t="s">
        <v>4274</v>
      </c>
      <c r="N59" s="3173" t="s">
        <v>4464</v>
      </c>
      <c r="O59" s="3173">
        <v>39.32</v>
      </c>
      <c r="P59" s="3173" t="s">
        <v>4276</v>
      </c>
      <c r="Q59" s="3173"/>
      <c r="R59" s="3174">
        <v>45364</v>
      </c>
      <c r="S59" s="3173" t="s">
        <v>4277</v>
      </c>
      <c r="T59" s="3173" t="s">
        <v>4284</v>
      </c>
      <c r="U59" s="3173" t="s">
        <v>4279</v>
      </c>
      <c r="V59" s="3173" t="s">
        <v>4280</v>
      </c>
      <c r="X59" s="3242">
        <f ca="1">'结果表-车位'!$G$20</f>
        <v>1850</v>
      </c>
      <c r="Y59" s="3242">
        <f t="shared" ca="1" si="0"/>
        <v>72742</v>
      </c>
      <c r="AA59" s="3173">
        <v>58</v>
      </c>
      <c r="AB59" s="3173" t="s">
        <v>4282</v>
      </c>
      <c r="AC59" s="3173"/>
      <c r="AD59" s="3173"/>
      <c r="AE59" s="3173" t="s">
        <v>4274</v>
      </c>
      <c r="AF59" s="3173" t="s">
        <v>4465</v>
      </c>
      <c r="AG59" s="3173">
        <v>44.57</v>
      </c>
      <c r="AH59" s="3173" t="s">
        <v>4296</v>
      </c>
      <c r="AI59" s="3173" t="s">
        <v>4282</v>
      </c>
      <c r="AJ59" s="3174">
        <v>45276</v>
      </c>
      <c r="AK59" s="3173" t="s">
        <v>4277</v>
      </c>
      <c r="AL59" s="3173" t="s">
        <v>4288</v>
      </c>
      <c r="AM59" s="3173" t="s">
        <v>4279</v>
      </c>
      <c r="AN59" s="3173" t="s">
        <v>4280</v>
      </c>
      <c r="AP59" s="3242">
        <f t="shared" ca="1" si="4"/>
        <v>5845</v>
      </c>
      <c r="AQ59" s="3242">
        <f t="shared" ca="1" si="1"/>
        <v>260511.65</v>
      </c>
      <c r="AS59" s="3173">
        <v>58</v>
      </c>
      <c r="AT59" s="3173" t="s">
        <v>4273</v>
      </c>
      <c r="AU59" s="3173"/>
      <c r="AV59" s="3173"/>
      <c r="AW59" s="3173" t="s">
        <v>4274</v>
      </c>
      <c r="AX59" s="3173" t="s">
        <v>4404</v>
      </c>
      <c r="AY59" s="3173">
        <v>69.05</v>
      </c>
      <c r="AZ59" s="3173" t="s">
        <v>672</v>
      </c>
      <c r="BA59" s="3173"/>
      <c r="BB59" s="3174">
        <v>45276</v>
      </c>
      <c r="BC59" s="3173" t="s">
        <v>4279</v>
      </c>
      <c r="BD59" s="3173" t="s">
        <v>4297</v>
      </c>
      <c r="BE59" s="3173" t="s">
        <v>4279</v>
      </c>
      <c r="BF59" s="3173" t="s">
        <v>4280</v>
      </c>
      <c r="BG59" s="3180">
        <v>1</v>
      </c>
      <c r="BH59" s="3180">
        <f ca="1">BH58</f>
        <v>11071</v>
      </c>
      <c r="BI59" s="3224">
        <f t="shared" ca="1" si="2"/>
        <v>764452.54999999993</v>
      </c>
    </row>
    <row r="60" spans="1:61" ht="54">
      <c r="A60" s="3224"/>
      <c r="F60" s="3224"/>
      <c r="G60" s="3224"/>
      <c r="H60" s="3224"/>
      <c r="I60" s="3173">
        <v>59</v>
      </c>
      <c r="J60" s="3173">
        <v>20240070009</v>
      </c>
      <c r="K60" s="3173"/>
      <c r="L60" s="3173"/>
      <c r="M60" s="3173" t="s">
        <v>4274</v>
      </c>
      <c r="N60" s="3173" t="s">
        <v>4466</v>
      </c>
      <c r="O60" s="3173">
        <v>39.32</v>
      </c>
      <c r="P60" s="3173" t="s">
        <v>4276</v>
      </c>
      <c r="Q60" s="3173"/>
      <c r="R60" s="3174">
        <v>45364</v>
      </c>
      <c r="S60" s="3173" t="s">
        <v>4277</v>
      </c>
      <c r="T60" s="3173" t="s">
        <v>4284</v>
      </c>
      <c r="U60" s="3173" t="s">
        <v>4279</v>
      </c>
      <c r="V60" s="3173" t="s">
        <v>4280</v>
      </c>
      <c r="X60" s="3242">
        <f ca="1">'结果表-车位'!$G$20</f>
        <v>1850</v>
      </c>
      <c r="Y60" s="3242">
        <f t="shared" ca="1" si="0"/>
        <v>72742</v>
      </c>
      <c r="AA60" s="3173">
        <v>59</v>
      </c>
      <c r="AB60" s="3173" t="s">
        <v>4282</v>
      </c>
      <c r="AC60" s="3173"/>
      <c r="AD60" s="3173"/>
      <c r="AE60" s="3173" t="s">
        <v>4274</v>
      </c>
      <c r="AF60" s="3173" t="s">
        <v>4467</v>
      </c>
      <c r="AG60" s="3173">
        <v>44.57</v>
      </c>
      <c r="AH60" s="3173" t="s">
        <v>4296</v>
      </c>
      <c r="AI60" s="3173" t="s">
        <v>4282</v>
      </c>
      <c r="AJ60" s="3174">
        <v>45276</v>
      </c>
      <c r="AK60" s="3173" t="s">
        <v>4277</v>
      </c>
      <c r="AL60" s="3173" t="s">
        <v>4288</v>
      </c>
      <c r="AM60" s="3173" t="s">
        <v>4279</v>
      </c>
      <c r="AN60" s="3173" t="s">
        <v>4280</v>
      </c>
      <c r="AP60" s="3242">
        <f t="shared" ca="1" si="4"/>
        <v>5845</v>
      </c>
      <c r="AQ60" s="3242">
        <f t="shared" ca="1" si="1"/>
        <v>260511.65</v>
      </c>
      <c r="AS60" s="3173">
        <v>59</v>
      </c>
      <c r="AT60" s="3173" t="s">
        <v>4273</v>
      </c>
      <c r="AU60" s="3173"/>
      <c r="AV60" s="3173"/>
      <c r="AW60" s="3173" t="s">
        <v>4274</v>
      </c>
      <c r="AX60" s="3173" t="s">
        <v>4275</v>
      </c>
      <c r="AY60" s="3173">
        <v>25.26</v>
      </c>
      <c r="AZ60" s="3173" t="s">
        <v>672</v>
      </c>
      <c r="BA60" s="3173"/>
      <c r="BB60" s="3174">
        <v>45276</v>
      </c>
      <c r="BC60" s="3173" t="s">
        <v>4277</v>
      </c>
      <c r="BD60" s="3173" t="s">
        <v>4278</v>
      </c>
      <c r="BE60" s="3173" t="s">
        <v>4279</v>
      </c>
      <c r="BF60" s="3173" t="s">
        <v>4280</v>
      </c>
      <c r="BG60" s="3180">
        <v>2</v>
      </c>
      <c r="BH60" s="3180">
        <f ca="1">ROUND(BH58*0.5,0)</f>
        <v>5536</v>
      </c>
      <c r="BI60" s="3224">
        <f t="shared" ca="1" si="2"/>
        <v>139839.36000000002</v>
      </c>
    </row>
    <row r="61" spans="1:61" ht="54">
      <c r="A61" s="3224"/>
      <c r="F61" s="3224"/>
      <c r="G61" s="3224"/>
      <c r="H61" s="3224"/>
      <c r="I61" s="3173">
        <v>60</v>
      </c>
      <c r="J61" s="3173">
        <v>20240070009</v>
      </c>
      <c r="K61" s="3173"/>
      <c r="L61" s="3173"/>
      <c r="M61" s="3173" t="s">
        <v>4274</v>
      </c>
      <c r="N61" s="3173" t="s">
        <v>4468</v>
      </c>
      <c r="O61" s="3173">
        <v>39.32</v>
      </c>
      <c r="P61" s="3173" t="s">
        <v>4276</v>
      </c>
      <c r="Q61" s="3173"/>
      <c r="R61" s="3174">
        <v>45364</v>
      </c>
      <c r="S61" s="3173" t="s">
        <v>4277</v>
      </c>
      <c r="T61" s="3173" t="s">
        <v>4284</v>
      </c>
      <c r="U61" s="3173" t="s">
        <v>4279</v>
      </c>
      <c r="V61" s="3173" t="s">
        <v>4280</v>
      </c>
      <c r="X61" s="3242">
        <f ca="1">'结果表-车位'!$G$20</f>
        <v>1850</v>
      </c>
      <c r="Y61" s="3242">
        <f t="shared" ca="1" si="0"/>
        <v>72742</v>
      </c>
      <c r="AA61" s="3173">
        <v>60</v>
      </c>
      <c r="AB61" s="3173" t="s">
        <v>4282</v>
      </c>
      <c r="AC61" s="3173"/>
      <c r="AD61" s="3173"/>
      <c r="AE61" s="3173" t="s">
        <v>4274</v>
      </c>
      <c r="AF61" s="3173" t="s">
        <v>4469</v>
      </c>
      <c r="AG61" s="3173">
        <v>42.72</v>
      </c>
      <c r="AH61" s="3173" t="s">
        <v>4296</v>
      </c>
      <c r="AI61" s="3173" t="s">
        <v>4282</v>
      </c>
      <c r="AJ61" s="3174">
        <v>45276</v>
      </c>
      <c r="AK61" s="3173" t="s">
        <v>4279</v>
      </c>
      <c r="AL61" s="3173" t="s">
        <v>4297</v>
      </c>
      <c r="AM61" s="3173" t="s">
        <v>4279</v>
      </c>
      <c r="AN61" s="3173" t="s">
        <v>4280</v>
      </c>
      <c r="AP61" s="3242">
        <f t="shared" ca="1" si="4"/>
        <v>5845</v>
      </c>
      <c r="AQ61" s="3242">
        <f t="shared" ca="1" si="1"/>
        <v>249698.4</v>
      </c>
      <c r="AS61" s="3173">
        <v>60</v>
      </c>
      <c r="AT61" s="3173" t="s">
        <v>4273</v>
      </c>
      <c r="AU61" s="3173"/>
      <c r="AV61" s="3173"/>
      <c r="AW61" s="3173" t="s">
        <v>4274</v>
      </c>
      <c r="AX61" s="3173" t="s">
        <v>4285</v>
      </c>
      <c r="AY61" s="3173">
        <v>30.85</v>
      </c>
      <c r="AZ61" s="3173" t="s">
        <v>672</v>
      </c>
      <c r="BA61" s="3173"/>
      <c r="BB61" s="3174">
        <v>45276</v>
      </c>
      <c r="BC61" s="3173" t="s">
        <v>4277</v>
      </c>
      <c r="BD61" s="3173" t="s">
        <v>4278</v>
      </c>
      <c r="BE61" s="3173" t="s">
        <v>4279</v>
      </c>
      <c r="BF61" s="3173" t="s">
        <v>4280</v>
      </c>
      <c r="BG61" s="3180">
        <v>2</v>
      </c>
      <c r="BH61" s="3180">
        <f ca="1">BH60</f>
        <v>5536</v>
      </c>
      <c r="BI61" s="3224">
        <f t="shared" ca="1" si="2"/>
        <v>170785.6</v>
      </c>
    </row>
    <row r="62" spans="1:61" ht="54">
      <c r="A62" s="3224"/>
      <c r="F62" s="3224"/>
      <c r="G62" s="3224"/>
      <c r="H62" s="3224"/>
      <c r="I62" s="3173">
        <v>61</v>
      </c>
      <c r="J62" s="3173">
        <v>20240070009</v>
      </c>
      <c r="K62" s="3173"/>
      <c r="L62" s="3173"/>
      <c r="M62" s="3173" t="s">
        <v>4274</v>
      </c>
      <c r="N62" s="3173" t="s">
        <v>4470</v>
      </c>
      <c r="O62" s="3173">
        <v>39.32</v>
      </c>
      <c r="P62" s="3173" t="s">
        <v>4276</v>
      </c>
      <c r="Q62" s="3173"/>
      <c r="R62" s="3174">
        <v>45364</v>
      </c>
      <c r="S62" s="3173" t="s">
        <v>4277</v>
      </c>
      <c r="T62" s="3173" t="s">
        <v>4297</v>
      </c>
      <c r="U62" s="3173" t="s">
        <v>4279</v>
      </c>
      <c r="V62" s="3173" t="s">
        <v>4280</v>
      </c>
      <c r="X62" s="3242">
        <f ca="1">'结果表-车位'!$G$20</f>
        <v>1850</v>
      </c>
      <c r="Y62" s="3242">
        <f t="shared" ca="1" si="0"/>
        <v>72742</v>
      </c>
      <c r="AA62" s="3173">
        <v>61</v>
      </c>
      <c r="AB62" s="3173" t="s">
        <v>4282</v>
      </c>
      <c r="AC62" s="3173"/>
      <c r="AD62" s="3173"/>
      <c r="AE62" s="3173" t="s">
        <v>4274</v>
      </c>
      <c r="AF62" s="3173" t="s">
        <v>4471</v>
      </c>
      <c r="AG62" s="3173">
        <v>42.72</v>
      </c>
      <c r="AH62" s="3173" t="s">
        <v>4296</v>
      </c>
      <c r="AI62" s="3173" t="s">
        <v>4282</v>
      </c>
      <c r="AJ62" s="3174">
        <v>45276</v>
      </c>
      <c r="AK62" s="3173" t="s">
        <v>4277</v>
      </c>
      <c r="AL62" s="3173" t="s">
        <v>4288</v>
      </c>
      <c r="AM62" s="3173" t="s">
        <v>4279</v>
      </c>
      <c r="AN62" s="3173" t="s">
        <v>4280</v>
      </c>
      <c r="AP62" s="3242">
        <f t="shared" ca="1" si="4"/>
        <v>5845</v>
      </c>
      <c r="AQ62" s="3242">
        <f t="shared" ca="1" si="1"/>
        <v>249698.4</v>
      </c>
      <c r="AS62" s="3173">
        <v>61</v>
      </c>
      <c r="AT62" s="3173" t="s">
        <v>4273</v>
      </c>
      <c r="AU62" s="3173"/>
      <c r="AV62" s="3173"/>
      <c r="AW62" s="3173" t="s">
        <v>4274</v>
      </c>
      <c r="AX62" s="3173" t="s">
        <v>4290</v>
      </c>
      <c r="AY62" s="3173">
        <v>33.31</v>
      </c>
      <c r="AZ62" s="3173" t="s">
        <v>672</v>
      </c>
      <c r="BA62" s="3173"/>
      <c r="BB62" s="3174">
        <v>45276</v>
      </c>
      <c r="BC62" s="3173" t="s">
        <v>4277</v>
      </c>
      <c r="BD62" s="3173" t="s">
        <v>4278</v>
      </c>
      <c r="BE62" s="3173" t="s">
        <v>4279</v>
      </c>
      <c r="BF62" s="3173" t="s">
        <v>4280</v>
      </c>
      <c r="BG62" s="3180">
        <v>2</v>
      </c>
      <c r="BH62" s="3180">
        <f t="shared" ref="BH62:BH107" ca="1" si="5">BH61</f>
        <v>5536</v>
      </c>
      <c r="BI62" s="3224">
        <f t="shared" ca="1" si="2"/>
        <v>184404.16</v>
      </c>
    </row>
    <row r="63" spans="1:61" ht="54">
      <c r="A63" s="3224"/>
      <c r="F63" s="3224"/>
      <c r="G63" s="3224"/>
      <c r="H63" s="3224"/>
      <c r="I63" s="3173">
        <v>62</v>
      </c>
      <c r="J63" s="3173">
        <v>20240070009</v>
      </c>
      <c r="K63" s="3173"/>
      <c r="L63" s="3173"/>
      <c r="M63" s="3173" t="s">
        <v>4274</v>
      </c>
      <c r="N63" s="3173" t="s">
        <v>4472</v>
      </c>
      <c r="O63" s="3173">
        <v>39.32</v>
      </c>
      <c r="P63" s="3173" t="s">
        <v>4276</v>
      </c>
      <c r="Q63" s="3173"/>
      <c r="R63" s="3174">
        <v>45364</v>
      </c>
      <c r="S63" s="3173" t="s">
        <v>4277</v>
      </c>
      <c r="T63" s="3173" t="s">
        <v>4284</v>
      </c>
      <c r="U63" s="3173" t="s">
        <v>4279</v>
      </c>
      <c r="V63" s="3173" t="s">
        <v>4280</v>
      </c>
      <c r="X63" s="3242">
        <f ca="1">'结果表-车位'!$G$20</f>
        <v>1850</v>
      </c>
      <c r="Y63" s="3242">
        <f t="shared" ca="1" si="0"/>
        <v>72742</v>
      </c>
      <c r="AA63" s="3173">
        <v>62</v>
      </c>
      <c r="AB63" s="3173" t="s">
        <v>4282</v>
      </c>
      <c r="AC63" s="3173"/>
      <c r="AD63" s="3173"/>
      <c r="AE63" s="3173" t="s">
        <v>4274</v>
      </c>
      <c r="AF63" s="3173" t="s">
        <v>4473</v>
      </c>
      <c r="AG63" s="3173">
        <v>42.72</v>
      </c>
      <c r="AH63" s="3173" t="s">
        <v>4296</v>
      </c>
      <c r="AI63" s="3173" t="s">
        <v>4282</v>
      </c>
      <c r="AJ63" s="3174">
        <v>45276</v>
      </c>
      <c r="AK63" s="3173" t="s">
        <v>4277</v>
      </c>
      <c r="AL63" s="3173" t="s">
        <v>4288</v>
      </c>
      <c r="AM63" s="3173" t="s">
        <v>4279</v>
      </c>
      <c r="AN63" s="3173" t="s">
        <v>4280</v>
      </c>
      <c r="AP63" s="3242">
        <f t="shared" ca="1" si="4"/>
        <v>5845</v>
      </c>
      <c r="AQ63" s="3242">
        <f t="shared" ca="1" si="1"/>
        <v>249698.4</v>
      </c>
      <c r="AS63" s="3173">
        <v>62</v>
      </c>
      <c r="AT63" s="3173" t="s">
        <v>4273</v>
      </c>
      <c r="AU63" s="3173"/>
      <c r="AV63" s="3173"/>
      <c r="AW63" s="3173" t="s">
        <v>4274</v>
      </c>
      <c r="AX63" s="3173" t="s">
        <v>4294</v>
      </c>
      <c r="AY63" s="3173">
        <v>33.99</v>
      </c>
      <c r="AZ63" s="3173" t="s">
        <v>672</v>
      </c>
      <c r="BA63" s="3173"/>
      <c r="BB63" s="3174">
        <v>45276</v>
      </c>
      <c r="BC63" s="3173" t="s">
        <v>4277</v>
      </c>
      <c r="BD63" s="3173" t="s">
        <v>4278</v>
      </c>
      <c r="BE63" s="3173" t="s">
        <v>4279</v>
      </c>
      <c r="BF63" s="3173" t="s">
        <v>4280</v>
      </c>
      <c r="BG63" s="3180">
        <v>2</v>
      </c>
      <c r="BH63" s="3180">
        <f t="shared" ca="1" si="5"/>
        <v>5536</v>
      </c>
      <c r="BI63" s="3224">
        <f t="shared" ca="1" si="2"/>
        <v>188168.64</v>
      </c>
    </row>
    <row r="64" spans="1:61" ht="54">
      <c r="A64" s="3224"/>
      <c r="F64" s="3224"/>
      <c r="G64" s="3224"/>
      <c r="H64" s="3224"/>
      <c r="I64" s="3173">
        <v>63</v>
      </c>
      <c r="J64" s="3173">
        <v>20240070009</v>
      </c>
      <c r="K64" s="3173"/>
      <c r="L64" s="3173"/>
      <c r="M64" s="3173" t="s">
        <v>4274</v>
      </c>
      <c r="N64" s="3173" t="s">
        <v>4474</v>
      </c>
      <c r="O64" s="3173">
        <v>39.32</v>
      </c>
      <c r="P64" s="3173" t="s">
        <v>4276</v>
      </c>
      <c r="Q64" s="3173"/>
      <c r="R64" s="3174">
        <v>45364</v>
      </c>
      <c r="S64" s="3173" t="s">
        <v>4277</v>
      </c>
      <c r="T64" s="3173" t="s">
        <v>4284</v>
      </c>
      <c r="U64" s="3173" t="s">
        <v>4279</v>
      </c>
      <c r="V64" s="3173" t="s">
        <v>4280</v>
      </c>
      <c r="X64" s="3242">
        <f ca="1">'结果表-车位'!$G$20</f>
        <v>1850</v>
      </c>
      <c r="Y64" s="3242">
        <f t="shared" ca="1" si="0"/>
        <v>72742</v>
      </c>
      <c r="AA64" s="3173">
        <v>63</v>
      </c>
      <c r="AB64" s="3173" t="s">
        <v>4282</v>
      </c>
      <c r="AC64" s="3173"/>
      <c r="AD64" s="3173"/>
      <c r="AE64" s="3173" t="s">
        <v>4274</v>
      </c>
      <c r="AF64" s="3173" t="s">
        <v>4475</v>
      </c>
      <c r="AG64" s="3173">
        <v>44.57</v>
      </c>
      <c r="AH64" s="3173" t="s">
        <v>4296</v>
      </c>
      <c r="AI64" s="3173" t="s">
        <v>4282</v>
      </c>
      <c r="AJ64" s="3174">
        <v>45276</v>
      </c>
      <c r="AK64" s="3173" t="s">
        <v>4277</v>
      </c>
      <c r="AL64" s="3173" t="s">
        <v>4288</v>
      </c>
      <c r="AM64" s="3173" t="s">
        <v>4279</v>
      </c>
      <c r="AN64" s="3173" t="s">
        <v>4280</v>
      </c>
      <c r="AP64" s="3242">
        <f t="shared" ca="1" si="4"/>
        <v>5845</v>
      </c>
      <c r="AQ64" s="3242">
        <f t="shared" ca="1" si="1"/>
        <v>260511.65</v>
      </c>
      <c r="AS64" s="3173">
        <v>63</v>
      </c>
      <c r="AT64" s="3173" t="s">
        <v>4273</v>
      </c>
      <c r="AU64" s="3173"/>
      <c r="AV64" s="3173"/>
      <c r="AW64" s="3173" t="s">
        <v>4274</v>
      </c>
      <c r="AX64" s="3173" t="s">
        <v>4299</v>
      </c>
      <c r="AY64" s="3173">
        <v>35.99</v>
      </c>
      <c r="AZ64" s="3173" t="s">
        <v>672</v>
      </c>
      <c r="BA64" s="3173"/>
      <c r="BB64" s="3174">
        <v>45276</v>
      </c>
      <c r="BC64" s="3173" t="s">
        <v>4277</v>
      </c>
      <c r="BD64" s="3173" t="s">
        <v>4278</v>
      </c>
      <c r="BE64" s="3173" t="s">
        <v>4279</v>
      </c>
      <c r="BF64" s="3173" t="s">
        <v>4280</v>
      </c>
      <c r="BG64" s="3180">
        <v>2</v>
      </c>
      <c r="BH64" s="3180">
        <f t="shared" ca="1" si="5"/>
        <v>5536</v>
      </c>
      <c r="BI64" s="3224">
        <f t="shared" ca="1" si="2"/>
        <v>199240.64</v>
      </c>
    </row>
    <row r="65" spans="1:61" ht="54">
      <c r="A65" s="3224"/>
      <c r="F65" s="3224"/>
      <c r="G65" s="3224"/>
      <c r="H65" s="3224"/>
      <c r="I65" s="3173">
        <v>64</v>
      </c>
      <c r="J65" s="3173">
        <v>20240070009</v>
      </c>
      <c r="K65" s="3173"/>
      <c r="L65" s="3173"/>
      <c r="M65" s="3173" t="s">
        <v>4274</v>
      </c>
      <c r="N65" s="3173" t="s">
        <v>4476</v>
      </c>
      <c r="O65" s="3173">
        <v>39.32</v>
      </c>
      <c r="P65" s="3173" t="s">
        <v>4276</v>
      </c>
      <c r="Q65" s="3173"/>
      <c r="R65" s="3174">
        <v>45364</v>
      </c>
      <c r="S65" s="3173" t="s">
        <v>4277</v>
      </c>
      <c r="T65" s="3173" t="s">
        <v>4284</v>
      </c>
      <c r="U65" s="3173" t="s">
        <v>4279</v>
      </c>
      <c r="V65" s="3173" t="s">
        <v>4280</v>
      </c>
      <c r="X65" s="3242">
        <f ca="1">'结果表-车位'!$G$20</f>
        <v>1850</v>
      </c>
      <c r="Y65" s="3242">
        <f t="shared" ca="1" si="0"/>
        <v>72742</v>
      </c>
      <c r="AA65" s="3173">
        <v>64</v>
      </c>
      <c r="AB65" s="3173" t="s">
        <v>4282</v>
      </c>
      <c r="AC65" s="3173"/>
      <c r="AD65" s="3173"/>
      <c r="AE65" s="3173" t="s">
        <v>4274</v>
      </c>
      <c r="AF65" s="3173" t="s">
        <v>4477</v>
      </c>
      <c r="AG65" s="3173">
        <v>42.72</v>
      </c>
      <c r="AH65" s="3173" t="s">
        <v>4296</v>
      </c>
      <c r="AI65" s="3173" t="s">
        <v>4282</v>
      </c>
      <c r="AJ65" s="3174">
        <v>45276</v>
      </c>
      <c r="AK65" s="3173" t="s">
        <v>4277</v>
      </c>
      <c r="AL65" s="3173" t="s">
        <v>4297</v>
      </c>
      <c r="AM65" s="3173" t="s">
        <v>4279</v>
      </c>
      <c r="AN65" s="3173" t="s">
        <v>4280</v>
      </c>
      <c r="AP65" s="3242">
        <f t="shared" ca="1" si="4"/>
        <v>5845</v>
      </c>
      <c r="AQ65" s="3242">
        <f t="shared" ca="1" si="1"/>
        <v>249698.4</v>
      </c>
      <c r="AS65" s="3173">
        <v>64</v>
      </c>
      <c r="AT65" s="3173" t="s">
        <v>4273</v>
      </c>
      <c r="AU65" s="3173"/>
      <c r="AV65" s="3173"/>
      <c r="AW65" s="3173" t="s">
        <v>4274</v>
      </c>
      <c r="AX65" s="3173" t="s">
        <v>4303</v>
      </c>
      <c r="AY65" s="3173">
        <v>36.92</v>
      </c>
      <c r="AZ65" s="3173" t="s">
        <v>672</v>
      </c>
      <c r="BA65" s="3173"/>
      <c r="BB65" s="3174">
        <v>45276</v>
      </c>
      <c r="BC65" s="3173" t="s">
        <v>4277</v>
      </c>
      <c r="BD65" s="3173" t="s">
        <v>4278</v>
      </c>
      <c r="BE65" s="3173" t="s">
        <v>4279</v>
      </c>
      <c r="BF65" s="3173" t="s">
        <v>4280</v>
      </c>
      <c r="BG65" s="3180">
        <v>2</v>
      </c>
      <c r="BH65" s="3180">
        <f t="shared" ca="1" si="5"/>
        <v>5536</v>
      </c>
      <c r="BI65" s="3224">
        <f t="shared" ca="1" si="2"/>
        <v>204389.12</v>
      </c>
    </row>
    <row r="66" spans="1:61" ht="54">
      <c r="A66" s="3224"/>
      <c r="F66" s="3224"/>
      <c r="G66" s="3224"/>
      <c r="H66" s="3224"/>
      <c r="I66" s="3173">
        <v>65</v>
      </c>
      <c r="J66" s="3173">
        <v>20240070009</v>
      </c>
      <c r="K66" s="3173"/>
      <c r="L66" s="3173"/>
      <c r="M66" s="3173" t="s">
        <v>4274</v>
      </c>
      <c r="N66" s="3173" t="s">
        <v>4478</v>
      </c>
      <c r="O66" s="3173">
        <v>39.32</v>
      </c>
      <c r="P66" s="3173" t="s">
        <v>4276</v>
      </c>
      <c r="Q66" s="3173"/>
      <c r="R66" s="3174">
        <v>45364</v>
      </c>
      <c r="S66" s="3173" t="s">
        <v>4277</v>
      </c>
      <c r="T66" s="3173" t="s">
        <v>4284</v>
      </c>
      <c r="U66" s="3173" t="s">
        <v>4279</v>
      </c>
      <c r="V66" s="3173" t="s">
        <v>4280</v>
      </c>
      <c r="X66" s="3242">
        <f ca="1">'结果表-车位'!$G$20</f>
        <v>1850</v>
      </c>
      <c r="Y66" s="3242">
        <f t="shared" ca="1" si="0"/>
        <v>72742</v>
      </c>
      <c r="AA66" s="3173">
        <v>65</v>
      </c>
      <c r="AB66" s="3173" t="s">
        <v>4282</v>
      </c>
      <c r="AC66" s="3173"/>
      <c r="AD66" s="3173"/>
      <c r="AE66" s="3173" t="s">
        <v>4274</v>
      </c>
      <c r="AF66" s="3173" t="s">
        <v>4479</v>
      </c>
      <c r="AG66" s="3173">
        <v>42.72</v>
      </c>
      <c r="AH66" s="3173" t="s">
        <v>4296</v>
      </c>
      <c r="AI66" s="3173" t="s">
        <v>4282</v>
      </c>
      <c r="AJ66" s="3174">
        <v>45276</v>
      </c>
      <c r="AK66" s="3173" t="s">
        <v>4277</v>
      </c>
      <c r="AL66" s="3173" t="s">
        <v>4288</v>
      </c>
      <c r="AM66" s="3173" t="s">
        <v>4279</v>
      </c>
      <c r="AN66" s="3173" t="s">
        <v>4280</v>
      </c>
      <c r="AP66" s="3242">
        <f t="shared" ca="1" si="4"/>
        <v>5845</v>
      </c>
      <c r="AQ66" s="3242">
        <f t="shared" ca="1" si="1"/>
        <v>249698.4</v>
      </c>
      <c r="AS66" s="3173">
        <v>65</v>
      </c>
      <c r="AT66" s="3173" t="s">
        <v>4273</v>
      </c>
      <c r="AU66" s="3173"/>
      <c r="AV66" s="3173"/>
      <c r="AW66" s="3173" t="s">
        <v>4274</v>
      </c>
      <c r="AX66" s="3173" t="s">
        <v>4307</v>
      </c>
      <c r="AY66" s="3173">
        <v>36.17</v>
      </c>
      <c r="AZ66" s="3173" t="s">
        <v>672</v>
      </c>
      <c r="BA66" s="3173"/>
      <c r="BB66" s="3174">
        <v>45276</v>
      </c>
      <c r="BC66" s="3173" t="s">
        <v>4277</v>
      </c>
      <c r="BD66" s="3173" t="s">
        <v>4278</v>
      </c>
      <c r="BE66" s="3173" t="s">
        <v>4279</v>
      </c>
      <c r="BF66" s="3173" t="s">
        <v>4280</v>
      </c>
      <c r="BG66" s="3180">
        <v>2</v>
      </c>
      <c r="BH66" s="3180">
        <f t="shared" ca="1" si="5"/>
        <v>5536</v>
      </c>
      <c r="BI66" s="3224">
        <f t="shared" ca="1" si="2"/>
        <v>200237.12</v>
      </c>
    </row>
    <row r="67" spans="1:61" ht="54">
      <c r="A67" s="3224"/>
      <c r="F67" s="3224"/>
      <c r="G67" s="3224"/>
      <c r="H67" s="3224"/>
      <c r="I67" s="3173">
        <v>66</v>
      </c>
      <c r="J67" s="3173">
        <v>20240070009</v>
      </c>
      <c r="K67" s="3173"/>
      <c r="L67" s="3173"/>
      <c r="M67" s="3173" t="s">
        <v>4274</v>
      </c>
      <c r="N67" s="3173" t="s">
        <v>4480</v>
      </c>
      <c r="O67" s="3173">
        <v>39.32</v>
      </c>
      <c r="P67" s="3173" t="s">
        <v>4276</v>
      </c>
      <c r="Q67" s="3173"/>
      <c r="R67" s="3174">
        <v>45364</v>
      </c>
      <c r="S67" s="3173" t="s">
        <v>4277</v>
      </c>
      <c r="T67" s="3173" t="s">
        <v>4284</v>
      </c>
      <c r="U67" s="3173" t="s">
        <v>4279</v>
      </c>
      <c r="V67" s="3173" t="s">
        <v>4280</v>
      </c>
      <c r="X67" s="3242">
        <f ca="1">'结果表-车位'!$G$20</f>
        <v>1850</v>
      </c>
      <c r="Y67" s="3242">
        <f t="shared" ref="Y67:Y130" ca="1" si="6">X67*O67</f>
        <v>72742</v>
      </c>
      <c r="AA67" s="3173">
        <v>66</v>
      </c>
      <c r="AB67" s="3173" t="s">
        <v>4282</v>
      </c>
      <c r="AC67" s="3173"/>
      <c r="AD67" s="3173"/>
      <c r="AE67" s="3173" t="s">
        <v>4274</v>
      </c>
      <c r="AF67" s="3173" t="s">
        <v>4481</v>
      </c>
      <c r="AG67" s="3173">
        <v>42.72</v>
      </c>
      <c r="AH67" s="3173" t="s">
        <v>4296</v>
      </c>
      <c r="AI67" s="3173" t="s">
        <v>4282</v>
      </c>
      <c r="AJ67" s="3174">
        <v>45276</v>
      </c>
      <c r="AK67" s="3173" t="s">
        <v>4277</v>
      </c>
      <c r="AL67" s="3173" t="s">
        <v>4288</v>
      </c>
      <c r="AM67" s="3173" t="s">
        <v>4279</v>
      </c>
      <c r="AN67" s="3173" t="s">
        <v>4280</v>
      </c>
      <c r="AP67" s="3242">
        <f t="shared" ca="1" si="4"/>
        <v>5845</v>
      </c>
      <c r="AQ67" s="3242">
        <f t="shared" ref="AQ67:AQ73" ca="1" si="7">AP67*AG67</f>
        <v>249698.4</v>
      </c>
      <c r="AS67" s="3173">
        <v>66</v>
      </c>
      <c r="AT67" s="3173" t="s">
        <v>4273</v>
      </c>
      <c r="AU67" s="3173"/>
      <c r="AV67" s="3173"/>
      <c r="AW67" s="3173" t="s">
        <v>4274</v>
      </c>
      <c r="AX67" s="3173" t="s">
        <v>4311</v>
      </c>
      <c r="AY67" s="3173">
        <v>22.28</v>
      </c>
      <c r="AZ67" s="3173" t="s">
        <v>672</v>
      </c>
      <c r="BA67" s="3173"/>
      <c r="BB67" s="3174">
        <v>45276</v>
      </c>
      <c r="BC67" s="3173" t="s">
        <v>4277</v>
      </c>
      <c r="BD67" s="3173" t="s">
        <v>4278</v>
      </c>
      <c r="BE67" s="3173" t="s">
        <v>4279</v>
      </c>
      <c r="BF67" s="3173" t="s">
        <v>4280</v>
      </c>
      <c r="BG67" s="3180">
        <v>2</v>
      </c>
      <c r="BH67" s="3180">
        <f t="shared" ca="1" si="5"/>
        <v>5536</v>
      </c>
      <c r="BI67" s="3224">
        <f t="shared" ref="BI67:BI107" ca="1" si="8">BH67*AY67</f>
        <v>123342.08</v>
      </c>
    </row>
    <row r="68" spans="1:61" ht="54">
      <c r="A68" s="3224"/>
      <c r="F68" s="3224"/>
      <c r="G68" s="3224"/>
      <c r="H68" s="3224"/>
      <c r="I68" s="3173">
        <v>67</v>
      </c>
      <c r="J68" s="3173">
        <v>20240070009</v>
      </c>
      <c r="K68" s="3173"/>
      <c r="L68" s="3173"/>
      <c r="M68" s="3173" t="s">
        <v>4274</v>
      </c>
      <c r="N68" s="3173" t="s">
        <v>4482</v>
      </c>
      <c r="O68" s="3173">
        <v>39.32</v>
      </c>
      <c r="P68" s="3173" t="s">
        <v>4276</v>
      </c>
      <c r="Q68" s="3173"/>
      <c r="R68" s="3174">
        <v>45364</v>
      </c>
      <c r="S68" s="3173" t="s">
        <v>4277</v>
      </c>
      <c r="T68" s="3173" t="s">
        <v>4284</v>
      </c>
      <c r="U68" s="3173" t="s">
        <v>4279</v>
      </c>
      <c r="V68" s="3173" t="s">
        <v>4280</v>
      </c>
      <c r="X68" s="3242">
        <f ca="1">'结果表-车位'!$G$20</f>
        <v>1850</v>
      </c>
      <c r="Y68" s="3242">
        <f t="shared" ca="1" si="6"/>
        <v>72742</v>
      </c>
      <c r="AA68" s="3173">
        <v>67</v>
      </c>
      <c r="AB68" s="3173" t="s">
        <v>4282</v>
      </c>
      <c r="AC68" s="3173"/>
      <c r="AD68" s="3173"/>
      <c r="AE68" s="3173" t="s">
        <v>4274</v>
      </c>
      <c r="AF68" s="3173" t="s">
        <v>4483</v>
      </c>
      <c r="AG68" s="3173">
        <v>42.72</v>
      </c>
      <c r="AH68" s="3173" t="s">
        <v>4296</v>
      </c>
      <c r="AI68" s="3173" t="s">
        <v>4282</v>
      </c>
      <c r="AJ68" s="3174">
        <v>45276</v>
      </c>
      <c r="AK68" s="3173" t="s">
        <v>4277</v>
      </c>
      <c r="AL68" s="3173" t="s">
        <v>4288</v>
      </c>
      <c r="AM68" s="3173" t="s">
        <v>4279</v>
      </c>
      <c r="AN68" s="3173" t="s">
        <v>4280</v>
      </c>
      <c r="AP68" s="3242">
        <f t="shared" ca="1" si="4"/>
        <v>5845</v>
      </c>
      <c r="AQ68" s="3242">
        <f t="shared" ca="1" si="7"/>
        <v>249698.4</v>
      </c>
      <c r="AS68" s="3173">
        <v>67</v>
      </c>
      <c r="AT68" s="3173" t="s">
        <v>4273</v>
      </c>
      <c r="AU68" s="3173"/>
      <c r="AV68" s="3173"/>
      <c r="AW68" s="3173" t="s">
        <v>4274</v>
      </c>
      <c r="AX68" s="3173" t="s">
        <v>4314</v>
      </c>
      <c r="AY68" s="3173">
        <v>36.630000000000003</v>
      </c>
      <c r="AZ68" s="3173" t="s">
        <v>672</v>
      </c>
      <c r="BA68" s="3173"/>
      <c r="BB68" s="3174">
        <v>45276</v>
      </c>
      <c r="BC68" s="3173" t="s">
        <v>4277</v>
      </c>
      <c r="BD68" s="3173" t="s">
        <v>4278</v>
      </c>
      <c r="BE68" s="3173" t="s">
        <v>4279</v>
      </c>
      <c r="BF68" s="3173" t="s">
        <v>4280</v>
      </c>
      <c r="BG68" s="3180">
        <v>2</v>
      </c>
      <c r="BH68" s="3180">
        <f t="shared" ca="1" si="5"/>
        <v>5536</v>
      </c>
      <c r="BI68" s="3224">
        <f t="shared" ca="1" si="8"/>
        <v>202783.68000000002</v>
      </c>
    </row>
    <row r="69" spans="1:61" ht="54">
      <c r="A69" s="3224"/>
      <c r="F69" s="3224"/>
      <c r="G69" s="3224"/>
      <c r="H69" s="3224"/>
      <c r="I69" s="3173">
        <v>68</v>
      </c>
      <c r="J69" s="3173">
        <v>20240070009</v>
      </c>
      <c r="K69" s="3173"/>
      <c r="L69" s="3173"/>
      <c r="M69" s="3173" t="s">
        <v>4274</v>
      </c>
      <c r="N69" s="3173" t="s">
        <v>4484</v>
      </c>
      <c r="O69" s="3173">
        <v>39.32</v>
      </c>
      <c r="P69" s="3173" t="s">
        <v>4276</v>
      </c>
      <c r="Q69" s="3173"/>
      <c r="R69" s="3174">
        <v>45364</v>
      </c>
      <c r="S69" s="3173" t="s">
        <v>4277</v>
      </c>
      <c r="T69" s="3173" t="s">
        <v>4297</v>
      </c>
      <c r="U69" s="3173" t="s">
        <v>4279</v>
      </c>
      <c r="V69" s="3173" t="s">
        <v>4280</v>
      </c>
      <c r="X69" s="3242">
        <f ca="1">'结果表-车位'!$G$20</f>
        <v>1850</v>
      </c>
      <c r="Y69" s="3242">
        <f t="shared" ca="1" si="6"/>
        <v>72742</v>
      </c>
      <c r="AA69" s="3173">
        <v>68</v>
      </c>
      <c r="AB69" s="3173" t="s">
        <v>4282</v>
      </c>
      <c r="AC69" s="3173"/>
      <c r="AD69" s="3173"/>
      <c r="AE69" s="3173" t="s">
        <v>4274</v>
      </c>
      <c r="AF69" s="3173" t="s">
        <v>4485</v>
      </c>
      <c r="AG69" s="3173">
        <v>42.72</v>
      </c>
      <c r="AH69" s="3173" t="s">
        <v>4296</v>
      </c>
      <c r="AI69" s="3173" t="s">
        <v>4282</v>
      </c>
      <c r="AJ69" s="3174">
        <v>45276</v>
      </c>
      <c r="AK69" s="3173" t="s">
        <v>4277</v>
      </c>
      <c r="AL69" s="3173" t="s">
        <v>4288</v>
      </c>
      <c r="AM69" s="3173" t="s">
        <v>4279</v>
      </c>
      <c r="AN69" s="3173" t="s">
        <v>4280</v>
      </c>
      <c r="AP69" s="3242">
        <f t="shared" ca="1" si="4"/>
        <v>5845</v>
      </c>
      <c r="AQ69" s="3242">
        <f t="shared" ca="1" si="7"/>
        <v>249698.4</v>
      </c>
      <c r="AS69" s="3173">
        <v>68</v>
      </c>
      <c r="AT69" s="3173" t="s">
        <v>4273</v>
      </c>
      <c r="AU69" s="3173"/>
      <c r="AV69" s="3173"/>
      <c r="AW69" s="3173" t="s">
        <v>4274</v>
      </c>
      <c r="AX69" s="3173" t="s">
        <v>4317</v>
      </c>
      <c r="AY69" s="3173">
        <v>37.590000000000003</v>
      </c>
      <c r="AZ69" s="3173" t="s">
        <v>672</v>
      </c>
      <c r="BA69" s="3173"/>
      <c r="BB69" s="3174">
        <v>45276</v>
      </c>
      <c r="BC69" s="3173" t="s">
        <v>4277</v>
      </c>
      <c r="BD69" s="3173" t="s">
        <v>4278</v>
      </c>
      <c r="BE69" s="3173" t="s">
        <v>4279</v>
      </c>
      <c r="BF69" s="3173" t="s">
        <v>4280</v>
      </c>
      <c r="BG69" s="3180">
        <v>2</v>
      </c>
      <c r="BH69" s="3180">
        <f t="shared" ca="1" si="5"/>
        <v>5536</v>
      </c>
      <c r="BI69" s="3224">
        <f t="shared" ca="1" si="8"/>
        <v>208098.24000000002</v>
      </c>
    </row>
    <row r="70" spans="1:61" ht="54">
      <c r="A70" s="3224"/>
      <c r="F70" s="3224"/>
      <c r="G70" s="3224"/>
      <c r="H70" s="3224"/>
      <c r="I70" s="3173">
        <v>69</v>
      </c>
      <c r="J70" s="3173">
        <v>20240070009</v>
      </c>
      <c r="K70" s="3173"/>
      <c r="L70" s="3173"/>
      <c r="M70" s="3173" t="s">
        <v>4274</v>
      </c>
      <c r="N70" s="3173" t="s">
        <v>4486</v>
      </c>
      <c r="O70" s="3173">
        <v>39.32</v>
      </c>
      <c r="P70" s="3173" t="s">
        <v>4276</v>
      </c>
      <c r="Q70" s="3173"/>
      <c r="R70" s="3174">
        <v>45364</v>
      </c>
      <c r="S70" s="3173" t="s">
        <v>4277</v>
      </c>
      <c r="T70" s="3173" t="s">
        <v>4297</v>
      </c>
      <c r="U70" s="3173" t="s">
        <v>4279</v>
      </c>
      <c r="V70" s="3173" t="s">
        <v>4280</v>
      </c>
      <c r="X70" s="3242">
        <f ca="1">'结果表-车位'!$G$20</f>
        <v>1850</v>
      </c>
      <c r="Y70" s="3242">
        <f t="shared" ca="1" si="6"/>
        <v>72742</v>
      </c>
      <c r="AA70" s="3173">
        <v>69</v>
      </c>
      <c r="AB70" s="3173" t="s">
        <v>4282</v>
      </c>
      <c r="AC70" s="3173"/>
      <c r="AD70" s="3173"/>
      <c r="AE70" s="3173" t="s">
        <v>4274</v>
      </c>
      <c r="AF70" s="3173" t="s">
        <v>4487</v>
      </c>
      <c r="AG70" s="3173">
        <v>42.72</v>
      </c>
      <c r="AH70" s="3173" t="s">
        <v>4296</v>
      </c>
      <c r="AI70" s="3173" t="s">
        <v>4282</v>
      </c>
      <c r="AJ70" s="3174">
        <v>45276</v>
      </c>
      <c r="AK70" s="3173" t="s">
        <v>4277</v>
      </c>
      <c r="AL70" s="3173" t="s">
        <v>4288</v>
      </c>
      <c r="AM70" s="3173" t="s">
        <v>4279</v>
      </c>
      <c r="AN70" s="3173" t="s">
        <v>4280</v>
      </c>
      <c r="AP70" s="3242">
        <f t="shared" ref="AP70:AP73" ca="1" si="9">AP69</f>
        <v>5845</v>
      </c>
      <c r="AQ70" s="3242">
        <f t="shared" ca="1" si="7"/>
        <v>249698.4</v>
      </c>
      <c r="AS70" s="3173">
        <v>69</v>
      </c>
      <c r="AT70" s="3173" t="s">
        <v>4273</v>
      </c>
      <c r="AU70" s="3173"/>
      <c r="AV70" s="3173"/>
      <c r="AW70" s="3173" t="s">
        <v>4274</v>
      </c>
      <c r="AX70" s="3173" t="s">
        <v>4322</v>
      </c>
      <c r="AY70" s="3173">
        <v>12.43</v>
      </c>
      <c r="AZ70" s="3173" t="s">
        <v>672</v>
      </c>
      <c r="BA70" s="3173"/>
      <c r="BB70" s="3174">
        <v>45276</v>
      </c>
      <c r="BC70" s="3173" t="s">
        <v>4277</v>
      </c>
      <c r="BD70" s="3173" t="s">
        <v>4278</v>
      </c>
      <c r="BE70" s="3173" t="s">
        <v>4279</v>
      </c>
      <c r="BF70" s="3173" t="s">
        <v>4280</v>
      </c>
      <c r="BG70" s="3180">
        <v>2</v>
      </c>
      <c r="BH70" s="3180">
        <f t="shared" ca="1" si="5"/>
        <v>5536</v>
      </c>
      <c r="BI70" s="3224">
        <f t="shared" ca="1" si="8"/>
        <v>68812.479999999996</v>
      </c>
    </row>
    <row r="71" spans="1:61" ht="54">
      <c r="A71" s="3224"/>
      <c r="F71" s="3224"/>
      <c r="G71" s="3224"/>
      <c r="H71" s="3224"/>
      <c r="I71" s="3173">
        <v>70</v>
      </c>
      <c r="J71" s="3173">
        <v>20240070009</v>
      </c>
      <c r="K71" s="3173"/>
      <c r="L71" s="3173"/>
      <c r="M71" s="3173" t="s">
        <v>4274</v>
      </c>
      <c r="N71" s="3173" t="s">
        <v>4488</v>
      </c>
      <c r="O71" s="3173">
        <v>39.32</v>
      </c>
      <c r="P71" s="3173" t="s">
        <v>4276</v>
      </c>
      <c r="Q71" s="3173"/>
      <c r="R71" s="3174">
        <v>45364</v>
      </c>
      <c r="S71" s="3173" t="s">
        <v>4277</v>
      </c>
      <c r="T71" s="3173" t="s">
        <v>4297</v>
      </c>
      <c r="U71" s="3173" t="s">
        <v>4279</v>
      </c>
      <c r="V71" s="3173" t="s">
        <v>4280</v>
      </c>
      <c r="X71" s="3242">
        <f ca="1">'结果表-车位'!$G$20</f>
        <v>1850</v>
      </c>
      <c r="Y71" s="3242">
        <f t="shared" ca="1" si="6"/>
        <v>72742</v>
      </c>
      <c r="AA71" s="3173">
        <v>70</v>
      </c>
      <c r="AB71" s="3173" t="s">
        <v>4282</v>
      </c>
      <c r="AC71" s="3173"/>
      <c r="AD71" s="3173"/>
      <c r="AE71" s="3173" t="s">
        <v>4274</v>
      </c>
      <c r="AF71" s="3173" t="s">
        <v>4489</v>
      </c>
      <c r="AG71" s="3173">
        <v>42.72</v>
      </c>
      <c r="AH71" s="3173" t="s">
        <v>4296</v>
      </c>
      <c r="AI71" s="3173" t="s">
        <v>4282</v>
      </c>
      <c r="AJ71" s="3174">
        <v>45276</v>
      </c>
      <c r="AK71" s="3173" t="s">
        <v>4277</v>
      </c>
      <c r="AL71" s="3173" t="s">
        <v>4288</v>
      </c>
      <c r="AM71" s="3173" t="s">
        <v>4279</v>
      </c>
      <c r="AN71" s="3173" t="s">
        <v>4280</v>
      </c>
      <c r="AP71" s="3242">
        <f t="shared" ca="1" si="9"/>
        <v>5845</v>
      </c>
      <c r="AQ71" s="3242">
        <f t="shared" ca="1" si="7"/>
        <v>249698.4</v>
      </c>
      <c r="AS71" s="3173">
        <v>70</v>
      </c>
      <c r="AT71" s="3173" t="s">
        <v>4273</v>
      </c>
      <c r="AU71" s="3173"/>
      <c r="AV71" s="3173"/>
      <c r="AW71" s="3173" t="s">
        <v>4274</v>
      </c>
      <c r="AX71" s="3173" t="s">
        <v>4326</v>
      </c>
      <c r="AY71" s="3173">
        <v>33.549999999999997</v>
      </c>
      <c r="AZ71" s="3173" t="s">
        <v>672</v>
      </c>
      <c r="BA71" s="3173"/>
      <c r="BB71" s="3174">
        <v>45276</v>
      </c>
      <c r="BC71" s="3173" t="s">
        <v>4277</v>
      </c>
      <c r="BD71" s="3173" t="s">
        <v>4278</v>
      </c>
      <c r="BE71" s="3173" t="s">
        <v>4279</v>
      </c>
      <c r="BF71" s="3173" t="s">
        <v>4280</v>
      </c>
      <c r="BG71" s="3180">
        <v>2</v>
      </c>
      <c r="BH71" s="3180">
        <f t="shared" ca="1" si="5"/>
        <v>5536</v>
      </c>
      <c r="BI71" s="3224">
        <f t="shared" ca="1" si="8"/>
        <v>185732.8</v>
      </c>
    </row>
    <row r="72" spans="1:61" ht="54">
      <c r="A72" s="3224"/>
      <c r="F72" s="3224"/>
      <c r="G72" s="3224"/>
      <c r="H72" s="3224"/>
      <c r="I72" s="3173">
        <v>71</v>
      </c>
      <c r="J72" s="3173">
        <v>20240070009</v>
      </c>
      <c r="K72" s="3173"/>
      <c r="L72" s="3173"/>
      <c r="M72" s="3173" t="s">
        <v>4274</v>
      </c>
      <c r="N72" s="3173" t="s">
        <v>4490</v>
      </c>
      <c r="O72" s="3173">
        <v>39.32</v>
      </c>
      <c r="P72" s="3173" t="s">
        <v>4276</v>
      </c>
      <c r="Q72" s="3173"/>
      <c r="R72" s="3174">
        <v>45364</v>
      </c>
      <c r="S72" s="3173" t="s">
        <v>4277</v>
      </c>
      <c r="T72" s="3173" t="s">
        <v>4297</v>
      </c>
      <c r="U72" s="3173" t="s">
        <v>4279</v>
      </c>
      <c r="V72" s="3173" t="s">
        <v>4280</v>
      </c>
      <c r="X72" s="3242">
        <f ca="1">'结果表-车位'!$G$20</f>
        <v>1850</v>
      </c>
      <c r="Y72" s="3242">
        <f t="shared" ca="1" si="6"/>
        <v>72742</v>
      </c>
      <c r="AA72" s="3173">
        <v>71</v>
      </c>
      <c r="AB72" s="3173" t="s">
        <v>4282</v>
      </c>
      <c r="AC72" s="3173"/>
      <c r="AD72" s="3173"/>
      <c r="AE72" s="3173" t="s">
        <v>4274</v>
      </c>
      <c r="AF72" s="3173" t="s">
        <v>4491</v>
      </c>
      <c r="AG72" s="3173">
        <v>42.72</v>
      </c>
      <c r="AH72" s="3173" t="s">
        <v>4296</v>
      </c>
      <c r="AI72" s="3173" t="s">
        <v>4282</v>
      </c>
      <c r="AJ72" s="3174">
        <v>45276</v>
      </c>
      <c r="AK72" s="3173" t="s">
        <v>4277</v>
      </c>
      <c r="AL72" s="3173" t="s">
        <v>4288</v>
      </c>
      <c r="AM72" s="3173" t="s">
        <v>4279</v>
      </c>
      <c r="AN72" s="3173" t="s">
        <v>4280</v>
      </c>
      <c r="AP72" s="3242">
        <f t="shared" ca="1" si="9"/>
        <v>5845</v>
      </c>
      <c r="AQ72" s="3242">
        <f t="shared" ca="1" si="7"/>
        <v>249698.4</v>
      </c>
      <c r="AS72" s="3173">
        <v>71</v>
      </c>
      <c r="AT72" s="3173" t="s">
        <v>4273</v>
      </c>
      <c r="AU72" s="3173"/>
      <c r="AV72" s="3173"/>
      <c r="AW72" s="3173" t="s">
        <v>4274</v>
      </c>
      <c r="AX72" s="3173" t="s">
        <v>4329</v>
      </c>
      <c r="AY72" s="3173">
        <v>33.51</v>
      </c>
      <c r="AZ72" s="3173" t="s">
        <v>672</v>
      </c>
      <c r="BA72" s="3173"/>
      <c r="BB72" s="3174">
        <v>45276</v>
      </c>
      <c r="BC72" s="3173" t="s">
        <v>4277</v>
      </c>
      <c r="BD72" s="3173" t="s">
        <v>4278</v>
      </c>
      <c r="BE72" s="3173" t="s">
        <v>4279</v>
      </c>
      <c r="BF72" s="3173" t="s">
        <v>4280</v>
      </c>
      <c r="BG72" s="3180">
        <v>2</v>
      </c>
      <c r="BH72" s="3180">
        <f t="shared" ca="1" si="5"/>
        <v>5536</v>
      </c>
      <c r="BI72" s="3224">
        <f t="shared" ca="1" si="8"/>
        <v>185511.36</v>
      </c>
    </row>
    <row r="73" spans="1:61" ht="54">
      <c r="A73" s="3224"/>
      <c r="F73" s="3224"/>
      <c r="G73" s="3224"/>
      <c r="H73" s="3224"/>
      <c r="I73" s="3173">
        <v>72</v>
      </c>
      <c r="J73" s="3173">
        <v>20240070009</v>
      </c>
      <c r="K73" s="3173"/>
      <c r="L73" s="3173"/>
      <c r="M73" s="3173" t="s">
        <v>4274</v>
      </c>
      <c r="N73" s="3173" t="s">
        <v>4492</v>
      </c>
      <c r="O73" s="3173">
        <v>39.32</v>
      </c>
      <c r="P73" s="3173" t="s">
        <v>4276</v>
      </c>
      <c r="Q73" s="3173"/>
      <c r="R73" s="3174">
        <v>45364</v>
      </c>
      <c r="S73" s="3173" t="s">
        <v>4277</v>
      </c>
      <c r="T73" s="3173" t="s">
        <v>4284</v>
      </c>
      <c r="U73" s="3173" t="s">
        <v>4279</v>
      </c>
      <c r="V73" s="3173" t="s">
        <v>4280</v>
      </c>
      <c r="X73" s="3242">
        <f ca="1">'结果表-车位'!$G$20</f>
        <v>1850</v>
      </c>
      <c r="Y73" s="3242">
        <f t="shared" ca="1" si="6"/>
        <v>72742</v>
      </c>
      <c r="AA73" s="3173">
        <v>72</v>
      </c>
      <c r="AB73" s="3173" t="s">
        <v>4282</v>
      </c>
      <c r="AC73" s="3173"/>
      <c r="AD73" s="3173"/>
      <c r="AE73" s="3173" t="s">
        <v>4274</v>
      </c>
      <c r="AF73" s="3173" t="s">
        <v>4493</v>
      </c>
      <c r="AG73" s="3173">
        <v>51.35</v>
      </c>
      <c r="AH73" s="3173" t="s">
        <v>4296</v>
      </c>
      <c r="AI73" s="3173" t="s">
        <v>4282</v>
      </c>
      <c r="AJ73" s="3174">
        <v>45276</v>
      </c>
      <c r="AK73" s="3173" t="s">
        <v>4277</v>
      </c>
      <c r="AL73" s="3173" t="s">
        <v>4288</v>
      </c>
      <c r="AM73" s="3173" t="s">
        <v>4279</v>
      </c>
      <c r="AN73" s="3173" t="s">
        <v>4280</v>
      </c>
      <c r="AP73" s="3242">
        <f t="shared" ca="1" si="9"/>
        <v>5845</v>
      </c>
      <c r="AQ73" s="3242">
        <f t="shared" ca="1" si="7"/>
        <v>300140.75</v>
      </c>
      <c r="AS73" s="3173">
        <v>72</v>
      </c>
      <c r="AT73" s="3173" t="s">
        <v>4273</v>
      </c>
      <c r="AU73" s="3173"/>
      <c r="AV73" s="3173"/>
      <c r="AW73" s="3173" t="s">
        <v>4274</v>
      </c>
      <c r="AX73" s="3173" t="s">
        <v>4332</v>
      </c>
      <c r="AY73" s="3173">
        <v>61.2</v>
      </c>
      <c r="AZ73" s="3173" t="s">
        <v>672</v>
      </c>
      <c r="BA73" s="3173"/>
      <c r="BB73" s="3174">
        <v>45276</v>
      </c>
      <c r="BC73" s="3173" t="s">
        <v>4277</v>
      </c>
      <c r="BD73" s="3173" t="s">
        <v>4278</v>
      </c>
      <c r="BE73" s="3173" t="s">
        <v>4279</v>
      </c>
      <c r="BF73" s="3173" t="s">
        <v>4280</v>
      </c>
      <c r="BG73" s="3180">
        <v>2</v>
      </c>
      <c r="BH73" s="3180">
        <f t="shared" ca="1" si="5"/>
        <v>5536</v>
      </c>
      <c r="BI73" s="3224">
        <f t="shared" ca="1" si="8"/>
        <v>338803.20000000001</v>
      </c>
    </row>
    <row r="74" spans="1:61" ht="54">
      <c r="A74" s="3224"/>
      <c r="F74" s="3224"/>
      <c r="G74" s="3224"/>
      <c r="H74" s="3224"/>
      <c r="I74" s="3173">
        <v>73</v>
      </c>
      <c r="J74" s="3173">
        <v>20240070009</v>
      </c>
      <c r="K74" s="3173"/>
      <c r="L74" s="3173"/>
      <c r="M74" s="3173" t="s">
        <v>4274</v>
      </c>
      <c r="N74" s="3173" t="s">
        <v>4494</v>
      </c>
      <c r="O74" s="3173">
        <v>39.32</v>
      </c>
      <c r="P74" s="3173" t="s">
        <v>4276</v>
      </c>
      <c r="Q74" s="3173"/>
      <c r="R74" s="3174">
        <v>45364</v>
      </c>
      <c r="S74" s="3173" t="s">
        <v>4277</v>
      </c>
      <c r="T74" s="3173" t="s">
        <v>4297</v>
      </c>
      <c r="U74" s="3173" t="s">
        <v>4279</v>
      </c>
      <c r="V74" s="3173" t="s">
        <v>4280</v>
      </c>
      <c r="X74" s="3242">
        <f ca="1">'结果表-车位'!$G$20</f>
        <v>1850</v>
      </c>
      <c r="Y74" s="3242">
        <f t="shared" ca="1" si="6"/>
        <v>72742</v>
      </c>
      <c r="AG74" s="3228">
        <f>SUM(AG2:AG73)</f>
        <v>3283.5699999999979</v>
      </c>
      <c r="AI74" s="3173" t="s">
        <v>4282</v>
      </c>
      <c r="AJ74" s="3174">
        <v>45276</v>
      </c>
      <c r="AK74" s="3173" t="s">
        <v>4277</v>
      </c>
      <c r="AL74" s="3173" t="s">
        <v>4297</v>
      </c>
      <c r="AM74" s="3173" t="s">
        <v>4279</v>
      </c>
      <c r="AN74" s="3173" t="s">
        <v>4280</v>
      </c>
      <c r="AQ74" s="3228">
        <f ca="1">SUM(AQ2:AQ73)</f>
        <v>20335717.09</v>
      </c>
      <c r="AS74" s="3173">
        <v>73</v>
      </c>
      <c r="AT74" s="3173" t="s">
        <v>4273</v>
      </c>
      <c r="AU74" s="3173"/>
      <c r="AV74" s="3173"/>
      <c r="AW74" s="3173" t="s">
        <v>4274</v>
      </c>
      <c r="AX74" s="3173" t="s">
        <v>4335</v>
      </c>
      <c r="AY74" s="3173">
        <v>52.44</v>
      </c>
      <c r="AZ74" s="3173" t="s">
        <v>672</v>
      </c>
      <c r="BA74" s="3173"/>
      <c r="BB74" s="3174">
        <v>45276</v>
      </c>
      <c r="BC74" s="3173" t="s">
        <v>4277</v>
      </c>
      <c r="BD74" s="3173" t="s">
        <v>4278</v>
      </c>
      <c r="BE74" s="3173" t="s">
        <v>4279</v>
      </c>
      <c r="BF74" s="3173" t="s">
        <v>4280</v>
      </c>
      <c r="BG74" s="3180">
        <v>2</v>
      </c>
      <c r="BH74" s="3180">
        <f t="shared" ca="1" si="5"/>
        <v>5536</v>
      </c>
      <c r="BI74" s="3224">
        <f t="shared" ca="1" si="8"/>
        <v>290307.83999999997</v>
      </c>
    </row>
    <row r="75" spans="1:61" ht="54">
      <c r="A75" s="3224"/>
      <c r="F75" s="3224"/>
      <c r="G75" s="3224"/>
      <c r="H75" s="3224"/>
      <c r="I75" s="3173">
        <v>74</v>
      </c>
      <c r="J75" s="3173">
        <v>20240070009</v>
      </c>
      <c r="K75" s="3173"/>
      <c r="L75" s="3173"/>
      <c r="M75" s="3173" t="s">
        <v>4274</v>
      </c>
      <c r="N75" s="3173" t="s">
        <v>4495</v>
      </c>
      <c r="O75" s="3173">
        <v>39.32</v>
      </c>
      <c r="P75" s="3173" t="s">
        <v>4276</v>
      </c>
      <c r="Q75" s="3173"/>
      <c r="R75" s="3174">
        <v>45364</v>
      </c>
      <c r="S75" s="3173" t="s">
        <v>4277</v>
      </c>
      <c r="T75" s="3173" t="s">
        <v>4297</v>
      </c>
      <c r="U75" s="3173" t="s">
        <v>4279</v>
      </c>
      <c r="V75" s="3173" t="s">
        <v>4280</v>
      </c>
      <c r="X75" s="3242">
        <f ca="1">'结果表-车位'!$G$20</f>
        <v>1850</v>
      </c>
      <c r="Y75" s="3242">
        <f t="shared" ca="1" si="6"/>
        <v>72742</v>
      </c>
      <c r="AS75" s="3173">
        <v>74</v>
      </c>
      <c r="AT75" s="3173" t="s">
        <v>4273</v>
      </c>
      <c r="AU75" s="3173"/>
      <c r="AV75" s="3173"/>
      <c r="AW75" s="3173" t="s">
        <v>4274</v>
      </c>
      <c r="AX75" s="3173" t="s">
        <v>4338</v>
      </c>
      <c r="AY75" s="3173">
        <v>47.89</v>
      </c>
      <c r="AZ75" s="3173" t="s">
        <v>672</v>
      </c>
      <c r="BA75" s="3173"/>
      <c r="BB75" s="3174">
        <v>45276</v>
      </c>
      <c r="BC75" s="3173" t="s">
        <v>4277</v>
      </c>
      <c r="BD75" s="3173" t="s">
        <v>4278</v>
      </c>
      <c r="BE75" s="3173" t="s">
        <v>4279</v>
      </c>
      <c r="BF75" s="3173" t="s">
        <v>4280</v>
      </c>
      <c r="BG75" s="3180">
        <v>2</v>
      </c>
      <c r="BH75" s="3180">
        <f t="shared" ca="1" si="5"/>
        <v>5536</v>
      </c>
      <c r="BI75" s="3224">
        <f t="shared" ca="1" si="8"/>
        <v>265119.03999999998</v>
      </c>
    </row>
    <row r="76" spans="1:61" ht="54">
      <c r="A76" s="3224"/>
      <c r="B76" s="3224"/>
      <c r="C76" s="3224"/>
      <c r="D76" s="3224"/>
      <c r="E76" s="3224"/>
      <c r="F76" s="3224"/>
      <c r="G76" s="3224"/>
      <c r="H76" s="3224"/>
      <c r="I76" s="3173">
        <v>75</v>
      </c>
      <c r="J76" s="3173">
        <v>20240070009</v>
      </c>
      <c r="K76" s="3173"/>
      <c r="L76" s="3173"/>
      <c r="M76" s="3173" t="s">
        <v>4274</v>
      </c>
      <c r="N76" s="3173" t="s">
        <v>4496</v>
      </c>
      <c r="O76" s="3173">
        <v>39.32</v>
      </c>
      <c r="P76" s="3173" t="s">
        <v>4276</v>
      </c>
      <c r="Q76" s="3173"/>
      <c r="R76" s="3174">
        <v>45364</v>
      </c>
      <c r="S76" s="3173" t="s">
        <v>4277</v>
      </c>
      <c r="T76" s="3173" t="s">
        <v>4297</v>
      </c>
      <c r="U76" s="3173" t="s">
        <v>4279</v>
      </c>
      <c r="V76" s="3173" t="s">
        <v>4280</v>
      </c>
      <c r="X76" s="3242">
        <f ca="1">'结果表-车位'!$G$20</f>
        <v>1850</v>
      </c>
      <c r="Y76" s="3242">
        <f t="shared" ca="1" si="6"/>
        <v>72742</v>
      </c>
      <c r="AS76" s="3173">
        <v>75</v>
      </c>
      <c r="AT76" s="3173" t="s">
        <v>4273</v>
      </c>
      <c r="AU76" s="3173"/>
      <c r="AV76" s="3173"/>
      <c r="AW76" s="3173" t="s">
        <v>4274</v>
      </c>
      <c r="AX76" s="3173" t="s">
        <v>4341</v>
      </c>
      <c r="AY76" s="3173">
        <v>18.7</v>
      </c>
      <c r="AZ76" s="3173" t="s">
        <v>672</v>
      </c>
      <c r="BA76" s="3173"/>
      <c r="BB76" s="3174">
        <v>45276</v>
      </c>
      <c r="BC76" s="3173" t="s">
        <v>4277</v>
      </c>
      <c r="BD76" s="3173" t="s">
        <v>4278</v>
      </c>
      <c r="BE76" s="3173" t="s">
        <v>4279</v>
      </c>
      <c r="BF76" s="3173" t="s">
        <v>4280</v>
      </c>
      <c r="BG76" s="3180">
        <v>2</v>
      </c>
      <c r="BH76" s="3180">
        <f t="shared" ca="1" si="5"/>
        <v>5536</v>
      </c>
      <c r="BI76" s="3224">
        <f t="shared" ca="1" si="8"/>
        <v>103523.2</v>
      </c>
    </row>
    <row r="77" spans="1:61" ht="54">
      <c r="A77" s="3224"/>
      <c r="B77" s="3224"/>
      <c r="C77" s="3224"/>
      <c r="D77" s="3224"/>
      <c r="E77" s="3224"/>
      <c r="F77" s="3224"/>
      <c r="G77" s="3224"/>
      <c r="H77" s="3224"/>
      <c r="I77" s="3173">
        <v>76</v>
      </c>
      <c r="J77" s="3173">
        <v>20240070009</v>
      </c>
      <c r="K77" s="3173"/>
      <c r="L77" s="3173"/>
      <c r="M77" s="3173" t="s">
        <v>4274</v>
      </c>
      <c r="N77" s="3173" t="s">
        <v>4497</v>
      </c>
      <c r="O77" s="3173">
        <v>39.32</v>
      </c>
      <c r="P77" s="3173" t="s">
        <v>4276</v>
      </c>
      <c r="Q77" s="3173"/>
      <c r="R77" s="3174">
        <v>45364</v>
      </c>
      <c r="S77" s="3173" t="s">
        <v>4277</v>
      </c>
      <c r="T77" s="3173" t="s">
        <v>4297</v>
      </c>
      <c r="U77" s="3173" t="s">
        <v>4279</v>
      </c>
      <c r="V77" s="3173" t="s">
        <v>4280</v>
      </c>
      <c r="X77" s="3242">
        <f ca="1">'结果表-车位'!$G$20</f>
        <v>1850</v>
      </c>
      <c r="Y77" s="3242">
        <f t="shared" ca="1" si="6"/>
        <v>72742</v>
      </c>
      <c r="AS77" s="3173">
        <v>76</v>
      </c>
      <c r="AT77" s="3173" t="s">
        <v>4273</v>
      </c>
      <c r="AU77" s="3173"/>
      <c r="AV77" s="3173"/>
      <c r="AW77" s="3173" t="s">
        <v>4274</v>
      </c>
      <c r="AX77" s="3173" t="s">
        <v>4344</v>
      </c>
      <c r="AY77" s="3173">
        <v>33.51</v>
      </c>
      <c r="AZ77" s="3173" t="s">
        <v>672</v>
      </c>
      <c r="BA77" s="3173"/>
      <c r="BB77" s="3174">
        <v>45276</v>
      </c>
      <c r="BC77" s="3173" t="s">
        <v>4277</v>
      </c>
      <c r="BD77" s="3173" t="s">
        <v>4278</v>
      </c>
      <c r="BE77" s="3173" t="s">
        <v>4279</v>
      </c>
      <c r="BF77" s="3173" t="s">
        <v>4280</v>
      </c>
      <c r="BG77" s="3180">
        <v>2</v>
      </c>
      <c r="BH77" s="3180">
        <f t="shared" ca="1" si="5"/>
        <v>5536</v>
      </c>
      <c r="BI77" s="3224">
        <f t="shared" ca="1" si="8"/>
        <v>185511.36</v>
      </c>
    </row>
    <row r="78" spans="1:61" ht="54">
      <c r="A78" s="3224"/>
      <c r="B78" s="3224"/>
      <c r="C78" s="3224"/>
      <c r="D78" s="3224"/>
      <c r="E78" s="3224"/>
      <c r="F78" s="3224"/>
      <c r="G78" s="3224"/>
      <c r="H78" s="3224"/>
      <c r="I78" s="3173">
        <v>77</v>
      </c>
      <c r="J78" s="3173">
        <v>20240070009</v>
      </c>
      <c r="K78" s="3173"/>
      <c r="L78" s="3173"/>
      <c r="M78" s="3173" t="s">
        <v>4274</v>
      </c>
      <c r="N78" s="3173" t="s">
        <v>4498</v>
      </c>
      <c r="O78" s="3173">
        <v>39.32</v>
      </c>
      <c r="P78" s="3173" t="s">
        <v>4276</v>
      </c>
      <c r="Q78" s="3173"/>
      <c r="R78" s="3174">
        <v>45364</v>
      </c>
      <c r="S78" s="3173" t="s">
        <v>4277</v>
      </c>
      <c r="T78" s="3173" t="s">
        <v>4297</v>
      </c>
      <c r="U78" s="3173" t="s">
        <v>4279</v>
      </c>
      <c r="V78" s="3173" t="s">
        <v>4280</v>
      </c>
      <c r="X78" s="3242">
        <f ca="1">'结果表-车位'!$G$20</f>
        <v>1850</v>
      </c>
      <c r="Y78" s="3242">
        <f t="shared" ca="1" si="6"/>
        <v>72742</v>
      </c>
      <c r="AS78" s="3173">
        <v>77</v>
      </c>
      <c r="AT78" s="3173" t="s">
        <v>4273</v>
      </c>
      <c r="AU78" s="3173"/>
      <c r="AV78" s="3173"/>
      <c r="AW78" s="3173" t="s">
        <v>4274</v>
      </c>
      <c r="AX78" s="3173" t="s">
        <v>4347</v>
      </c>
      <c r="AY78" s="3173">
        <v>33.26</v>
      </c>
      <c r="AZ78" s="3173" t="s">
        <v>672</v>
      </c>
      <c r="BA78" s="3173"/>
      <c r="BB78" s="3174">
        <v>45276</v>
      </c>
      <c r="BC78" s="3173" t="s">
        <v>4277</v>
      </c>
      <c r="BD78" s="3173" t="s">
        <v>4278</v>
      </c>
      <c r="BE78" s="3173" t="s">
        <v>4279</v>
      </c>
      <c r="BF78" s="3173" t="s">
        <v>4280</v>
      </c>
      <c r="BG78" s="3180">
        <v>2</v>
      </c>
      <c r="BH78" s="3180">
        <f t="shared" ca="1" si="5"/>
        <v>5536</v>
      </c>
      <c r="BI78" s="3224">
        <f t="shared" ca="1" si="8"/>
        <v>184127.35999999999</v>
      </c>
    </row>
    <row r="79" spans="1:61" ht="54">
      <c r="A79" s="3224"/>
      <c r="B79" s="3224"/>
      <c r="C79" s="3224"/>
      <c r="D79" s="3224"/>
      <c r="E79" s="3224"/>
      <c r="F79" s="3224"/>
      <c r="G79" s="3224"/>
      <c r="H79" s="3224"/>
      <c r="I79" s="3173">
        <v>78</v>
      </c>
      <c r="J79" s="3173">
        <v>20240070009</v>
      </c>
      <c r="K79" s="3173"/>
      <c r="L79" s="3173"/>
      <c r="M79" s="3173" t="s">
        <v>4274</v>
      </c>
      <c r="N79" s="3173" t="s">
        <v>4499</v>
      </c>
      <c r="O79" s="3173">
        <v>39.32</v>
      </c>
      <c r="P79" s="3173" t="s">
        <v>4276</v>
      </c>
      <c r="Q79" s="3173"/>
      <c r="R79" s="3174">
        <v>45364</v>
      </c>
      <c r="S79" s="3173" t="s">
        <v>4277</v>
      </c>
      <c r="T79" s="3173" t="s">
        <v>4297</v>
      </c>
      <c r="U79" s="3173" t="s">
        <v>4279</v>
      </c>
      <c r="V79" s="3173" t="s">
        <v>4280</v>
      </c>
      <c r="X79" s="3242">
        <f ca="1">'结果表-车位'!$G$20</f>
        <v>1850</v>
      </c>
      <c r="Y79" s="3242">
        <f t="shared" ca="1" si="6"/>
        <v>72742</v>
      </c>
      <c r="AS79" s="3173">
        <v>78</v>
      </c>
      <c r="AT79" s="3173" t="s">
        <v>4273</v>
      </c>
      <c r="AU79" s="3173"/>
      <c r="AV79" s="3173"/>
      <c r="AW79" s="3173" t="s">
        <v>4274</v>
      </c>
      <c r="AX79" s="3173" t="s">
        <v>4350</v>
      </c>
      <c r="AY79" s="3173">
        <v>33.93</v>
      </c>
      <c r="AZ79" s="3173" t="s">
        <v>672</v>
      </c>
      <c r="BA79" s="3173"/>
      <c r="BB79" s="3174">
        <v>45276</v>
      </c>
      <c r="BC79" s="3173" t="s">
        <v>4277</v>
      </c>
      <c r="BD79" s="3173" t="s">
        <v>4278</v>
      </c>
      <c r="BE79" s="3173" t="s">
        <v>4279</v>
      </c>
      <c r="BF79" s="3173" t="s">
        <v>4280</v>
      </c>
      <c r="BG79" s="3180">
        <v>2</v>
      </c>
      <c r="BH79" s="3180">
        <f t="shared" ca="1" si="5"/>
        <v>5536</v>
      </c>
      <c r="BI79" s="3224">
        <f t="shared" ca="1" si="8"/>
        <v>187836.48</v>
      </c>
    </row>
    <row r="80" spans="1:61" ht="54">
      <c r="A80" s="3224"/>
      <c r="B80" s="3224"/>
      <c r="C80" s="3224"/>
      <c r="D80" s="3224"/>
      <c r="E80" s="3224"/>
      <c r="F80" s="3224"/>
      <c r="G80" s="3224"/>
      <c r="H80" s="3224"/>
      <c r="I80" s="3173">
        <v>79</v>
      </c>
      <c r="J80" s="3173">
        <v>20240070009</v>
      </c>
      <c r="K80" s="3173"/>
      <c r="L80" s="3173"/>
      <c r="M80" s="3173" t="s">
        <v>4274</v>
      </c>
      <c r="N80" s="3173" t="s">
        <v>4500</v>
      </c>
      <c r="O80" s="3173">
        <v>39.32</v>
      </c>
      <c r="P80" s="3173" t="s">
        <v>4276</v>
      </c>
      <c r="Q80" s="3173"/>
      <c r="R80" s="3174">
        <v>45364</v>
      </c>
      <c r="S80" s="3173" t="s">
        <v>4277</v>
      </c>
      <c r="T80" s="3173" t="s">
        <v>4297</v>
      </c>
      <c r="U80" s="3173" t="s">
        <v>4279</v>
      </c>
      <c r="V80" s="3173" t="s">
        <v>4280</v>
      </c>
      <c r="X80" s="3242">
        <f ca="1">'结果表-车位'!$G$20</f>
        <v>1850</v>
      </c>
      <c r="Y80" s="3242">
        <f t="shared" ca="1" si="6"/>
        <v>72742</v>
      </c>
      <c r="AS80" s="3173">
        <v>79</v>
      </c>
      <c r="AT80" s="3173" t="s">
        <v>4273</v>
      </c>
      <c r="AU80" s="3173"/>
      <c r="AV80" s="3173"/>
      <c r="AW80" s="3173" t="s">
        <v>4274</v>
      </c>
      <c r="AX80" s="3173" t="s">
        <v>4353</v>
      </c>
      <c r="AY80" s="3173">
        <v>33.31</v>
      </c>
      <c r="AZ80" s="3173" t="s">
        <v>672</v>
      </c>
      <c r="BA80" s="3173"/>
      <c r="BB80" s="3174">
        <v>45276</v>
      </c>
      <c r="BC80" s="3173" t="s">
        <v>4277</v>
      </c>
      <c r="BD80" s="3173" t="s">
        <v>4278</v>
      </c>
      <c r="BE80" s="3173" t="s">
        <v>4279</v>
      </c>
      <c r="BF80" s="3173" t="s">
        <v>4280</v>
      </c>
      <c r="BG80" s="3180">
        <v>2</v>
      </c>
      <c r="BH80" s="3180">
        <f t="shared" ca="1" si="5"/>
        <v>5536</v>
      </c>
      <c r="BI80" s="3224">
        <f t="shared" ca="1" si="8"/>
        <v>184404.16</v>
      </c>
    </row>
    <row r="81" spans="1:61" ht="54">
      <c r="A81" s="3224"/>
      <c r="B81" s="3224"/>
      <c r="C81" s="3224"/>
      <c r="D81" s="3224"/>
      <c r="E81" s="3224"/>
      <c r="F81" s="3224"/>
      <c r="G81" s="3224"/>
      <c r="H81" s="3224"/>
      <c r="I81" s="3173">
        <v>80</v>
      </c>
      <c r="J81" s="3173">
        <v>20240070009</v>
      </c>
      <c r="K81" s="3173"/>
      <c r="L81" s="3173"/>
      <c r="M81" s="3173" t="s">
        <v>4274</v>
      </c>
      <c r="N81" s="3173" t="s">
        <v>4501</v>
      </c>
      <c r="O81" s="3173">
        <v>39.32</v>
      </c>
      <c r="P81" s="3173" t="s">
        <v>4276</v>
      </c>
      <c r="Q81" s="3173"/>
      <c r="R81" s="3174">
        <v>45364</v>
      </c>
      <c r="S81" s="3173" t="s">
        <v>4277</v>
      </c>
      <c r="T81" s="3173" t="s">
        <v>4297</v>
      </c>
      <c r="U81" s="3173" t="s">
        <v>4279</v>
      </c>
      <c r="V81" s="3173" t="s">
        <v>4280</v>
      </c>
      <c r="X81" s="3242">
        <f ca="1">'结果表-车位'!$G$20</f>
        <v>1850</v>
      </c>
      <c r="Y81" s="3242">
        <f t="shared" ca="1" si="6"/>
        <v>72742</v>
      </c>
      <c r="AS81" s="3173">
        <v>80</v>
      </c>
      <c r="AT81" s="3173" t="s">
        <v>4273</v>
      </c>
      <c r="AU81" s="3173"/>
      <c r="AV81" s="3173"/>
      <c r="AW81" s="3173" t="s">
        <v>4274</v>
      </c>
      <c r="AX81" s="3173" t="s">
        <v>4356</v>
      </c>
      <c r="AY81" s="3173">
        <v>29.91</v>
      </c>
      <c r="AZ81" s="3173" t="s">
        <v>672</v>
      </c>
      <c r="BA81" s="3173"/>
      <c r="BB81" s="3174">
        <v>45276</v>
      </c>
      <c r="BC81" s="3173" t="s">
        <v>4277</v>
      </c>
      <c r="BD81" s="3173" t="s">
        <v>4278</v>
      </c>
      <c r="BE81" s="3173" t="s">
        <v>4279</v>
      </c>
      <c r="BF81" s="3173" t="s">
        <v>4280</v>
      </c>
      <c r="BG81" s="3180">
        <v>2</v>
      </c>
      <c r="BH81" s="3180">
        <f t="shared" ca="1" si="5"/>
        <v>5536</v>
      </c>
      <c r="BI81" s="3224">
        <f t="shared" ca="1" si="8"/>
        <v>165581.76000000001</v>
      </c>
    </row>
    <row r="82" spans="1:61" ht="54">
      <c r="A82" s="3224"/>
      <c r="B82" s="3224"/>
      <c r="C82" s="3224"/>
      <c r="D82" s="3224"/>
      <c r="E82" s="3224"/>
      <c r="F82" s="3224"/>
      <c r="G82" s="3224"/>
      <c r="H82" s="3224"/>
      <c r="I82" s="3173">
        <v>81</v>
      </c>
      <c r="J82" s="3173">
        <v>20240070009</v>
      </c>
      <c r="K82" s="3173"/>
      <c r="L82" s="3173"/>
      <c r="M82" s="3173" t="s">
        <v>4274</v>
      </c>
      <c r="N82" s="3173" t="s">
        <v>4502</v>
      </c>
      <c r="O82" s="3173">
        <v>39.32</v>
      </c>
      <c r="P82" s="3173" t="s">
        <v>4276</v>
      </c>
      <c r="Q82" s="3173"/>
      <c r="R82" s="3174">
        <v>45364</v>
      </c>
      <c r="S82" s="3173" t="s">
        <v>4277</v>
      </c>
      <c r="T82" s="3173" t="s">
        <v>4297</v>
      </c>
      <c r="U82" s="3173" t="s">
        <v>4279</v>
      </c>
      <c r="V82" s="3173" t="s">
        <v>4280</v>
      </c>
      <c r="X82" s="3242">
        <f ca="1">'结果表-车位'!$G$20</f>
        <v>1850</v>
      </c>
      <c r="Y82" s="3242">
        <f t="shared" ca="1" si="6"/>
        <v>72742</v>
      </c>
      <c r="AS82" s="3173">
        <v>81</v>
      </c>
      <c r="AT82" s="3173" t="s">
        <v>4273</v>
      </c>
      <c r="AU82" s="3173"/>
      <c r="AV82" s="3173"/>
      <c r="AW82" s="3173" t="s">
        <v>4274</v>
      </c>
      <c r="AX82" s="3173" t="s">
        <v>4359</v>
      </c>
      <c r="AY82" s="3173">
        <v>26.2</v>
      </c>
      <c r="AZ82" s="3173" t="s">
        <v>672</v>
      </c>
      <c r="BA82" s="3173"/>
      <c r="BB82" s="3174">
        <v>45276</v>
      </c>
      <c r="BC82" s="3173" t="s">
        <v>4277</v>
      </c>
      <c r="BD82" s="3173" t="s">
        <v>4278</v>
      </c>
      <c r="BE82" s="3173" t="s">
        <v>4279</v>
      </c>
      <c r="BF82" s="3173" t="s">
        <v>4280</v>
      </c>
      <c r="BG82" s="3180">
        <v>2</v>
      </c>
      <c r="BH82" s="3180">
        <f t="shared" ca="1" si="5"/>
        <v>5536</v>
      </c>
      <c r="BI82" s="3224">
        <f t="shared" ca="1" si="8"/>
        <v>145043.19999999998</v>
      </c>
    </row>
    <row r="83" spans="1:61" ht="54">
      <c r="A83" s="3224"/>
      <c r="B83" s="3224"/>
      <c r="C83" s="3224"/>
      <c r="D83" s="3224"/>
      <c r="E83" s="3224"/>
      <c r="F83" s="3224"/>
      <c r="G83" s="3224"/>
      <c r="H83" s="3224"/>
      <c r="I83" s="3173">
        <v>82</v>
      </c>
      <c r="J83" s="3173">
        <v>20240070009</v>
      </c>
      <c r="K83" s="3173"/>
      <c r="L83" s="3173"/>
      <c r="M83" s="3173" t="s">
        <v>4274</v>
      </c>
      <c r="N83" s="3173" t="s">
        <v>4504</v>
      </c>
      <c r="O83" s="3173">
        <v>39.32</v>
      </c>
      <c r="P83" s="3173" t="s">
        <v>4276</v>
      </c>
      <c r="Q83" s="3173"/>
      <c r="R83" s="3174">
        <v>45364</v>
      </c>
      <c r="S83" s="3173" t="s">
        <v>4277</v>
      </c>
      <c r="T83" s="3173" t="s">
        <v>4297</v>
      </c>
      <c r="U83" s="3173" t="s">
        <v>4279</v>
      </c>
      <c r="V83" s="3173" t="s">
        <v>4280</v>
      </c>
      <c r="X83" s="3242">
        <f ca="1">'结果表-车位'!$G$20</f>
        <v>1850</v>
      </c>
      <c r="Y83" s="3242">
        <f t="shared" ca="1" si="6"/>
        <v>72742</v>
      </c>
      <c r="AS83" s="3173">
        <v>82</v>
      </c>
      <c r="AT83" s="3173" t="s">
        <v>4273</v>
      </c>
      <c r="AU83" s="3173"/>
      <c r="AV83" s="3173"/>
      <c r="AW83" s="3173" t="s">
        <v>4274</v>
      </c>
      <c r="AX83" s="3173" t="s">
        <v>4503</v>
      </c>
      <c r="AY83" s="3173">
        <v>25.26</v>
      </c>
      <c r="AZ83" s="3173" t="s">
        <v>672</v>
      </c>
      <c r="BA83" s="3173"/>
      <c r="BB83" s="3174">
        <v>45276</v>
      </c>
      <c r="BC83" s="3173" t="s">
        <v>4277</v>
      </c>
      <c r="BD83" s="3173" t="s">
        <v>4278</v>
      </c>
      <c r="BE83" s="3173" t="s">
        <v>4279</v>
      </c>
      <c r="BF83" s="3173" t="s">
        <v>4280</v>
      </c>
      <c r="BG83" s="3180">
        <v>3</v>
      </c>
      <c r="BH83" s="3180">
        <f t="shared" ca="1" si="5"/>
        <v>5536</v>
      </c>
      <c r="BI83" s="3224">
        <f t="shared" ca="1" si="8"/>
        <v>139839.36000000002</v>
      </c>
    </row>
    <row r="84" spans="1:61" ht="54">
      <c r="A84" s="3224"/>
      <c r="B84" s="3224"/>
      <c r="C84" s="3224"/>
      <c r="D84" s="3224"/>
      <c r="E84" s="3224"/>
      <c r="F84" s="3224"/>
      <c r="G84" s="3224"/>
      <c r="H84" s="3224"/>
      <c r="I84" s="3173">
        <v>83</v>
      </c>
      <c r="J84" s="3173">
        <v>20240070009</v>
      </c>
      <c r="K84" s="3173"/>
      <c r="L84" s="3173"/>
      <c r="M84" s="3173" t="s">
        <v>4274</v>
      </c>
      <c r="N84" s="3173" t="s">
        <v>4506</v>
      </c>
      <c r="O84" s="3173">
        <v>39.32</v>
      </c>
      <c r="P84" s="3173" t="s">
        <v>4276</v>
      </c>
      <c r="Q84" s="3173"/>
      <c r="R84" s="3174">
        <v>45364</v>
      </c>
      <c r="S84" s="3173" t="s">
        <v>4277</v>
      </c>
      <c r="T84" s="3173" t="s">
        <v>4284</v>
      </c>
      <c r="U84" s="3173" t="s">
        <v>4279</v>
      </c>
      <c r="V84" s="3173" t="s">
        <v>4280</v>
      </c>
      <c r="X84" s="3242">
        <f ca="1">'结果表-车位'!$G$20</f>
        <v>1850</v>
      </c>
      <c r="Y84" s="3242">
        <f t="shared" ca="1" si="6"/>
        <v>72742</v>
      </c>
      <c r="AS84" s="3173">
        <v>83</v>
      </c>
      <c r="AT84" s="3173" t="s">
        <v>4273</v>
      </c>
      <c r="AU84" s="3173"/>
      <c r="AV84" s="3173"/>
      <c r="AW84" s="3173" t="s">
        <v>4274</v>
      </c>
      <c r="AX84" s="3173" t="s">
        <v>4505</v>
      </c>
      <c r="AY84" s="3173">
        <v>30.85</v>
      </c>
      <c r="AZ84" s="3173" t="s">
        <v>672</v>
      </c>
      <c r="BA84" s="3173"/>
      <c r="BB84" s="3174">
        <v>45276</v>
      </c>
      <c r="BC84" s="3173" t="s">
        <v>4277</v>
      </c>
      <c r="BD84" s="3173" t="s">
        <v>4278</v>
      </c>
      <c r="BE84" s="3173" t="s">
        <v>4279</v>
      </c>
      <c r="BF84" s="3173" t="s">
        <v>4280</v>
      </c>
      <c r="BG84" s="3180">
        <v>3</v>
      </c>
      <c r="BH84" s="3180">
        <f t="shared" ca="1" si="5"/>
        <v>5536</v>
      </c>
      <c r="BI84" s="3224">
        <f t="shared" ca="1" si="8"/>
        <v>170785.6</v>
      </c>
    </row>
    <row r="85" spans="1:61" ht="54">
      <c r="A85" s="3224"/>
      <c r="B85" s="3224"/>
      <c r="C85" s="3224"/>
      <c r="D85" s="3224"/>
      <c r="E85" s="3224"/>
      <c r="F85" s="3224"/>
      <c r="G85" s="3224"/>
      <c r="H85" s="3224"/>
      <c r="I85" s="3173">
        <v>84</v>
      </c>
      <c r="J85" s="3173">
        <v>20240070009</v>
      </c>
      <c r="K85" s="3173"/>
      <c r="L85" s="3173"/>
      <c r="M85" s="3173" t="s">
        <v>4274</v>
      </c>
      <c r="N85" s="3173" t="s">
        <v>4508</v>
      </c>
      <c r="O85" s="3173">
        <v>39.32</v>
      </c>
      <c r="P85" s="3173" t="s">
        <v>4276</v>
      </c>
      <c r="Q85" s="3173"/>
      <c r="R85" s="3174">
        <v>45364</v>
      </c>
      <c r="S85" s="3173" t="s">
        <v>4277</v>
      </c>
      <c r="T85" s="3173" t="s">
        <v>4284</v>
      </c>
      <c r="U85" s="3173" t="s">
        <v>4279</v>
      </c>
      <c r="V85" s="3173" t="s">
        <v>4280</v>
      </c>
      <c r="X85" s="3242">
        <f ca="1">'结果表-车位'!$G$20</f>
        <v>1850</v>
      </c>
      <c r="Y85" s="3242">
        <f t="shared" ca="1" si="6"/>
        <v>72742</v>
      </c>
      <c r="AS85" s="3173">
        <v>84</v>
      </c>
      <c r="AT85" s="3173" t="s">
        <v>4273</v>
      </c>
      <c r="AU85" s="3173"/>
      <c r="AV85" s="3173"/>
      <c r="AW85" s="3173" t="s">
        <v>4274</v>
      </c>
      <c r="AX85" s="3173" t="s">
        <v>4507</v>
      </c>
      <c r="AY85" s="3173">
        <v>34.159999999999997</v>
      </c>
      <c r="AZ85" s="3173" t="s">
        <v>672</v>
      </c>
      <c r="BA85" s="3173"/>
      <c r="BB85" s="3174">
        <v>45276</v>
      </c>
      <c r="BC85" s="3173" t="s">
        <v>4277</v>
      </c>
      <c r="BD85" s="3173" t="s">
        <v>4278</v>
      </c>
      <c r="BE85" s="3173" t="s">
        <v>4279</v>
      </c>
      <c r="BF85" s="3173" t="s">
        <v>4280</v>
      </c>
      <c r="BG85" s="3180">
        <v>3</v>
      </c>
      <c r="BH85" s="3180">
        <f t="shared" ca="1" si="5"/>
        <v>5536</v>
      </c>
      <c r="BI85" s="3224">
        <f t="shared" ca="1" si="8"/>
        <v>189109.75999999998</v>
      </c>
    </row>
    <row r="86" spans="1:61" ht="54">
      <c r="A86" s="3224"/>
      <c r="B86" s="3224"/>
      <c r="C86" s="3224"/>
      <c r="D86" s="3224"/>
      <c r="E86" s="3224"/>
      <c r="F86" s="3224"/>
      <c r="G86" s="3224"/>
      <c r="H86" s="3224"/>
      <c r="I86" s="3173">
        <v>85</v>
      </c>
      <c r="J86" s="3173">
        <v>20240070009</v>
      </c>
      <c r="K86" s="3173"/>
      <c r="L86" s="3173"/>
      <c r="M86" s="3173" t="s">
        <v>4274</v>
      </c>
      <c r="N86" s="3173" t="s">
        <v>4510</v>
      </c>
      <c r="O86" s="3173">
        <v>39.32</v>
      </c>
      <c r="P86" s="3173" t="s">
        <v>4276</v>
      </c>
      <c r="Q86" s="3173"/>
      <c r="R86" s="3174">
        <v>45364</v>
      </c>
      <c r="S86" s="3173" t="s">
        <v>4277</v>
      </c>
      <c r="T86" s="3173" t="s">
        <v>4284</v>
      </c>
      <c r="U86" s="3173" t="s">
        <v>4279</v>
      </c>
      <c r="V86" s="3173" t="s">
        <v>4280</v>
      </c>
      <c r="X86" s="3242">
        <f ca="1">'结果表-车位'!$G$20</f>
        <v>1850</v>
      </c>
      <c r="Y86" s="3242">
        <f t="shared" ca="1" si="6"/>
        <v>72742</v>
      </c>
      <c r="AS86" s="3173">
        <v>85</v>
      </c>
      <c r="AT86" s="3173" t="s">
        <v>4273</v>
      </c>
      <c r="AU86" s="3173"/>
      <c r="AV86" s="3173"/>
      <c r="AW86" s="3173" t="s">
        <v>4274</v>
      </c>
      <c r="AX86" s="3173" t="s">
        <v>4509</v>
      </c>
      <c r="AY86" s="3173">
        <v>33.14</v>
      </c>
      <c r="AZ86" s="3173" t="s">
        <v>672</v>
      </c>
      <c r="BA86" s="3173"/>
      <c r="BB86" s="3174">
        <v>45276</v>
      </c>
      <c r="BC86" s="3173" t="s">
        <v>4277</v>
      </c>
      <c r="BD86" s="3173" t="s">
        <v>4278</v>
      </c>
      <c r="BE86" s="3173" t="s">
        <v>4279</v>
      </c>
      <c r="BF86" s="3173" t="s">
        <v>4280</v>
      </c>
      <c r="BG86" s="3180">
        <v>3</v>
      </c>
      <c r="BH86" s="3180">
        <f t="shared" ca="1" si="5"/>
        <v>5536</v>
      </c>
      <c r="BI86" s="3224">
        <f t="shared" ca="1" si="8"/>
        <v>183463.04000000001</v>
      </c>
    </row>
    <row r="87" spans="1:61" ht="54">
      <c r="A87" s="3224"/>
      <c r="B87" s="3224"/>
      <c r="C87" s="3224"/>
      <c r="D87" s="3224"/>
      <c r="E87" s="3224"/>
      <c r="F87" s="3224"/>
      <c r="G87" s="3224"/>
      <c r="H87" s="3224"/>
      <c r="I87" s="3173">
        <v>86</v>
      </c>
      <c r="J87" s="3173">
        <v>20240070009</v>
      </c>
      <c r="K87" s="3173"/>
      <c r="L87" s="3173"/>
      <c r="M87" s="3173" t="s">
        <v>4274</v>
      </c>
      <c r="N87" s="3173" t="s">
        <v>4512</v>
      </c>
      <c r="O87" s="3173">
        <v>39.32</v>
      </c>
      <c r="P87" s="3173" t="s">
        <v>4276</v>
      </c>
      <c r="Q87" s="3173"/>
      <c r="R87" s="3174">
        <v>45364</v>
      </c>
      <c r="S87" s="3173" t="s">
        <v>4277</v>
      </c>
      <c r="T87" s="3173" t="s">
        <v>4297</v>
      </c>
      <c r="U87" s="3173" t="s">
        <v>4279</v>
      </c>
      <c r="V87" s="3173" t="s">
        <v>4280</v>
      </c>
      <c r="X87" s="3242">
        <f ca="1">'结果表-车位'!$G$20</f>
        <v>1850</v>
      </c>
      <c r="Y87" s="3242">
        <f t="shared" ca="1" si="6"/>
        <v>72742</v>
      </c>
      <c r="AS87" s="3173">
        <v>86</v>
      </c>
      <c r="AT87" s="3173" t="s">
        <v>4273</v>
      </c>
      <c r="AU87" s="3173"/>
      <c r="AV87" s="3173"/>
      <c r="AW87" s="3173" t="s">
        <v>4274</v>
      </c>
      <c r="AX87" s="3173" t="s">
        <v>4511</v>
      </c>
      <c r="AY87" s="3173">
        <v>22.28</v>
      </c>
      <c r="AZ87" s="3173" t="s">
        <v>672</v>
      </c>
      <c r="BA87" s="3173"/>
      <c r="BB87" s="3174">
        <v>45276</v>
      </c>
      <c r="BC87" s="3173" t="s">
        <v>4277</v>
      </c>
      <c r="BD87" s="3173" t="s">
        <v>4278</v>
      </c>
      <c r="BE87" s="3173" t="s">
        <v>4279</v>
      </c>
      <c r="BF87" s="3173" t="s">
        <v>4280</v>
      </c>
      <c r="BG87" s="3180">
        <v>3</v>
      </c>
      <c r="BH87" s="3180">
        <f t="shared" ca="1" si="5"/>
        <v>5536</v>
      </c>
      <c r="BI87" s="3224">
        <f t="shared" ca="1" si="8"/>
        <v>123342.08</v>
      </c>
    </row>
    <row r="88" spans="1:61" ht="54">
      <c r="A88" s="3224"/>
      <c r="B88" s="3224"/>
      <c r="C88" s="3224"/>
      <c r="D88" s="3224"/>
      <c r="E88" s="3224"/>
      <c r="F88" s="3224"/>
      <c r="G88" s="3224"/>
      <c r="H88" s="3224"/>
      <c r="I88" s="3173">
        <v>87</v>
      </c>
      <c r="J88" s="3173">
        <v>20240070009</v>
      </c>
      <c r="K88" s="3173"/>
      <c r="L88" s="3173"/>
      <c r="M88" s="3173" t="s">
        <v>4274</v>
      </c>
      <c r="N88" s="3173" t="s">
        <v>4514</v>
      </c>
      <c r="O88" s="3173">
        <v>39.32</v>
      </c>
      <c r="P88" s="3173" t="s">
        <v>4276</v>
      </c>
      <c r="Q88" s="3173"/>
      <c r="R88" s="3174">
        <v>45364</v>
      </c>
      <c r="S88" s="3173" t="s">
        <v>4277</v>
      </c>
      <c r="T88" s="3173" t="s">
        <v>4297</v>
      </c>
      <c r="U88" s="3173" t="s">
        <v>4279</v>
      </c>
      <c r="V88" s="3173" t="s">
        <v>4280</v>
      </c>
      <c r="X88" s="3242">
        <f ca="1">'结果表-车位'!$G$20</f>
        <v>1850</v>
      </c>
      <c r="Y88" s="3242">
        <f t="shared" ca="1" si="6"/>
        <v>72742</v>
      </c>
      <c r="AS88" s="3173">
        <v>87</v>
      </c>
      <c r="AT88" s="3173" t="s">
        <v>4273</v>
      </c>
      <c r="AU88" s="3173"/>
      <c r="AV88" s="3173"/>
      <c r="AW88" s="3173" t="s">
        <v>4274</v>
      </c>
      <c r="AX88" s="3173" t="s">
        <v>4513</v>
      </c>
      <c r="AY88" s="3173">
        <v>36.630000000000003</v>
      </c>
      <c r="AZ88" s="3173" t="s">
        <v>672</v>
      </c>
      <c r="BA88" s="3173"/>
      <c r="BB88" s="3174">
        <v>45276</v>
      </c>
      <c r="BC88" s="3173" t="s">
        <v>4277</v>
      </c>
      <c r="BD88" s="3173" t="s">
        <v>4278</v>
      </c>
      <c r="BE88" s="3173" t="s">
        <v>4279</v>
      </c>
      <c r="BF88" s="3173" t="s">
        <v>4280</v>
      </c>
      <c r="BG88" s="3180">
        <v>3</v>
      </c>
      <c r="BH88" s="3180">
        <f t="shared" ca="1" si="5"/>
        <v>5536</v>
      </c>
      <c r="BI88" s="3224">
        <f t="shared" ca="1" si="8"/>
        <v>202783.68000000002</v>
      </c>
    </row>
    <row r="89" spans="1:61" ht="54">
      <c r="A89" s="3224"/>
      <c r="B89" s="3224"/>
      <c r="C89" s="3224"/>
      <c r="D89" s="3224"/>
      <c r="E89" s="3224"/>
      <c r="F89" s="3224"/>
      <c r="G89" s="3224"/>
      <c r="H89" s="3224"/>
      <c r="I89" s="3173">
        <v>88</v>
      </c>
      <c r="J89" s="3173">
        <v>20240070009</v>
      </c>
      <c r="K89" s="3173"/>
      <c r="L89" s="3173"/>
      <c r="M89" s="3173" t="s">
        <v>4274</v>
      </c>
      <c r="N89" s="3173" t="s">
        <v>4516</v>
      </c>
      <c r="O89" s="3173">
        <v>39.32</v>
      </c>
      <c r="P89" s="3173" t="s">
        <v>4276</v>
      </c>
      <c r="Q89" s="3173"/>
      <c r="R89" s="3174">
        <v>45364</v>
      </c>
      <c r="S89" s="3173" t="s">
        <v>4277</v>
      </c>
      <c r="T89" s="3173" t="s">
        <v>4297</v>
      </c>
      <c r="U89" s="3173" t="s">
        <v>4279</v>
      </c>
      <c r="V89" s="3173" t="s">
        <v>4280</v>
      </c>
      <c r="X89" s="3242">
        <f ca="1">'结果表-车位'!$G$20</f>
        <v>1850</v>
      </c>
      <c r="Y89" s="3242">
        <f t="shared" ca="1" si="6"/>
        <v>72742</v>
      </c>
      <c r="AS89" s="3173">
        <v>88</v>
      </c>
      <c r="AT89" s="3173" t="s">
        <v>4273</v>
      </c>
      <c r="AU89" s="3173"/>
      <c r="AV89" s="3173"/>
      <c r="AW89" s="3173" t="s">
        <v>4274</v>
      </c>
      <c r="AX89" s="3173" t="s">
        <v>4515</v>
      </c>
      <c r="AY89" s="3173">
        <v>37.590000000000003</v>
      </c>
      <c r="AZ89" s="3173" t="s">
        <v>672</v>
      </c>
      <c r="BA89" s="3173"/>
      <c r="BB89" s="3174">
        <v>45276</v>
      </c>
      <c r="BC89" s="3173" t="s">
        <v>4277</v>
      </c>
      <c r="BD89" s="3173" t="s">
        <v>4278</v>
      </c>
      <c r="BE89" s="3173" t="s">
        <v>4279</v>
      </c>
      <c r="BF89" s="3173" t="s">
        <v>4280</v>
      </c>
      <c r="BG89" s="3180">
        <v>3</v>
      </c>
      <c r="BH89" s="3180">
        <f t="shared" ca="1" si="5"/>
        <v>5536</v>
      </c>
      <c r="BI89" s="3224">
        <f t="shared" ca="1" si="8"/>
        <v>208098.24000000002</v>
      </c>
    </row>
    <row r="90" spans="1:61" ht="54">
      <c r="A90" s="3224"/>
      <c r="B90" s="3224"/>
      <c r="C90" s="3224"/>
      <c r="D90" s="3224"/>
      <c r="E90" s="3224"/>
      <c r="F90" s="3224"/>
      <c r="G90" s="3224"/>
      <c r="H90" s="3224"/>
      <c r="I90" s="3173">
        <v>89</v>
      </c>
      <c r="J90" s="3173">
        <v>20240070009</v>
      </c>
      <c r="K90" s="3173"/>
      <c r="L90" s="3173"/>
      <c r="M90" s="3173" t="s">
        <v>4274</v>
      </c>
      <c r="N90" s="3173" t="s">
        <v>4518</v>
      </c>
      <c r="O90" s="3173">
        <v>39.32</v>
      </c>
      <c r="P90" s="3173" t="s">
        <v>4276</v>
      </c>
      <c r="Q90" s="3173"/>
      <c r="R90" s="3174">
        <v>45364</v>
      </c>
      <c r="S90" s="3173" t="s">
        <v>4277</v>
      </c>
      <c r="T90" s="3173" t="s">
        <v>4297</v>
      </c>
      <c r="U90" s="3173" t="s">
        <v>4279</v>
      </c>
      <c r="V90" s="3173" t="s">
        <v>4280</v>
      </c>
      <c r="X90" s="3242">
        <f ca="1">'结果表-车位'!$G$20</f>
        <v>1850</v>
      </c>
      <c r="Y90" s="3242">
        <f t="shared" ca="1" si="6"/>
        <v>72742</v>
      </c>
      <c r="AS90" s="3173">
        <v>89</v>
      </c>
      <c r="AT90" s="3173" t="s">
        <v>4273</v>
      </c>
      <c r="AU90" s="3173"/>
      <c r="AV90" s="3173"/>
      <c r="AW90" s="3173" t="s">
        <v>4274</v>
      </c>
      <c r="AX90" s="3173" t="s">
        <v>4517</v>
      </c>
      <c r="AY90" s="3173">
        <v>12.51</v>
      </c>
      <c r="AZ90" s="3173" t="s">
        <v>672</v>
      </c>
      <c r="BA90" s="3173"/>
      <c r="BB90" s="3174">
        <v>45276</v>
      </c>
      <c r="BC90" s="3173" t="s">
        <v>4277</v>
      </c>
      <c r="BD90" s="3173" t="s">
        <v>4278</v>
      </c>
      <c r="BE90" s="3173" t="s">
        <v>4279</v>
      </c>
      <c r="BF90" s="3173" t="s">
        <v>4280</v>
      </c>
      <c r="BG90" s="3180">
        <v>3</v>
      </c>
      <c r="BH90" s="3180">
        <f t="shared" ca="1" si="5"/>
        <v>5536</v>
      </c>
      <c r="BI90" s="3224">
        <f t="shared" ca="1" si="8"/>
        <v>69255.360000000001</v>
      </c>
    </row>
    <row r="91" spans="1:61" ht="54">
      <c r="A91" s="3224"/>
      <c r="B91" s="3224"/>
      <c r="C91" s="3224"/>
      <c r="D91" s="3224"/>
      <c r="E91" s="3224"/>
      <c r="F91" s="3224"/>
      <c r="G91" s="3224"/>
      <c r="H91" s="3224"/>
      <c r="I91" s="3173">
        <v>90</v>
      </c>
      <c r="J91" s="3173">
        <v>20240070009</v>
      </c>
      <c r="K91" s="3173"/>
      <c r="L91" s="3173"/>
      <c r="M91" s="3173" t="s">
        <v>4274</v>
      </c>
      <c r="N91" s="3173" t="s">
        <v>4520</v>
      </c>
      <c r="O91" s="3173">
        <v>39.32</v>
      </c>
      <c r="P91" s="3173" t="s">
        <v>4276</v>
      </c>
      <c r="Q91" s="3173"/>
      <c r="R91" s="3174">
        <v>45364</v>
      </c>
      <c r="S91" s="3173" t="s">
        <v>4277</v>
      </c>
      <c r="T91" s="3173" t="s">
        <v>4284</v>
      </c>
      <c r="U91" s="3173" t="s">
        <v>4279</v>
      </c>
      <c r="V91" s="3173" t="s">
        <v>4280</v>
      </c>
      <c r="X91" s="3242">
        <f ca="1">'结果表-车位'!$G$20</f>
        <v>1850</v>
      </c>
      <c r="Y91" s="3242">
        <f t="shared" ca="1" si="6"/>
        <v>72742</v>
      </c>
      <c r="AS91" s="3173">
        <v>90</v>
      </c>
      <c r="AT91" s="3173" t="s">
        <v>4273</v>
      </c>
      <c r="AU91" s="3173"/>
      <c r="AV91" s="3173"/>
      <c r="AW91" s="3173" t="s">
        <v>4274</v>
      </c>
      <c r="AX91" s="3173" t="s">
        <v>4519</v>
      </c>
      <c r="AY91" s="3173">
        <v>33.26</v>
      </c>
      <c r="AZ91" s="3173" t="s">
        <v>672</v>
      </c>
      <c r="BA91" s="3173"/>
      <c r="BB91" s="3174">
        <v>45276</v>
      </c>
      <c r="BC91" s="3173" t="s">
        <v>4277</v>
      </c>
      <c r="BD91" s="3173" t="s">
        <v>4278</v>
      </c>
      <c r="BE91" s="3173" t="s">
        <v>4279</v>
      </c>
      <c r="BF91" s="3173" t="s">
        <v>4280</v>
      </c>
      <c r="BG91" s="3180">
        <v>3</v>
      </c>
      <c r="BH91" s="3180">
        <f t="shared" ca="1" si="5"/>
        <v>5536</v>
      </c>
      <c r="BI91" s="3224">
        <f t="shared" ca="1" si="8"/>
        <v>184127.35999999999</v>
      </c>
    </row>
    <row r="92" spans="1:61" ht="54">
      <c r="A92" s="3224"/>
      <c r="B92" s="3224"/>
      <c r="C92" s="3224"/>
      <c r="D92" s="3224"/>
      <c r="E92" s="3224"/>
      <c r="F92" s="3224"/>
      <c r="G92" s="3224"/>
      <c r="H92" s="3224"/>
      <c r="I92" s="3173">
        <v>91</v>
      </c>
      <c r="J92" s="3173">
        <v>20240070009</v>
      </c>
      <c r="K92" s="3173"/>
      <c r="L92" s="3173"/>
      <c r="M92" s="3173" t="s">
        <v>4274</v>
      </c>
      <c r="N92" s="3173" t="s">
        <v>4522</v>
      </c>
      <c r="O92" s="3173">
        <v>39.32</v>
      </c>
      <c r="P92" s="3173" t="s">
        <v>4276</v>
      </c>
      <c r="Q92" s="3173"/>
      <c r="R92" s="3174">
        <v>45364</v>
      </c>
      <c r="S92" s="3173" t="s">
        <v>4277</v>
      </c>
      <c r="T92" s="3173" t="s">
        <v>4284</v>
      </c>
      <c r="U92" s="3173" t="s">
        <v>4279</v>
      </c>
      <c r="V92" s="3173" t="s">
        <v>4280</v>
      </c>
      <c r="X92" s="3242">
        <f ca="1">'结果表-车位'!$G$20</f>
        <v>1850</v>
      </c>
      <c r="Y92" s="3242">
        <f t="shared" ca="1" si="6"/>
        <v>72742</v>
      </c>
      <c r="AS92" s="3173">
        <v>91</v>
      </c>
      <c r="AT92" s="3173" t="s">
        <v>4273</v>
      </c>
      <c r="AU92" s="3173"/>
      <c r="AV92" s="3173"/>
      <c r="AW92" s="3173" t="s">
        <v>4274</v>
      </c>
      <c r="AX92" s="3173" t="s">
        <v>4521</v>
      </c>
      <c r="AY92" s="3173">
        <v>33.51</v>
      </c>
      <c r="AZ92" s="3173" t="s">
        <v>672</v>
      </c>
      <c r="BA92" s="3173"/>
      <c r="BB92" s="3174">
        <v>45276</v>
      </c>
      <c r="BC92" s="3173" t="s">
        <v>4277</v>
      </c>
      <c r="BD92" s="3173" t="s">
        <v>4278</v>
      </c>
      <c r="BE92" s="3173" t="s">
        <v>4279</v>
      </c>
      <c r="BF92" s="3173" t="s">
        <v>4280</v>
      </c>
      <c r="BG92" s="3180">
        <v>3</v>
      </c>
      <c r="BH92" s="3180">
        <f t="shared" ca="1" si="5"/>
        <v>5536</v>
      </c>
      <c r="BI92" s="3224">
        <f t="shared" ca="1" si="8"/>
        <v>185511.36</v>
      </c>
    </row>
    <row r="93" spans="1:61" ht="54">
      <c r="A93" s="3224"/>
      <c r="B93" s="3224"/>
      <c r="C93" s="3224"/>
      <c r="D93" s="3224"/>
      <c r="E93" s="3224"/>
      <c r="F93" s="3224"/>
      <c r="G93" s="3224"/>
      <c r="H93" s="3224"/>
      <c r="I93" s="3173">
        <v>92</v>
      </c>
      <c r="J93" s="3173">
        <v>20240070009</v>
      </c>
      <c r="K93" s="3173"/>
      <c r="L93" s="3173"/>
      <c r="M93" s="3173" t="s">
        <v>4274</v>
      </c>
      <c r="N93" s="3173" t="s">
        <v>4524</v>
      </c>
      <c r="O93" s="3173">
        <v>39.32</v>
      </c>
      <c r="P93" s="3173" t="s">
        <v>4276</v>
      </c>
      <c r="Q93" s="3173"/>
      <c r="R93" s="3174">
        <v>45364</v>
      </c>
      <c r="S93" s="3173" t="s">
        <v>4277</v>
      </c>
      <c r="T93" s="3173" t="s">
        <v>4284</v>
      </c>
      <c r="U93" s="3173" t="s">
        <v>4279</v>
      </c>
      <c r="V93" s="3173" t="s">
        <v>4280</v>
      </c>
      <c r="X93" s="3242">
        <f ca="1">'结果表-车位'!$G$20</f>
        <v>1850</v>
      </c>
      <c r="Y93" s="3242">
        <f t="shared" ca="1" si="6"/>
        <v>72742</v>
      </c>
      <c r="AS93" s="3173">
        <v>92</v>
      </c>
      <c r="AT93" s="3173" t="s">
        <v>4273</v>
      </c>
      <c r="AU93" s="3173"/>
      <c r="AV93" s="3173"/>
      <c r="AW93" s="3173" t="s">
        <v>4274</v>
      </c>
      <c r="AX93" s="3173" t="s">
        <v>4523</v>
      </c>
      <c r="AY93" s="3173">
        <v>61.2</v>
      </c>
      <c r="AZ93" s="3173" t="s">
        <v>672</v>
      </c>
      <c r="BA93" s="3173"/>
      <c r="BB93" s="3174">
        <v>45276</v>
      </c>
      <c r="BC93" s="3173" t="s">
        <v>4277</v>
      </c>
      <c r="BD93" s="3173" t="s">
        <v>4278</v>
      </c>
      <c r="BE93" s="3173" t="s">
        <v>4279</v>
      </c>
      <c r="BF93" s="3173" t="s">
        <v>4280</v>
      </c>
      <c r="BG93" s="3180">
        <v>3</v>
      </c>
      <c r="BH93" s="3180">
        <f t="shared" ca="1" si="5"/>
        <v>5536</v>
      </c>
      <c r="BI93" s="3224">
        <f t="shared" ca="1" si="8"/>
        <v>338803.20000000001</v>
      </c>
    </row>
    <row r="94" spans="1:61" ht="54">
      <c r="A94" s="3224"/>
      <c r="B94" s="3224"/>
      <c r="C94" s="3224"/>
      <c r="D94" s="3224"/>
      <c r="E94" s="3224"/>
      <c r="F94" s="3224"/>
      <c r="G94" s="3224"/>
      <c r="H94" s="3224"/>
      <c r="I94" s="3173">
        <v>93</v>
      </c>
      <c r="J94" s="3173">
        <v>20240070009</v>
      </c>
      <c r="K94" s="3173"/>
      <c r="L94" s="3173"/>
      <c r="M94" s="3173" t="s">
        <v>4274</v>
      </c>
      <c r="N94" s="3173" t="s">
        <v>4526</v>
      </c>
      <c r="O94" s="3173">
        <v>39.32</v>
      </c>
      <c r="P94" s="3173" t="s">
        <v>4276</v>
      </c>
      <c r="Q94" s="3173"/>
      <c r="R94" s="3174">
        <v>45364</v>
      </c>
      <c r="S94" s="3173" t="s">
        <v>4277</v>
      </c>
      <c r="T94" s="3173" t="s">
        <v>4284</v>
      </c>
      <c r="U94" s="3173" t="s">
        <v>4279</v>
      </c>
      <c r="V94" s="3173" t="s">
        <v>4280</v>
      </c>
      <c r="X94" s="3242">
        <f ca="1">'结果表-车位'!$G$20</f>
        <v>1850</v>
      </c>
      <c r="Y94" s="3242">
        <f t="shared" ca="1" si="6"/>
        <v>72742</v>
      </c>
      <c r="AS94" s="3173">
        <v>93</v>
      </c>
      <c r="AT94" s="3173" t="s">
        <v>4273</v>
      </c>
      <c r="AU94" s="3173"/>
      <c r="AV94" s="3173"/>
      <c r="AW94" s="3173" t="s">
        <v>4274</v>
      </c>
      <c r="AX94" s="3173" t="s">
        <v>4525</v>
      </c>
      <c r="AY94" s="3173">
        <v>52.44</v>
      </c>
      <c r="AZ94" s="3173" t="s">
        <v>672</v>
      </c>
      <c r="BA94" s="3173"/>
      <c r="BB94" s="3174">
        <v>45276</v>
      </c>
      <c r="BC94" s="3173" t="s">
        <v>4277</v>
      </c>
      <c r="BD94" s="3173" t="s">
        <v>4278</v>
      </c>
      <c r="BE94" s="3173" t="s">
        <v>4279</v>
      </c>
      <c r="BF94" s="3173" t="s">
        <v>4280</v>
      </c>
      <c r="BG94" s="3180">
        <v>3</v>
      </c>
      <c r="BH94" s="3180">
        <f t="shared" ca="1" si="5"/>
        <v>5536</v>
      </c>
      <c r="BI94" s="3224">
        <f t="shared" ca="1" si="8"/>
        <v>290307.83999999997</v>
      </c>
    </row>
    <row r="95" spans="1:61" ht="54">
      <c r="A95" s="3224"/>
      <c r="B95" s="3224"/>
      <c r="C95" s="3224"/>
      <c r="D95" s="3224"/>
      <c r="E95" s="3224"/>
      <c r="F95" s="3224"/>
      <c r="G95" s="3224"/>
      <c r="H95" s="3224"/>
      <c r="I95" s="3173">
        <v>94</v>
      </c>
      <c r="J95" s="3173">
        <v>20240070009</v>
      </c>
      <c r="K95" s="3173"/>
      <c r="L95" s="3173"/>
      <c r="M95" s="3173" t="s">
        <v>4274</v>
      </c>
      <c r="N95" s="3173" t="s">
        <v>4528</v>
      </c>
      <c r="O95" s="3173">
        <v>39.32</v>
      </c>
      <c r="P95" s="3173" t="s">
        <v>4276</v>
      </c>
      <c r="Q95" s="3173"/>
      <c r="R95" s="3174">
        <v>45364</v>
      </c>
      <c r="S95" s="3173" t="s">
        <v>4277</v>
      </c>
      <c r="T95" s="3173" t="s">
        <v>4284</v>
      </c>
      <c r="U95" s="3173" t="s">
        <v>4279</v>
      </c>
      <c r="V95" s="3173" t="s">
        <v>4280</v>
      </c>
      <c r="X95" s="3242">
        <f ca="1">'结果表-车位'!$G$20</f>
        <v>1850</v>
      </c>
      <c r="Y95" s="3242">
        <f t="shared" ca="1" si="6"/>
        <v>72742</v>
      </c>
      <c r="AS95" s="3173">
        <v>94</v>
      </c>
      <c r="AT95" s="3173" t="s">
        <v>4273</v>
      </c>
      <c r="AU95" s="3173"/>
      <c r="AV95" s="3173"/>
      <c r="AW95" s="3173" t="s">
        <v>4274</v>
      </c>
      <c r="AX95" s="3173" t="s">
        <v>4527</v>
      </c>
      <c r="AY95" s="3173">
        <v>47.89</v>
      </c>
      <c r="AZ95" s="3173" t="s">
        <v>672</v>
      </c>
      <c r="BA95" s="3173"/>
      <c r="BB95" s="3174">
        <v>45276</v>
      </c>
      <c r="BC95" s="3173" t="s">
        <v>4277</v>
      </c>
      <c r="BD95" s="3173" t="s">
        <v>4278</v>
      </c>
      <c r="BE95" s="3173" t="s">
        <v>4279</v>
      </c>
      <c r="BF95" s="3173" t="s">
        <v>4280</v>
      </c>
      <c r="BG95" s="3180">
        <v>3</v>
      </c>
      <c r="BH95" s="3180">
        <f t="shared" ca="1" si="5"/>
        <v>5536</v>
      </c>
      <c r="BI95" s="3224">
        <f t="shared" ca="1" si="8"/>
        <v>265119.03999999998</v>
      </c>
    </row>
    <row r="96" spans="1:61" ht="54">
      <c r="A96" s="3224"/>
      <c r="B96" s="3224"/>
      <c r="C96" s="3224"/>
      <c r="D96" s="3224"/>
      <c r="E96" s="3224"/>
      <c r="F96" s="3224"/>
      <c r="G96" s="3224"/>
      <c r="H96" s="3224"/>
      <c r="I96" s="3173">
        <v>95</v>
      </c>
      <c r="J96" s="3173">
        <v>20240070009</v>
      </c>
      <c r="K96" s="3173"/>
      <c r="L96" s="3173"/>
      <c r="M96" s="3173" t="s">
        <v>4274</v>
      </c>
      <c r="N96" s="3173" t="s">
        <v>4530</v>
      </c>
      <c r="O96" s="3173">
        <v>39.32</v>
      </c>
      <c r="P96" s="3173" t="s">
        <v>4276</v>
      </c>
      <c r="Q96" s="3173"/>
      <c r="R96" s="3174">
        <v>45364</v>
      </c>
      <c r="S96" s="3173" t="s">
        <v>4277</v>
      </c>
      <c r="T96" s="3173" t="s">
        <v>4284</v>
      </c>
      <c r="U96" s="3173" t="s">
        <v>4279</v>
      </c>
      <c r="V96" s="3173" t="s">
        <v>4280</v>
      </c>
      <c r="X96" s="3242">
        <f ca="1">'结果表-车位'!$G$20</f>
        <v>1850</v>
      </c>
      <c r="Y96" s="3242">
        <f t="shared" ca="1" si="6"/>
        <v>72742</v>
      </c>
      <c r="AS96" s="3173">
        <v>95</v>
      </c>
      <c r="AT96" s="3173" t="s">
        <v>4273</v>
      </c>
      <c r="AU96" s="3173"/>
      <c r="AV96" s="3173"/>
      <c r="AW96" s="3173" t="s">
        <v>4274</v>
      </c>
      <c r="AX96" s="3173" t="s">
        <v>4529</v>
      </c>
      <c r="AY96" s="3173">
        <v>18.7</v>
      </c>
      <c r="AZ96" s="3173" t="s">
        <v>672</v>
      </c>
      <c r="BA96" s="3173"/>
      <c r="BB96" s="3174">
        <v>45276</v>
      </c>
      <c r="BC96" s="3173" t="s">
        <v>4277</v>
      </c>
      <c r="BD96" s="3173" t="s">
        <v>4278</v>
      </c>
      <c r="BE96" s="3173" t="s">
        <v>4279</v>
      </c>
      <c r="BF96" s="3173" t="s">
        <v>4280</v>
      </c>
      <c r="BG96" s="3180">
        <v>3</v>
      </c>
      <c r="BH96" s="3180">
        <f t="shared" ca="1" si="5"/>
        <v>5536</v>
      </c>
      <c r="BI96" s="3224">
        <f t="shared" ca="1" si="8"/>
        <v>103523.2</v>
      </c>
    </row>
    <row r="97" spans="1:61" ht="54">
      <c r="A97" s="3224"/>
      <c r="B97" s="3224"/>
      <c r="C97" s="3224"/>
      <c r="D97" s="3224"/>
      <c r="E97" s="3224"/>
      <c r="F97" s="3224"/>
      <c r="G97" s="3224"/>
      <c r="H97" s="3224"/>
      <c r="I97" s="3173">
        <v>96</v>
      </c>
      <c r="J97" s="3173">
        <v>20240070009</v>
      </c>
      <c r="K97" s="3173"/>
      <c r="L97" s="3173"/>
      <c r="M97" s="3173" t="s">
        <v>4274</v>
      </c>
      <c r="N97" s="3173" t="s">
        <v>4532</v>
      </c>
      <c r="O97" s="3173">
        <v>85</v>
      </c>
      <c r="P97" s="3173" t="s">
        <v>4533</v>
      </c>
      <c r="Q97" s="3173"/>
      <c r="R97" s="3174">
        <v>45364</v>
      </c>
      <c r="S97" s="3173" t="s">
        <v>4279</v>
      </c>
      <c r="T97" s="3173" t="s">
        <v>4284</v>
      </c>
      <c r="U97" s="3173" t="s">
        <v>4279</v>
      </c>
      <c r="V97" s="3173" t="s">
        <v>4280</v>
      </c>
      <c r="X97" s="3242">
        <f ca="1">'结果表-仓储'!G20</f>
        <v>2220</v>
      </c>
      <c r="Y97" s="3242">
        <f t="shared" ca="1" si="6"/>
        <v>188700</v>
      </c>
      <c r="AS97" s="3173">
        <v>96</v>
      </c>
      <c r="AT97" s="3173" t="s">
        <v>4273</v>
      </c>
      <c r="AU97" s="3173"/>
      <c r="AV97" s="3173"/>
      <c r="AW97" s="3173" t="s">
        <v>4274</v>
      </c>
      <c r="AX97" s="3173" t="s">
        <v>4531</v>
      </c>
      <c r="AY97" s="3173">
        <v>33.58</v>
      </c>
      <c r="AZ97" s="3173" t="s">
        <v>672</v>
      </c>
      <c r="BA97" s="3173"/>
      <c r="BB97" s="3174">
        <v>45276</v>
      </c>
      <c r="BC97" s="3173" t="s">
        <v>4277</v>
      </c>
      <c r="BD97" s="3173" t="s">
        <v>4278</v>
      </c>
      <c r="BE97" s="3173" t="s">
        <v>4279</v>
      </c>
      <c r="BF97" s="3173" t="s">
        <v>4280</v>
      </c>
      <c r="BG97" s="3180">
        <v>3</v>
      </c>
      <c r="BH97" s="3180">
        <f t="shared" ca="1" si="5"/>
        <v>5536</v>
      </c>
      <c r="BI97" s="3224">
        <f t="shared" ca="1" si="8"/>
        <v>185898.88</v>
      </c>
    </row>
    <row r="98" spans="1:61" ht="54">
      <c r="A98" s="3224"/>
      <c r="B98" s="3224"/>
      <c r="C98" s="3224"/>
      <c r="D98" s="3224"/>
      <c r="E98" s="3224"/>
      <c r="F98" s="3224"/>
      <c r="G98" s="3224"/>
      <c r="H98" s="3224"/>
      <c r="I98" s="3173">
        <v>97</v>
      </c>
      <c r="J98" s="3173">
        <v>20240070009</v>
      </c>
      <c r="K98" s="3173"/>
      <c r="L98" s="3173"/>
      <c r="M98" s="3173" t="s">
        <v>4274</v>
      </c>
      <c r="N98" s="3173" t="s">
        <v>4535</v>
      </c>
      <c r="O98" s="3173">
        <v>39.32</v>
      </c>
      <c r="P98" s="3173" t="s">
        <v>4276</v>
      </c>
      <c r="Q98" s="3173"/>
      <c r="R98" s="3174">
        <v>45364</v>
      </c>
      <c r="S98" s="3173" t="s">
        <v>4279</v>
      </c>
      <c r="T98" s="3173" t="s">
        <v>4284</v>
      </c>
      <c r="U98" s="3173" t="s">
        <v>4279</v>
      </c>
      <c r="V98" s="3173" t="s">
        <v>4280</v>
      </c>
      <c r="X98" s="3242">
        <f ca="1">'结果表-车位'!$G$20</f>
        <v>1850</v>
      </c>
      <c r="Y98" s="3242">
        <f t="shared" ca="1" si="6"/>
        <v>72742</v>
      </c>
      <c r="AS98" s="3173">
        <v>97</v>
      </c>
      <c r="AT98" s="3173" t="s">
        <v>4273</v>
      </c>
      <c r="AU98" s="3173"/>
      <c r="AV98" s="3173"/>
      <c r="AW98" s="3173" t="s">
        <v>4274</v>
      </c>
      <c r="AX98" s="3173" t="s">
        <v>4534</v>
      </c>
      <c r="AY98" s="3173">
        <v>33.65</v>
      </c>
      <c r="AZ98" s="3173" t="s">
        <v>672</v>
      </c>
      <c r="BA98" s="3173"/>
      <c r="BB98" s="3174">
        <v>45276</v>
      </c>
      <c r="BC98" s="3173" t="s">
        <v>4277</v>
      </c>
      <c r="BD98" s="3173" t="s">
        <v>4278</v>
      </c>
      <c r="BE98" s="3173" t="s">
        <v>4279</v>
      </c>
      <c r="BF98" s="3173" t="s">
        <v>4280</v>
      </c>
      <c r="BG98" s="3180">
        <v>3</v>
      </c>
      <c r="BH98" s="3180">
        <f t="shared" ca="1" si="5"/>
        <v>5536</v>
      </c>
      <c r="BI98" s="3224">
        <f t="shared" ca="1" si="8"/>
        <v>186286.4</v>
      </c>
    </row>
    <row r="99" spans="1:61" ht="54">
      <c r="A99" s="3224"/>
      <c r="B99" s="3224"/>
      <c r="C99" s="3224"/>
      <c r="D99" s="3224"/>
      <c r="E99" s="3224"/>
      <c r="F99" s="3224"/>
      <c r="G99" s="3224"/>
      <c r="H99" s="3224"/>
      <c r="I99" s="3173">
        <v>98</v>
      </c>
      <c r="J99" s="3173">
        <v>20240070009</v>
      </c>
      <c r="K99" s="3173"/>
      <c r="L99" s="3173"/>
      <c r="M99" s="3173" t="s">
        <v>4274</v>
      </c>
      <c r="N99" s="3173" t="s">
        <v>4537</v>
      </c>
      <c r="O99" s="3173">
        <v>39.32</v>
      </c>
      <c r="P99" s="3173" t="s">
        <v>4276</v>
      </c>
      <c r="Q99" s="3173"/>
      <c r="R99" s="3174">
        <v>45364</v>
      </c>
      <c r="S99" s="3173" t="s">
        <v>4279</v>
      </c>
      <c r="T99" s="3173" t="s">
        <v>4284</v>
      </c>
      <c r="U99" s="3173" t="s">
        <v>4279</v>
      </c>
      <c r="V99" s="3173" t="s">
        <v>4280</v>
      </c>
      <c r="X99" s="3242">
        <f ca="1">'结果表-车位'!$G$20</f>
        <v>1850</v>
      </c>
      <c r="Y99" s="3242">
        <f t="shared" ca="1" si="6"/>
        <v>72742</v>
      </c>
      <c r="AS99" s="3173">
        <v>98</v>
      </c>
      <c r="AT99" s="3173" t="s">
        <v>4273</v>
      </c>
      <c r="AU99" s="3173"/>
      <c r="AV99" s="3173"/>
      <c r="AW99" s="3173" t="s">
        <v>4274</v>
      </c>
      <c r="AX99" s="3173" t="s">
        <v>4536</v>
      </c>
      <c r="AY99" s="3173">
        <v>30.85</v>
      </c>
      <c r="AZ99" s="3173" t="s">
        <v>672</v>
      </c>
      <c r="BA99" s="3173"/>
      <c r="BB99" s="3174">
        <v>45276</v>
      </c>
      <c r="BC99" s="3173" t="s">
        <v>4277</v>
      </c>
      <c r="BD99" s="3173" t="s">
        <v>4278</v>
      </c>
      <c r="BE99" s="3173" t="s">
        <v>4279</v>
      </c>
      <c r="BF99" s="3173" t="s">
        <v>4280</v>
      </c>
      <c r="BG99" s="3180">
        <v>3</v>
      </c>
      <c r="BH99" s="3180">
        <f t="shared" ca="1" si="5"/>
        <v>5536</v>
      </c>
      <c r="BI99" s="3224">
        <f t="shared" ca="1" si="8"/>
        <v>170785.6</v>
      </c>
    </row>
    <row r="100" spans="1:61" ht="54">
      <c r="A100" s="3224"/>
      <c r="B100" s="3224"/>
      <c r="C100" s="3224"/>
      <c r="D100" s="3224"/>
      <c r="E100" s="3224"/>
      <c r="F100" s="3224"/>
      <c r="G100" s="3224"/>
      <c r="H100" s="3224"/>
      <c r="I100" s="3173">
        <v>99</v>
      </c>
      <c r="J100" s="3173">
        <v>20240070009</v>
      </c>
      <c r="K100" s="3173"/>
      <c r="L100" s="3173"/>
      <c r="M100" s="3173" t="s">
        <v>4274</v>
      </c>
      <c r="N100" s="3173" t="s">
        <v>4539</v>
      </c>
      <c r="O100" s="3173">
        <v>39.32</v>
      </c>
      <c r="P100" s="3173" t="s">
        <v>4276</v>
      </c>
      <c r="Q100" s="3173"/>
      <c r="R100" s="3174">
        <v>45364</v>
      </c>
      <c r="S100" s="3173" t="s">
        <v>4279</v>
      </c>
      <c r="T100" s="3173" t="s">
        <v>4284</v>
      </c>
      <c r="U100" s="3173" t="s">
        <v>4279</v>
      </c>
      <c r="V100" s="3173" t="s">
        <v>4280</v>
      </c>
      <c r="X100" s="3242">
        <f ca="1">'结果表-车位'!$G$20</f>
        <v>1850</v>
      </c>
      <c r="Y100" s="3242">
        <f t="shared" ca="1" si="6"/>
        <v>72742</v>
      </c>
      <c r="AS100" s="3173">
        <v>99</v>
      </c>
      <c r="AT100" s="3173" t="s">
        <v>4273</v>
      </c>
      <c r="AU100" s="3173"/>
      <c r="AV100" s="3173"/>
      <c r="AW100" s="3173" t="s">
        <v>4274</v>
      </c>
      <c r="AX100" s="3173" t="s">
        <v>4538</v>
      </c>
      <c r="AY100" s="3173">
        <v>25.26</v>
      </c>
      <c r="AZ100" s="3173" t="s">
        <v>672</v>
      </c>
      <c r="BA100" s="3173"/>
      <c r="BB100" s="3174">
        <v>45276</v>
      </c>
      <c r="BC100" s="3173" t="s">
        <v>4277</v>
      </c>
      <c r="BD100" s="3173" t="s">
        <v>4278</v>
      </c>
      <c r="BE100" s="3173" t="s">
        <v>4279</v>
      </c>
      <c r="BF100" s="3173" t="s">
        <v>4280</v>
      </c>
      <c r="BG100" s="3180">
        <v>3</v>
      </c>
      <c r="BH100" s="3180">
        <f t="shared" ca="1" si="5"/>
        <v>5536</v>
      </c>
      <c r="BI100" s="3224">
        <f t="shared" ca="1" si="8"/>
        <v>139839.36000000002</v>
      </c>
    </row>
    <row r="101" spans="1:61" ht="54">
      <c r="A101" s="3224"/>
      <c r="B101" s="3224"/>
      <c r="C101" s="3224"/>
      <c r="D101" s="3224"/>
      <c r="E101" s="3224"/>
      <c r="F101" s="3224"/>
      <c r="G101" s="3224"/>
      <c r="H101" s="3224"/>
      <c r="I101" s="3173">
        <v>100</v>
      </c>
      <c r="J101" s="3173">
        <v>20240070009</v>
      </c>
      <c r="K101" s="3173"/>
      <c r="L101" s="3173"/>
      <c r="M101" s="3173" t="s">
        <v>4274</v>
      </c>
      <c r="N101" s="3173" t="s">
        <v>4572</v>
      </c>
      <c r="O101" s="3173">
        <v>45</v>
      </c>
      <c r="P101" s="3173" t="s">
        <v>672</v>
      </c>
      <c r="Q101" s="3176"/>
      <c r="R101" s="3177">
        <v>45364</v>
      </c>
      <c r="S101" s="3176" t="s">
        <v>4279</v>
      </c>
      <c r="T101" s="3176" t="s">
        <v>4284</v>
      </c>
      <c r="U101" s="3176" t="s">
        <v>4279</v>
      </c>
      <c r="V101" s="3176" t="s">
        <v>4280</v>
      </c>
      <c r="W101" s="3224">
        <v>1</v>
      </c>
      <c r="X101" s="3242">
        <f ca="1">E34</f>
        <v>11071</v>
      </c>
      <c r="Y101" s="3242">
        <f t="shared" ca="1" si="6"/>
        <v>498195</v>
      </c>
      <c r="AS101" s="3173">
        <v>100</v>
      </c>
      <c r="AT101" s="3173" t="s">
        <v>4273</v>
      </c>
      <c r="AU101" s="3173"/>
      <c r="AV101" s="3173"/>
      <c r="AW101" s="3173" t="s">
        <v>4274</v>
      </c>
      <c r="AX101" s="3173" t="s">
        <v>4540</v>
      </c>
      <c r="AY101" s="3173">
        <v>25.26</v>
      </c>
      <c r="AZ101" s="3173" t="s">
        <v>672</v>
      </c>
      <c r="BA101" s="3173"/>
      <c r="BB101" s="3174">
        <v>45276</v>
      </c>
      <c r="BC101" s="3173" t="s">
        <v>4277</v>
      </c>
      <c r="BD101" s="3173" t="s">
        <v>4297</v>
      </c>
      <c r="BE101" s="3173" t="s">
        <v>4279</v>
      </c>
      <c r="BF101" s="3173" t="s">
        <v>4280</v>
      </c>
      <c r="BG101" s="3180">
        <v>4</v>
      </c>
      <c r="BH101" s="3180">
        <f t="shared" ca="1" si="5"/>
        <v>5536</v>
      </c>
      <c r="BI101" s="3224">
        <f t="shared" ca="1" si="8"/>
        <v>139839.36000000002</v>
      </c>
    </row>
    <row r="102" spans="1:61" ht="54">
      <c r="A102" s="3224"/>
      <c r="B102" s="3224"/>
      <c r="C102" s="3224"/>
      <c r="D102" s="3224"/>
      <c r="E102" s="3224"/>
      <c r="F102" s="3224"/>
      <c r="G102" s="3224"/>
      <c r="H102" s="3224"/>
      <c r="I102" s="3173">
        <v>101</v>
      </c>
      <c r="J102" s="3173">
        <v>20240070009</v>
      </c>
      <c r="K102" s="3173"/>
      <c r="L102" s="3173"/>
      <c r="M102" s="3173" t="s">
        <v>4274</v>
      </c>
      <c r="N102" s="3173" t="s">
        <v>4573</v>
      </c>
      <c r="O102" s="3173">
        <v>60.83</v>
      </c>
      <c r="P102" s="3173" t="s">
        <v>672</v>
      </c>
      <c r="Q102" s="3176"/>
      <c r="R102" s="3177">
        <v>45364</v>
      </c>
      <c r="S102" s="3176" t="s">
        <v>4279</v>
      </c>
      <c r="T102" s="3176" t="s">
        <v>4284</v>
      </c>
      <c r="U102" s="3176" t="s">
        <v>4279</v>
      </c>
      <c r="V102" s="3176" t="s">
        <v>4280</v>
      </c>
      <c r="W102" s="3224">
        <v>1</v>
      </c>
      <c r="X102" s="3242">
        <f ca="1">X101</f>
        <v>11071</v>
      </c>
      <c r="Y102" s="3242">
        <f t="shared" ca="1" si="6"/>
        <v>673448.92999999993</v>
      </c>
      <c r="AS102" s="3173">
        <v>101</v>
      </c>
      <c r="AT102" s="3173" t="s">
        <v>4273</v>
      </c>
      <c r="AU102" s="3173"/>
      <c r="AV102" s="3173"/>
      <c r="AW102" s="3173" t="s">
        <v>4274</v>
      </c>
      <c r="AX102" s="3173" t="s">
        <v>4543</v>
      </c>
      <c r="AY102" s="3173">
        <v>12.43</v>
      </c>
      <c r="AZ102" s="3173" t="s">
        <v>672</v>
      </c>
      <c r="BA102" s="3173"/>
      <c r="BB102" s="3174">
        <v>45276</v>
      </c>
      <c r="BC102" s="3173" t="s">
        <v>4277</v>
      </c>
      <c r="BD102" s="3173" t="s">
        <v>4297</v>
      </c>
      <c r="BE102" s="3173" t="s">
        <v>4279</v>
      </c>
      <c r="BF102" s="3173" t="s">
        <v>4280</v>
      </c>
      <c r="BG102" s="3180">
        <v>4</v>
      </c>
      <c r="BH102" s="3180">
        <f t="shared" ca="1" si="5"/>
        <v>5536</v>
      </c>
      <c r="BI102" s="3224">
        <f t="shared" ca="1" si="8"/>
        <v>68812.479999999996</v>
      </c>
    </row>
    <row r="103" spans="1:61" ht="54">
      <c r="A103" s="3224"/>
      <c r="B103" s="3224"/>
      <c r="C103" s="3224"/>
      <c r="D103" s="3224"/>
      <c r="E103" s="3224"/>
      <c r="F103" s="3224"/>
      <c r="G103" s="3224"/>
      <c r="H103" s="3224"/>
      <c r="I103" s="3173">
        <v>102</v>
      </c>
      <c r="J103" s="3173">
        <v>20240070009</v>
      </c>
      <c r="K103" s="3173"/>
      <c r="L103" s="3173"/>
      <c r="M103" s="3173" t="s">
        <v>4274</v>
      </c>
      <c r="N103" s="3173" t="s">
        <v>4574</v>
      </c>
      <c r="O103" s="3173">
        <v>96.16</v>
      </c>
      <c r="P103" s="3173" t="s">
        <v>672</v>
      </c>
      <c r="Q103" s="3176"/>
      <c r="R103" s="3177">
        <v>45364</v>
      </c>
      <c r="S103" s="3176" t="s">
        <v>4279</v>
      </c>
      <c r="T103" s="3176" t="s">
        <v>4284</v>
      </c>
      <c r="U103" s="3176" t="s">
        <v>4279</v>
      </c>
      <c r="V103" s="3176" t="s">
        <v>4280</v>
      </c>
      <c r="W103" s="3224">
        <v>1</v>
      </c>
      <c r="X103" s="3242">
        <f ca="1">X101</f>
        <v>11071</v>
      </c>
      <c r="Y103" s="3242">
        <f t="shared" ca="1" si="6"/>
        <v>1064587.3599999999</v>
      </c>
      <c r="AS103" s="3173">
        <v>102</v>
      </c>
      <c r="AT103" s="3173" t="s">
        <v>4273</v>
      </c>
      <c r="AU103" s="3173"/>
      <c r="AV103" s="3173"/>
      <c r="AW103" s="3173" t="s">
        <v>4274</v>
      </c>
      <c r="AX103" s="3173" t="s">
        <v>4545</v>
      </c>
      <c r="AY103" s="3173">
        <v>61.2</v>
      </c>
      <c r="AZ103" s="3173" t="s">
        <v>672</v>
      </c>
      <c r="BA103" s="3173"/>
      <c r="BB103" s="3174">
        <v>45276</v>
      </c>
      <c r="BC103" s="3173" t="s">
        <v>4277</v>
      </c>
      <c r="BD103" s="3173" t="s">
        <v>4297</v>
      </c>
      <c r="BE103" s="3173" t="s">
        <v>4279</v>
      </c>
      <c r="BF103" s="3173" t="s">
        <v>4280</v>
      </c>
      <c r="BG103" s="3180">
        <v>4</v>
      </c>
      <c r="BH103" s="3180">
        <f t="shared" ca="1" si="5"/>
        <v>5536</v>
      </c>
      <c r="BI103" s="3224">
        <f t="shared" ca="1" si="8"/>
        <v>338803.20000000001</v>
      </c>
    </row>
    <row r="104" spans="1:61" ht="54">
      <c r="A104" s="3224"/>
      <c r="B104" s="3224"/>
      <c r="C104" s="3224"/>
      <c r="D104" s="3224"/>
      <c r="E104" s="3224"/>
      <c r="F104" s="3224"/>
      <c r="G104" s="3224"/>
      <c r="H104" s="3224"/>
      <c r="I104" s="3173">
        <v>103</v>
      </c>
      <c r="J104" s="3173">
        <v>20240070009</v>
      </c>
      <c r="K104" s="3173"/>
      <c r="L104" s="3173"/>
      <c r="M104" s="3173" t="s">
        <v>4274</v>
      </c>
      <c r="N104" s="3173" t="s">
        <v>4575</v>
      </c>
      <c r="O104" s="3173">
        <v>45.65</v>
      </c>
      <c r="P104" s="3173" t="s">
        <v>672</v>
      </c>
      <c r="Q104" s="3176"/>
      <c r="R104" s="3177">
        <v>45364</v>
      </c>
      <c r="S104" s="3176" t="s">
        <v>4279</v>
      </c>
      <c r="T104" s="3176" t="s">
        <v>4284</v>
      </c>
      <c r="U104" s="3176" t="s">
        <v>4279</v>
      </c>
      <c r="V104" s="3176" t="s">
        <v>4280</v>
      </c>
      <c r="W104" s="3224">
        <v>2</v>
      </c>
      <c r="X104" s="3242">
        <f ca="1">ROUND(X101*0.5,0)</f>
        <v>5536</v>
      </c>
      <c r="Y104" s="3242">
        <f t="shared" ca="1" si="6"/>
        <v>252718.4</v>
      </c>
      <c r="AS104" s="3173">
        <v>103</v>
      </c>
      <c r="AT104" s="3173" t="s">
        <v>4273</v>
      </c>
      <c r="AU104" s="3173"/>
      <c r="AV104" s="3173"/>
      <c r="AW104" s="3173" t="s">
        <v>4274</v>
      </c>
      <c r="AX104" s="3173" t="s">
        <v>4547</v>
      </c>
      <c r="AY104" s="3173">
        <v>52.44</v>
      </c>
      <c r="AZ104" s="3173" t="s">
        <v>672</v>
      </c>
      <c r="BA104" s="3173"/>
      <c r="BB104" s="3174">
        <v>45276</v>
      </c>
      <c r="BC104" s="3173" t="s">
        <v>4277</v>
      </c>
      <c r="BD104" s="3173" t="s">
        <v>4297</v>
      </c>
      <c r="BE104" s="3173" t="s">
        <v>4279</v>
      </c>
      <c r="BF104" s="3173" t="s">
        <v>4280</v>
      </c>
      <c r="BG104" s="3180">
        <v>4</v>
      </c>
      <c r="BH104" s="3180">
        <f t="shared" ca="1" si="5"/>
        <v>5536</v>
      </c>
      <c r="BI104" s="3224">
        <f t="shared" ca="1" si="8"/>
        <v>290307.83999999997</v>
      </c>
    </row>
    <row r="105" spans="1:61" ht="54">
      <c r="A105" s="3224"/>
      <c r="B105" s="3224"/>
      <c r="C105" s="3224"/>
      <c r="D105" s="3224"/>
      <c r="E105" s="3224"/>
      <c r="F105" s="3224"/>
      <c r="G105" s="3224"/>
      <c r="H105" s="3224"/>
      <c r="I105" s="3173">
        <v>104</v>
      </c>
      <c r="J105" s="3173">
        <v>20240070009</v>
      </c>
      <c r="K105" s="3173"/>
      <c r="L105" s="3173"/>
      <c r="M105" s="3173" t="s">
        <v>4274</v>
      </c>
      <c r="N105" s="3173" t="s">
        <v>4576</v>
      </c>
      <c r="O105" s="3173">
        <v>64.25</v>
      </c>
      <c r="P105" s="3173" t="s">
        <v>672</v>
      </c>
      <c r="Q105" s="3176"/>
      <c r="R105" s="3177">
        <v>45364</v>
      </c>
      <c r="S105" s="3176" t="s">
        <v>4279</v>
      </c>
      <c r="T105" s="3176" t="s">
        <v>4284</v>
      </c>
      <c r="U105" s="3176" t="s">
        <v>4279</v>
      </c>
      <c r="V105" s="3176" t="s">
        <v>4280</v>
      </c>
      <c r="W105" s="3224">
        <v>2</v>
      </c>
      <c r="X105" s="3242">
        <f ca="1">X104</f>
        <v>5536</v>
      </c>
      <c r="Y105" s="3242">
        <f t="shared" ca="1" si="6"/>
        <v>355688</v>
      </c>
      <c r="AS105" s="3173">
        <v>104</v>
      </c>
      <c r="AT105" s="3173" t="s">
        <v>4273</v>
      </c>
      <c r="AU105" s="3173"/>
      <c r="AV105" s="3173"/>
      <c r="AW105" s="3173" t="s">
        <v>4274</v>
      </c>
      <c r="AX105" s="3173" t="s">
        <v>4549</v>
      </c>
      <c r="AY105" s="3173">
        <v>47.89</v>
      </c>
      <c r="AZ105" s="3173" t="s">
        <v>672</v>
      </c>
      <c r="BA105" s="3173"/>
      <c r="BB105" s="3174">
        <v>45276</v>
      </c>
      <c r="BC105" s="3173" t="s">
        <v>4277</v>
      </c>
      <c r="BD105" s="3173" t="s">
        <v>4297</v>
      </c>
      <c r="BE105" s="3173" t="s">
        <v>4279</v>
      </c>
      <c r="BF105" s="3173" t="s">
        <v>4280</v>
      </c>
      <c r="BG105" s="3180">
        <v>4</v>
      </c>
      <c r="BH105" s="3180">
        <f t="shared" ca="1" si="5"/>
        <v>5536</v>
      </c>
      <c r="BI105" s="3224">
        <f t="shared" ca="1" si="8"/>
        <v>265119.03999999998</v>
      </c>
    </row>
    <row r="106" spans="1:61" ht="54">
      <c r="A106" s="3224"/>
      <c r="B106" s="3224"/>
      <c r="C106" s="3224"/>
      <c r="D106" s="3224"/>
      <c r="E106" s="3224"/>
      <c r="F106" s="3224"/>
      <c r="G106" s="3224"/>
      <c r="H106" s="3224"/>
      <c r="I106" s="3173">
        <v>105</v>
      </c>
      <c r="J106" s="3173">
        <v>20240070009</v>
      </c>
      <c r="K106" s="3173"/>
      <c r="L106" s="3173"/>
      <c r="M106" s="3173" t="s">
        <v>4274</v>
      </c>
      <c r="N106" s="3173" t="s">
        <v>4577</v>
      </c>
      <c r="O106" s="3173">
        <v>64.25</v>
      </c>
      <c r="P106" s="3173" t="s">
        <v>672</v>
      </c>
      <c r="Q106" s="3176"/>
      <c r="R106" s="3177">
        <v>45364</v>
      </c>
      <c r="S106" s="3176" t="s">
        <v>4279</v>
      </c>
      <c r="T106" s="3176" t="s">
        <v>4284</v>
      </c>
      <c r="U106" s="3176" t="s">
        <v>4279</v>
      </c>
      <c r="V106" s="3176" t="s">
        <v>4280</v>
      </c>
      <c r="W106" s="3224">
        <v>2</v>
      </c>
      <c r="X106" s="3242">
        <f t="shared" ref="X106:X164" ca="1" si="10">X105</f>
        <v>5536</v>
      </c>
      <c r="Y106" s="3242">
        <f t="shared" ca="1" si="6"/>
        <v>355688</v>
      </c>
      <c r="AS106" s="3173">
        <v>105</v>
      </c>
      <c r="AT106" s="3173" t="s">
        <v>4273</v>
      </c>
      <c r="AU106" s="3173"/>
      <c r="AV106" s="3173"/>
      <c r="AW106" s="3173" t="s">
        <v>4274</v>
      </c>
      <c r="AX106" s="3173" t="s">
        <v>4551</v>
      </c>
      <c r="AY106" s="3173">
        <v>18.7</v>
      </c>
      <c r="AZ106" s="3173" t="s">
        <v>672</v>
      </c>
      <c r="BA106" s="3173"/>
      <c r="BB106" s="3174">
        <v>45276</v>
      </c>
      <c r="BC106" s="3173" t="s">
        <v>4277</v>
      </c>
      <c r="BD106" s="3173" t="s">
        <v>4297</v>
      </c>
      <c r="BE106" s="3173" t="s">
        <v>4279</v>
      </c>
      <c r="BF106" s="3173" t="s">
        <v>4280</v>
      </c>
      <c r="BG106" s="3180">
        <v>4</v>
      </c>
      <c r="BH106" s="3180">
        <f t="shared" ca="1" si="5"/>
        <v>5536</v>
      </c>
      <c r="BI106" s="3224">
        <f t="shared" ca="1" si="8"/>
        <v>103523.2</v>
      </c>
    </row>
    <row r="107" spans="1:61" ht="54">
      <c r="A107" s="3224"/>
      <c r="B107" s="3224"/>
      <c r="C107" s="3224"/>
      <c r="D107" s="3224"/>
      <c r="E107" s="3224"/>
      <c r="F107" s="3224"/>
      <c r="G107" s="3224"/>
      <c r="H107" s="3224"/>
      <c r="I107" s="3173">
        <v>106</v>
      </c>
      <c r="J107" s="3173">
        <v>20240070009</v>
      </c>
      <c r="K107" s="3173"/>
      <c r="L107" s="3173"/>
      <c r="M107" s="3173" t="s">
        <v>4274</v>
      </c>
      <c r="N107" s="3173" t="s">
        <v>4578</v>
      </c>
      <c r="O107" s="3173">
        <v>64.25</v>
      </c>
      <c r="P107" s="3173" t="s">
        <v>672</v>
      </c>
      <c r="Q107" s="3176"/>
      <c r="R107" s="3177">
        <v>45364</v>
      </c>
      <c r="S107" s="3176" t="s">
        <v>4279</v>
      </c>
      <c r="T107" s="3176" t="s">
        <v>4284</v>
      </c>
      <c r="U107" s="3176" t="s">
        <v>4279</v>
      </c>
      <c r="V107" s="3176" t="s">
        <v>4280</v>
      </c>
      <c r="W107" s="3224">
        <v>2</v>
      </c>
      <c r="X107" s="3242">
        <f t="shared" ca="1" si="10"/>
        <v>5536</v>
      </c>
      <c r="Y107" s="3242">
        <f t="shared" ca="1" si="6"/>
        <v>355688</v>
      </c>
      <c r="AS107" s="3173">
        <v>106</v>
      </c>
      <c r="AT107" s="3173" t="s">
        <v>4273</v>
      </c>
      <c r="AU107" s="3173"/>
      <c r="AV107" s="3173"/>
      <c r="AW107" s="3173" t="s">
        <v>4274</v>
      </c>
      <c r="AX107" s="3173" t="s">
        <v>4553</v>
      </c>
      <c r="AY107" s="3173">
        <v>33.58</v>
      </c>
      <c r="AZ107" s="3173" t="s">
        <v>672</v>
      </c>
      <c r="BA107" s="3173"/>
      <c r="BB107" s="3174">
        <v>45276</v>
      </c>
      <c r="BC107" s="3173" t="s">
        <v>4277</v>
      </c>
      <c r="BD107" s="3173" t="s">
        <v>4297</v>
      </c>
      <c r="BE107" s="3173" t="s">
        <v>4279</v>
      </c>
      <c r="BF107" s="3173" t="s">
        <v>4280</v>
      </c>
      <c r="BG107" s="3180">
        <v>4</v>
      </c>
      <c r="BH107" s="3180">
        <f t="shared" ca="1" si="5"/>
        <v>5536</v>
      </c>
      <c r="BI107" s="3224">
        <f t="shared" ca="1" si="8"/>
        <v>185898.88</v>
      </c>
    </row>
    <row r="108" spans="1:61" ht="54">
      <c r="A108" s="3224"/>
      <c r="B108" s="3224"/>
      <c r="C108" s="3224"/>
      <c r="D108" s="3224"/>
      <c r="E108" s="3224"/>
      <c r="F108" s="3224"/>
      <c r="G108" s="3224"/>
      <c r="H108" s="3224"/>
      <c r="I108" s="3173">
        <v>107</v>
      </c>
      <c r="J108" s="3173">
        <v>20240070009</v>
      </c>
      <c r="K108" s="3173"/>
      <c r="L108" s="3173"/>
      <c r="M108" s="3173" t="s">
        <v>4274</v>
      </c>
      <c r="N108" s="3173" t="s">
        <v>4579</v>
      </c>
      <c r="O108" s="3173">
        <v>64.25</v>
      </c>
      <c r="P108" s="3173" t="s">
        <v>672</v>
      </c>
      <c r="Q108" s="3176"/>
      <c r="R108" s="3177">
        <v>45364</v>
      </c>
      <c r="S108" s="3176" t="s">
        <v>4279</v>
      </c>
      <c r="T108" s="3176" t="s">
        <v>4284</v>
      </c>
      <c r="U108" s="3176" t="s">
        <v>4279</v>
      </c>
      <c r="V108" s="3176" t="s">
        <v>4280</v>
      </c>
      <c r="W108" s="3224">
        <v>2</v>
      </c>
      <c r="X108" s="3242">
        <f t="shared" ca="1" si="10"/>
        <v>5536</v>
      </c>
      <c r="Y108" s="3242">
        <f t="shared" ca="1" si="6"/>
        <v>355688</v>
      </c>
      <c r="AY108" s="3228">
        <f>SUM(AY2:AY107)</f>
        <v>4621.3200000000024</v>
      </c>
      <c r="BI108" s="3228">
        <f ca="1">SUM(BI2:BI107)</f>
        <v>16167472.089999987</v>
      </c>
    </row>
    <row r="109" spans="1:61" ht="54">
      <c r="A109" s="3224"/>
      <c r="B109" s="3224"/>
      <c r="C109" s="3224"/>
      <c r="D109" s="3224"/>
      <c r="E109" s="3224"/>
      <c r="F109" s="3224"/>
      <c r="G109" s="3224"/>
      <c r="H109" s="3224"/>
      <c r="I109" s="3173">
        <v>108</v>
      </c>
      <c r="J109" s="3173">
        <v>20240070009</v>
      </c>
      <c r="K109" s="3173"/>
      <c r="L109" s="3173"/>
      <c r="M109" s="3173" t="s">
        <v>4274</v>
      </c>
      <c r="N109" s="3173" t="s">
        <v>4580</v>
      </c>
      <c r="O109" s="3173">
        <v>64.25</v>
      </c>
      <c r="P109" s="3173" t="s">
        <v>672</v>
      </c>
      <c r="Q109" s="3176"/>
      <c r="R109" s="3177">
        <v>45364</v>
      </c>
      <c r="S109" s="3176" t="s">
        <v>4279</v>
      </c>
      <c r="T109" s="3176" t="s">
        <v>4284</v>
      </c>
      <c r="U109" s="3176" t="s">
        <v>4279</v>
      </c>
      <c r="V109" s="3176" t="s">
        <v>4280</v>
      </c>
      <c r="W109" s="3224">
        <v>2</v>
      </c>
      <c r="X109" s="3242">
        <f t="shared" ca="1" si="10"/>
        <v>5536</v>
      </c>
      <c r="Y109" s="3242">
        <f t="shared" ca="1" si="6"/>
        <v>355688</v>
      </c>
    </row>
    <row r="110" spans="1:61" ht="54">
      <c r="A110" s="3224"/>
      <c r="B110" s="3224"/>
      <c r="C110" s="3224"/>
      <c r="D110" s="3224"/>
      <c r="E110" s="3224"/>
      <c r="F110" s="3224"/>
      <c r="G110" s="3224"/>
      <c r="H110" s="3224"/>
      <c r="I110" s="3173">
        <v>109</v>
      </c>
      <c r="J110" s="3173">
        <v>20240070009</v>
      </c>
      <c r="K110" s="3173"/>
      <c r="L110" s="3173"/>
      <c r="M110" s="3173" t="s">
        <v>4274</v>
      </c>
      <c r="N110" s="3173" t="s">
        <v>4581</v>
      </c>
      <c r="O110" s="3173">
        <v>64.25</v>
      </c>
      <c r="P110" s="3173" t="s">
        <v>672</v>
      </c>
      <c r="Q110" s="3176"/>
      <c r="R110" s="3177">
        <v>45364</v>
      </c>
      <c r="S110" s="3176" t="s">
        <v>4279</v>
      </c>
      <c r="T110" s="3176" t="s">
        <v>4284</v>
      </c>
      <c r="U110" s="3176" t="s">
        <v>4279</v>
      </c>
      <c r="V110" s="3176" t="s">
        <v>4280</v>
      </c>
      <c r="W110" s="3224">
        <v>2</v>
      </c>
      <c r="X110" s="3242">
        <f t="shared" ca="1" si="10"/>
        <v>5536</v>
      </c>
      <c r="Y110" s="3242">
        <f t="shared" ca="1" si="6"/>
        <v>355688</v>
      </c>
    </row>
    <row r="111" spans="1:61" ht="54">
      <c r="A111" s="3224"/>
      <c r="B111" s="3224"/>
      <c r="C111" s="3224"/>
      <c r="D111" s="3224"/>
      <c r="E111" s="3224"/>
      <c r="F111" s="3224"/>
      <c r="G111" s="3224"/>
      <c r="H111" s="3224"/>
      <c r="I111" s="3173">
        <v>110</v>
      </c>
      <c r="J111" s="3173">
        <v>20240070009</v>
      </c>
      <c r="K111" s="3173"/>
      <c r="L111" s="3173"/>
      <c r="M111" s="3173" t="s">
        <v>4274</v>
      </c>
      <c r="N111" s="3173" t="s">
        <v>4582</v>
      </c>
      <c r="O111" s="3173">
        <v>64.25</v>
      </c>
      <c r="P111" s="3173" t="s">
        <v>672</v>
      </c>
      <c r="Q111" s="3176"/>
      <c r="R111" s="3177">
        <v>45364</v>
      </c>
      <c r="S111" s="3176" t="s">
        <v>4279</v>
      </c>
      <c r="T111" s="3176" t="s">
        <v>4284</v>
      </c>
      <c r="U111" s="3176" t="s">
        <v>4279</v>
      </c>
      <c r="V111" s="3176" t="s">
        <v>4280</v>
      </c>
      <c r="W111" s="3224">
        <v>2</v>
      </c>
      <c r="X111" s="3242">
        <f t="shared" ca="1" si="10"/>
        <v>5536</v>
      </c>
      <c r="Y111" s="3242">
        <f t="shared" ca="1" si="6"/>
        <v>355688</v>
      </c>
    </row>
    <row r="112" spans="1:61" ht="54">
      <c r="A112" s="3224"/>
      <c r="B112" s="3224"/>
      <c r="C112" s="3224"/>
      <c r="D112" s="3224"/>
      <c r="E112" s="3224"/>
      <c r="F112" s="3224"/>
      <c r="G112" s="3224"/>
      <c r="H112" s="3224"/>
      <c r="I112" s="3173">
        <v>111</v>
      </c>
      <c r="J112" s="3173">
        <v>20240070009</v>
      </c>
      <c r="K112" s="3173"/>
      <c r="L112" s="3173"/>
      <c r="M112" s="3173" t="s">
        <v>4274</v>
      </c>
      <c r="N112" s="3173" t="s">
        <v>4583</v>
      </c>
      <c r="O112" s="3173">
        <v>64.25</v>
      </c>
      <c r="P112" s="3173" t="s">
        <v>672</v>
      </c>
      <c r="Q112" s="3176"/>
      <c r="R112" s="3177">
        <v>45364</v>
      </c>
      <c r="S112" s="3176" t="s">
        <v>4279</v>
      </c>
      <c r="T112" s="3176" t="s">
        <v>4284</v>
      </c>
      <c r="U112" s="3176" t="s">
        <v>4279</v>
      </c>
      <c r="V112" s="3176" t="s">
        <v>4280</v>
      </c>
      <c r="W112" s="3224">
        <v>2</v>
      </c>
      <c r="X112" s="3242">
        <f t="shared" ca="1" si="10"/>
        <v>5536</v>
      </c>
      <c r="Y112" s="3242">
        <f t="shared" ca="1" si="6"/>
        <v>355688</v>
      </c>
    </row>
    <row r="113" spans="1:25" ht="54">
      <c r="A113" s="3224"/>
      <c r="B113" s="3224"/>
      <c r="C113" s="3224"/>
      <c r="D113" s="3224"/>
      <c r="E113" s="3224"/>
      <c r="F113" s="3224"/>
      <c r="G113" s="3224"/>
      <c r="H113" s="3224"/>
      <c r="I113" s="3173">
        <v>112</v>
      </c>
      <c r="J113" s="3173">
        <v>20240070009</v>
      </c>
      <c r="K113" s="3173"/>
      <c r="L113" s="3173"/>
      <c r="M113" s="3173" t="s">
        <v>4274</v>
      </c>
      <c r="N113" s="3173" t="s">
        <v>4584</v>
      </c>
      <c r="O113" s="3173">
        <v>64.25</v>
      </c>
      <c r="P113" s="3173" t="s">
        <v>672</v>
      </c>
      <c r="Q113" s="3176"/>
      <c r="R113" s="3177">
        <v>45364</v>
      </c>
      <c r="S113" s="3176" t="s">
        <v>4279</v>
      </c>
      <c r="T113" s="3176" t="s">
        <v>4284</v>
      </c>
      <c r="U113" s="3176" t="s">
        <v>4279</v>
      </c>
      <c r="V113" s="3176" t="s">
        <v>4280</v>
      </c>
      <c r="W113" s="3224">
        <v>2</v>
      </c>
      <c r="X113" s="3242">
        <f t="shared" ca="1" si="10"/>
        <v>5536</v>
      </c>
      <c r="Y113" s="3242">
        <f t="shared" ca="1" si="6"/>
        <v>355688</v>
      </c>
    </row>
    <row r="114" spans="1:25" ht="54">
      <c r="A114" s="3224"/>
      <c r="B114" s="3224"/>
      <c r="C114" s="3224"/>
      <c r="D114" s="3224"/>
      <c r="E114" s="3224"/>
      <c r="F114" s="3224"/>
      <c r="G114" s="3224"/>
      <c r="H114" s="3224"/>
      <c r="I114" s="3173">
        <v>113</v>
      </c>
      <c r="J114" s="3173">
        <v>20240070009</v>
      </c>
      <c r="K114" s="3173"/>
      <c r="L114" s="3173"/>
      <c r="M114" s="3173" t="s">
        <v>4274</v>
      </c>
      <c r="N114" s="3173" t="s">
        <v>4585</v>
      </c>
      <c r="O114" s="3173">
        <v>58.14</v>
      </c>
      <c r="P114" s="3173" t="s">
        <v>672</v>
      </c>
      <c r="Q114" s="3176"/>
      <c r="R114" s="3177">
        <v>45364</v>
      </c>
      <c r="S114" s="3176" t="s">
        <v>4279</v>
      </c>
      <c r="T114" s="3176" t="s">
        <v>4284</v>
      </c>
      <c r="U114" s="3176" t="s">
        <v>4279</v>
      </c>
      <c r="V114" s="3176" t="s">
        <v>4280</v>
      </c>
      <c r="W114" s="3224">
        <v>2</v>
      </c>
      <c r="X114" s="3242">
        <f t="shared" ca="1" si="10"/>
        <v>5536</v>
      </c>
      <c r="Y114" s="3242">
        <f t="shared" ca="1" si="6"/>
        <v>321863.03999999998</v>
      </c>
    </row>
    <row r="115" spans="1:25" ht="54">
      <c r="A115" s="3224"/>
      <c r="B115" s="3224"/>
      <c r="C115" s="3224"/>
      <c r="D115" s="3224"/>
      <c r="E115" s="3224"/>
      <c r="F115" s="3224"/>
      <c r="G115" s="3224"/>
      <c r="H115" s="3224"/>
      <c r="I115" s="3173">
        <v>114</v>
      </c>
      <c r="J115" s="3173">
        <v>20240070009</v>
      </c>
      <c r="K115" s="3173"/>
      <c r="L115" s="3173"/>
      <c r="M115" s="3173" t="s">
        <v>4274</v>
      </c>
      <c r="N115" s="3173" t="s">
        <v>4586</v>
      </c>
      <c r="O115" s="3173">
        <v>63.49</v>
      </c>
      <c r="P115" s="3173" t="s">
        <v>672</v>
      </c>
      <c r="Q115" s="3176"/>
      <c r="R115" s="3177">
        <v>45364</v>
      </c>
      <c r="S115" s="3176" t="s">
        <v>4279</v>
      </c>
      <c r="T115" s="3176" t="s">
        <v>4284</v>
      </c>
      <c r="U115" s="3176" t="s">
        <v>4279</v>
      </c>
      <c r="V115" s="3176" t="s">
        <v>4280</v>
      </c>
      <c r="W115" s="3224">
        <v>2</v>
      </c>
      <c r="X115" s="3242">
        <f t="shared" ca="1" si="10"/>
        <v>5536</v>
      </c>
      <c r="Y115" s="3242">
        <f t="shared" ca="1" si="6"/>
        <v>351480.64</v>
      </c>
    </row>
    <row r="116" spans="1:25" ht="54">
      <c r="A116" s="3224"/>
      <c r="B116" s="3224"/>
      <c r="C116" s="3224"/>
      <c r="D116" s="3224"/>
      <c r="E116" s="3224"/>
      <c r="F116" s="3224"/>
      <c r="G116" s="3224"/>
      <c r="H116" s="3224"/>
      <c r="I116" s="3173">
        <v>115</v>
      </c>
      <c r="J116" s="3173">
        <v>20240070009</v>
      </c>
      <c r="K116" s="3173"/>
      <c r="L116" s="3173"/>
      <c r="M116" s="3173" t="s">
        <v>4274</v>
      </c>
      <c r="N116" s="3173" t="s">
        <v>4587</v>
      </c>
      <c r="O116" s="3173">
        <v>107.91</v>
      </c>
      <c r="P116" s="3173" t="s">
        <v>672</v>
      </c>
      <c r="Q116" s="3176"/>
      <c r="R116" s="3177">
        <v>45364</v>
      </c>
      <c r="S116" s="3176" t="s">
        <v>4279</v>
      </c>
      <c r="T116" s="3176" t="s">
        <v>4284</v>
      </c>
      <c r="U116" s="3176" t="s">
        <v>4279</v>
      </c>
      <c r="V116" s="3176" t="s">
        <v>4280</v>
      </c>
      <c r="W116" s="3224">
        <v>2</v>
      </c>
      <c r="X116" s="3242">
        <f t="shared" ca="1" si="10"/>
        <v>5536</v>
      </c>
      <c r="Y116" s="3242">
        <f t="shared" ca="1" si="6"/>
        <v>597389.76</v>
      </c>
    </row>
    <row r="117" spans="1:25" ht="54">
      <c r="A117" s="3224"/>
      <c r="B117" s="3224"/>
      <c r="C117" s="3224"/>
      <c r="D117" s="3224"/>
      <c r="E117" s="3224"/>
      <c r="F117" s="3224"/>
      <c r="G117" s="3224"/>
      <c r="H117" s="3224"/>
      <c r="I117" s="3173">
        <v>116</v>
      </c>
      <c r="J117" s="3173">
        <v>20240070009</v>
      </c>
      <c r="K117" s="3173"/>
      <c r="L117" s="3173"/>
      <c r="M117" s="3173" t="s">
        <v>4274</v>
      </c>
      <c r="N117" s="3173" t="s">
        <v>4588</v>
      </c>
      <c r="O117" s="3173">
        <v>67.95</v>
      </c>
      <c r="P117" s="3173" t="s">
        <v>672</v>
      </c>
      <c r="Q117" s="3176"/>
      <c r="R117" s="3177">
        <v>45364</v>
      </c>
      <c r="S117" s="3176" t="s">
        <v>4279</v>
      </c>
      <c r="T117" s="3176" t="s">
        <v>4284</v>
      </c>
      <c r="U117" s="3176" t="s">
        <v>4279</v>
      </c>
      <c r="V117" s="3176" t="s">
        <v>4280</v>
      </c>
      <c r="W117" s="3224">
        <v>2</v>
      </c>
      <c r="X117" s="3242">
        <f t="shared" ca="1" si="10"/>
        <v>5536</v>
      </c>
      <c r="Y117" s="3242">
        <f t="shared" ca="1" si="6"/>
        <v>376171.2</v>
      </c>
    </row>
    <row r="118" spans="1:25" ht="54">
      <c r="A118" s="3224"/>
      <c r="B118" s="3224"/>
      <c r="C118" s="3224"/>
      <c r="D118" s="3224"/>
      <c r="E118" s="3224"/>
      <c r="F118" s="3224"/>
      <c r="G118" s="3224"/>
      <c r="H118" s="3224"/>
      <c r="I118" s="3173">
        <v>117</v>
      </c>
      <c r="J118" s="3173">
        <v>20240070009</v>
      </c>
      <c r="K118" s="3173"/>
      <c r="L118" s="3173"/>
      <c r="M118" s="3173" t="s">
        <v>4274</v>
      </c>
      <c r="N118" s="3173" t="s">
        <v>4589</v>
      </c>
      <c r="O118" s="3173">
        <v>68.5</v>
      </c>
      <c r="P118" s="3173" t="s">
        <v>672</v>
      </c>
      <c r="Q118" s="3176"/>
      <c r="R118" s="3177">
        <v>45364</v>
      </c>
      <c r="S118" s="3176" t="s">
        <v>4279</v>
      </c>
      <c r="T118" s="3176" t="s">
        <v>4284</v>
      </c>
      <c r="U118" s="3176" t="s">
        <v>4279</v>
      </c>
      <c r="V118" s="3176" t="s">
        <v>4280</v>
      </c>
      <c r="W118" s="3224">
        <v>2</v>
      </c>
      <c r="X118" s="3242">
        <f t="shared" ca="1" si="10"/>
        <v>5536</v>
      </c>
      <c r="Y118" s="3242">
        <f t="shared" ca="1" si="6"/>
        <v>379216</v>
      </c>
    </row>
    <row r="119" spans="1:25" ht="54">
      <c r="A119" s="3224"/>
      <c r="B119" s="3224"/>
      <c r="C119" s="3224"/>
      <c r="D119" s="3224"/>
      <c r="E119" s="3224"/>
      <c r="F119" s="3224"/>
      <c r="G119" s="3224"/>
      <c r="H119" s="3224"/>
      <c r="I119" s="3173">
        <v>118</v>
      </c>
      <c r="J119" s="3173">
        <v>20240070009</v>
      </c>
      <c r="K119" s="3173"/>
      <c r="L119" s="3173"/>
      <c r="M119" s="3173" t="s">
        <v>4274</v>
      </c>
      <c r="N119" s="3173" t="s">
        <v>4590</v>
      </c>
      <c r="O119" s="3173">
        <v>81.349999999999994</v>
      </c>
      <c r="P119" s="3173" t="s">
        <v>672</v>
      </c>
      <c r="Q119" s="3176"/>
      <c r="R119" s="3177">
        <v>45364</v>
      </c>
      <c r="S119" s="3176" t="s">
        <v>4279</v>
      </c>
      <c r="T119" s="3176" t="s">
        <v>4284</v>
      </c>
      <c r="U119" s="3176" t="s">
        <v>4279</v>
      </c>
      <c r="V119" s="3176" t="s">
        <v>4280</v>
      </c>
      <c r="W119" s="3224">
        <v>2</v>
      </c>
      <c r="X119" s="3242">
        <f t="shared" ca="1" si="10"/>
        <v>5536</v>
      </c>
      <c r="Y119" s="3242">
        <f t="shared" ca="1" si="6"/>
        <v>450353.6</v>
      </c>
    </row>
    <row r="120" spans="1:25" ht="54">
      <c r="A120" s="3224"/>
      <c r="B120" s="3224"/>
      <c r="C120" s="3224"/>
      <c r="D120" s="3224"/>
      <c r="E120" s="3224"/>
      <c r="F120" s="3224"/>
      <c r="G120" s="3224"/>
      <c r="H120" s="3224"/>
      <c r="I120" s="3173">
        <v>119</v>
      </c>
      <c r="J120" s="3173">
        <v>20240070009</v>
      </c>
      <c r="K120" s="3173"/>
      <c r="L120" s="3173"/>
      <c r="M120" s="3173" t="s">
        <v>4274</v>
      </c>
      <c r="N120" s="3173" t="s">
        <v>4591</v>
      </c>
      <c r="O120" s="3173">
        <v>42.01</v>
      </c>
      <c r="P120" s="3173" t="s">
        <v>672</v>
      </c>
      <c r="Q120" s="3176"/>
      <c r="R120" s="3177">
        <v>45364</v>
      </c>
      <c r="S120" s="3176" t="s">
        <v>4279</v>
      </c>
      <c r="T120" s="3176" t="s">
        <v>4284</v>
      </c>
      <c r="U120" s="3176" t="s">
        <v>4279</v>
      </c>
      <c r="V120" s="3176" t="s">
        <v>4280</v>
      </c>
      <c r="W120" s="3224">
        <v>2</v>
      </c>
      <c r="X120" s="3242">
        <f t="shared" ca="1" si="10"/>
        <v>5536</v>
      </c>
      <c r="Y120" s="3242">
        <f t="shared" ca="1" si="6"/>
        <v>232567.36</v>
      </c>
    </row>
    <row r="121" spans="1:25" ht="54">
      <c r="A121" s="3224"/>
      <c r="B121" s="3224"/>
      <c r="C121" s="3224"/>
      <c r="D121" s="3224"/>
      <c r="E121" s="3224"/>
      <c r="F121" s="3224"/>
      <c r="G121" s="3224"/>
      <c r="H121" s="3224"/>
      <c r="I121" s="3173">
        <v>120</v>
      </c>
      <c r="J121" s="3173">
        <v>20240070009</v>
      </c>
      <c r="K121" s="3173"/>
      <c r="L121" s="3173"/>
      <c r="M121" s="3173" t="s">
        <v>4274</v>
      </c>
      <c r="N121" s="3173" t="s">
        <v>4592</v>
      </c>
      <c r="O121" s="3173">
        <v>40.65</v>
      </c>
      <c r="P121" s="3173" t="s">
        <v>672</v>
      </c>
      <c r="Q121" s="3176"/>
      <c r="R121" s="3177">
        <v>45364</v>
      </c>
      <c r="S121" s="3176" t="s">
        <v>4279</v>
      </c>
      <c r="T121" s="3176" t="s">
        <v>4284</v>
      </c>
      <c r="U121" s="3176" t="s">
        <v>4279</v>
      </c>
      <c r="V121" s="3176" t="s">
        <v>4280</v>
      </c>
      <c r="W121" s="3224">
        <v>3</v>
      </c>
      <c r="X121" s="3242">
        <f t="shared" ca="1" si="10"/>
        <v>5536</v>
      </c>
      <c r="Y121" s="3242">
        <f t="shared" ca="1" si="6"/>
        <v>225038.4</v>
      </c>
    </row>
    <row r="122" spans="1:25" ht="54">
      <c r="A122" s="3224"/>
      <c r="B122" s="3224"/>
      <c r="C122" s="3224"/>
      <c r="D122" s="3224"/>
      <c r="E122" s="3224"/>
      <c r="F122" s="3224"/>
      <c r="G122" s="3224"/>
      <c r="H122" s="3224"/>
      <c r="I122" s="3173">
        <v>121</v>
      </c>
      <c r="J122" s="3173">
        <v>20240070009</v>
      </c>
      <c r="K122" s="3173"/>
      <c r="L122" s="3173"/>
      <c r="M122" s="3173" t="s">
        <v>4274</v>
      </c>
      <c r="N122" s="3173" t="s">
        <v>4593</v>
      </c>
      <c r="O122" s="3173">
        <v>64.25</v>
      </c>
      <c r="P122" s="3173" t="s">
        <v>672</v>
      </c>
      <c r="Q122" s="3176"/>
      <c r="R122" s="3177">
        <v>45364</v>
      </c>
      <c r="S122" s="3176" t="s">
        <v>4279</v>
      </c>
      <c r="T122" s="3176" t="s">
        <v>4284</v>
      </c>
      <c r="U122" s="3176" t="s">
        <v>4279</v>
      </c>
      <c r="V122" s="3176" t="s">
        <v>4280</v>
      </c>
      <c r="W122" s="3224">
        <v>3</v>
      </c>
      <c r="X122" s="3242">
        <f t="shared" ca="1" si="10"/>
        <v>5536</v>
      </c>
      <c r="Y122" s="3242">
        <f t="shared" ca="1" si="6"/>
        <v>355688</v>
      </c>
    </row>
    <row r="123" spans="1:25" ht="54">
      <c r="A123" s="3224"/>
      <c r="B123" s="3224"/>
      <c r="C123" s="3224"/>
      <c r="D123" s="3224"/>
      <c r="E123" s="3224"/>
      <c r="F123" s="3224"/>
      <c r="G123" s="3224"/>
      <c r="H123" s="3224"/>
      <c r="I123" s="3173">
        <v>122</v>
      </c>
      <c r="J123" s="3173">
        <v>20240070009</v>
      </c>
      <c r="K123" s="3173"/>
      <c r="L123" s="3173"/>
      <c r="M123" s="3173" t="s">
        <v>4274</v>
      </c>
      <c r="N123" s="3173" t="s">
        <v>4594</v>
      </c>
      <c r="O123" s="3173">
        <v>64.25</v>
      </c>
      <c r="P123" s="3173" t="s">
        <v>672</v>
      </c>
      <c r="Q123" s="3176"/>
      <c r="R123" s="3177">
        <v>45364</v>
      </c>
      <c r="S123" s="3176" t="s">
        <v>4279</v>
      </c>
      <c r="T123" s="3176" t="s">
        <v>4284</v>
      </c>
      <c r="U123" s="3176" t="s">
        <v>4279</v>
      </c>
      <c r="V123" s="3176" t="s">
        <v>4280</v>
      </c>
      <c r="W123" s="3224">
        <v>3</v>
      </c>
      <c r="X123" s="3242">
        <f t="shared" ca="1" si="10"/>
        <v>5536</v>
      </c>
      <c r="Y123" s="3242">
        <f t="shared" ca="1" si="6"/>
        <v>355688</v>
      </c>
    </row>
    <row r="124" spans="1:25" ht="54">
      <c r="A124" s="3224"/>
      <c r="B124" s="3224"/>
      <c r="C124" s="3224"/>
      <c r="D124" s="3224"/>
      <c r="E124" s="3224"/>
      <c r="F124" s="3224"/>
      <c r="G124" s="3224"/>
      <c r="H124" s="3224"/>
      <c r="I124" s="3173">
        <v>123</v>
      </c>
      <c r="J124" s="3173">
        <v>20240070009</v>
      </c>
      <c r="K124" s="3173"/>
      <c r="L124" s="3173"/>
      <c r="M124" s="3173" t="s">
        <v>4274</v>
      </c>
      <c r="N124" s="3173" t="s">
        <v>4595</v>
      </c>
      <c r="O124" s="3173">
        <v>64.25</v>
      </c>
      <c r="P124" s="3173" t="s">
        <v>672</v>
      </c>
      <c r="Q124" s="3176"/>
      <c r="R124" s="3177">
        <v>45364</v>
      </c>
      <c r="S124" s="3176" t="s">
        <v>4279</v>
      </c>
      <c r="T124" s="3176" t="s">
        <v>4284</v>
      </c>
      <c r="U124" s="3176" t="s">
        <v>4279</v>
      </c>
      <c r="V124" s="3176" t="s">
        <v>4280</v>
      </c>
      <c r="W124" s="3224">
        <v>3</v>
      </c>
      <c r="X124" s="3242">
        <f t="shared" ca="1" si="10"/>
        <v>5536</v>
      </c>
      <c r="Y124" s="3242">
        <f t="shared" ca="1" si="6"/>
        <v>355688</v>
      </c>
    </row>
    <row r="125" spans="1:25" ht="54">
      <c r="A125" s="3224"/>
      <c r="B125" s="3224"/>
      <c r="C125" s="3224"/>
      <c r="D125" s="3224"/>
      <c r="E125" s="3224"/>
      <c r="F125" s="3224"/>
      <c r="G125" s="3224"/>
      <c r="H125" s="3224"/>
      <c r="I125" s="3173">
        <v>124</v>
      </c>
      <c r="J125" s="3173">
        <v>20240070009</v>
      </c>
      <c r="K125" s="3173"/>
      <c r="L125" s="3173"/>
      <c r="M125" s="3173" t="s">
        <v>4274</v>
      </c>
      <c r="N125" s="3173" t="s">
        <v>4596</v>
      </c>
      <c r="O125" s="3173">
        <v>64.25</v>
      </c>
      <c r="P125" s="3173" t="s">
        <v>672</v>
      </c>
      <c r="Q125" s="3173"/>
      <c r="R125" s="3174">
        <v>45364</v>
      </c>
      <c r="S125" s="3173" t="s">
        <v>4279</v>
      </c>
      <c r="T125" s="3173" t="s">
        <v>4297</v>
      </c>
      <c r="U125" s="3173" t="s">
        <v>4279</v>
      </c>
      <c r="V125" s="3173" t="s">
        <v>4280</v>
      </c>
      <c r="W125" s="3224">
        <v>3</v>
      </c>
      <c r="X125" s="3242">
        <f t="shared" ca="1" si="10"/>
        <v>5536</v>
      </c>
      <c r="Y125" s="3242">
        <f t="shared" ca="1" si="6"/>
        <v>355688</v>
      </c>
    </row>
    <row r="126" spans="1:25" ht="54">
      <c r="A126" s="3224"/>
      <c r="B126" s="3224"/>
      <c r="C126" s="3224"/>
      <c r="D126" s="3224"/>
      <c r="E126" s="3224"/>
      <c r="F126" s="3224"/>
      <c r="G126" s="3224"/>
      <c r="H126" s="3224"/>
      <c r="I126" s="3173">
        <v>125</v>
      </c>
      <c r="J126" s="3173">
        <v>20240070009</v>
      </c>
      <c r="K126" s="3173"/>
      <c r="L126" s="3173"/>
      <c r="M126" s="3173" t="s">
        <v>4274</v>
      </c>
      <c r="N126" s="3173" t="s">
        <v>4597</v>
      </c>
      <c r="O126" s="3173">
        <v>64.25</v>
      </c>
      <c r="P126" s="3173" t="s">
        <v>672</v>
      </c>
      <c r="Q126" s="3173"/>
      <c r="R126" s="3174">
        <v>45364</v>
      </c>
      <c r="S126" s="3173" t="s">
        <v>4279</v>
      </c>
      <c r="T126" s="3173" t="s">
        <v>4297</v>
      </c>
      <c r="U126" s="3173" t="s">
        <v>4279</v>
      </c>
      <c r="V126" s="3173" t="s">
        <v>4280</v>
      </c>
      <c r="W126" s="3224">
        <v>3</v>
      </c>
      <c r="X126" s="3242">
        <f t="shared" ca="1" si="10"/>
        <v>5536</v>
      </c>
      <c r="Y126" s="3242">
        <f t="shared" ca="1" si="6"/>
        <v>355688</v>
      </c>
    </row>
    <row r="127" spans="1:25" ht="54">
      <c r="A127" s="3224"/>
      <c r="B127" s="3224"/>
      <c r="C127" s="3224"/>
      <c r="D127" s="3224"/>
      <c r="E127" s="3224"/>
      <c r="F127" s="3224"/>
      <c r="G127" s="3224"/>
      <c r="H127" s="3224"/>
      <c r="I127" s="3173">
        <v>126</v>
      </c>
      <c r="J127" s="3173">
        <v>20240070009</v>
      </c>
      <c r="K127" s="3173"/>
      <c r="L127" s="3173"/>
      <c r="M127" s="3173" t="s">
        <v>4274</v>
      </c>
      <c r="N127" s="3173" t="s">
        <v>4598</v>
      </c>
      <c r="O127" s="3173">
        <v>64.25</v>
      </c>
      <c r="P127" s="3173" t="s">
        <v>672</v>
      </c>
      <c r="Q127" s="3173"/>
      <c r="R127" s="3174">
        <v>45364</v>
      </c>
      <c r="S127" s="3173" t="s">
        <v>4277</v>
      </c>
      <c r="T127" s="3173" t="s">
        <v>4297</v>
      </c>
      <c r="U127" s="3173" t="s">
        <v>4279</v>
      </c>
      <c r="V127" s="3173" t="s">
        <v>4280</v>
      </c>
      <c r="W127" s="3224">
        <v>3</v>
      </c>
      <c r="X127" s="3242">
        <f t="shared" ca="1" si="10"/>
        <v>5536</v>
      </c>
      <c r="Y127" s="3242">
        <f t="shared" ca="1" si="6"/>
        <v>355688</v>
      </c>
    </row>
    <row r="128" spans="1:25" ht="54">
      <c r="A128" s="3224"/>
      <c r="B128" s="3224"/>
      <c r="C128" s="3224"/>
      <c r="D128" s="3224"/>
      <c r="E128" s="3224"/>
      <c r="F128" s="3224"/>
      <c r="G128" s="3224"/>
      <c r="H128" s="3224"/>
      <c r="I128" s="3173">
        <v>127</v>
      </c>
      <c r="J128" s="3173">
        <v>20240070009</v>
      </c>
      <c r="K128" s="3173"/>
      <c r="L128" s="3173"/>
      <c r="M128" s="3173" t="s">
        <v>4274</v>
      </c>
      <c r="N128" s="3173" t="s">
        <v>4599</v>
      </c>
      <c r="O128" s="3173">
        <v>64.25</v>
      </c>
      <c r="P128" s="3173" t="s">
        <v>672</v>
      </c>
      <c r="Q128" s="3173"/>
      <c r="R128" s="3174">
        <v>45364</v>
      </c>
      <c r="S128" s="3173" t="s">
        <v>4277</v>
      </c>
      <c r="T128" s="3173" t="s">
        <v>4284</v>
      </c>
      <c r="U128" s="3173" t="s">
        <v>4279</v>
      </c>
      <c r="V128" s="3173" t="s">
        <v>4280</v>
      </c>
      <c r="W128" s="3224">
        <v>3</v>
      </c>
      <c r="X128" s="3242">
        <f t="shared" ca="1" si="10"/>
        <v>5536</v>
      </c>
      <c r="Y128" s="3242">
        <f t="shared" ca="1" si="6"/>
        <v>355688</v>
      </c>
    </row>
    <row r="129" spans="1:25" ht="54">
      <c r="A129" s="3224"/>
      <c r="B129" s="3224"/>
      <c r="C129" s="3224"/>
      <c r="D129" s="3224"/>
      <c r="E129" s="3224"/>
      <c r="F129" s="3224"/>
      <c r="G129" s="3224"/>
      <c r="H129" s="3224"/>
      <c r="I129" s="3173">
        <v>128</v>
      </c>
      <c r="J129" s="3173">
        <v>20240070009</v>
      </c>
      <c r="K129" s="3173"/>
      <c r="L129" s="3173"/>
      <c r="M129" s="3173" t="s">
        <v>4274</v>
      </c>
      <c r="N129" s="3173" t="s">
        <v>4600</v>
      </c>
      <c r="O129" s="3173">
        <v>64.25</v>
      </c>
      <c r="P129" s="3173" t="s">
        <v>672</v>
      </c>
      <c r="Q129" s="3173"/>
      <c r="R129" s="3174">
        <v>45364</v>
      </c>
      <c r="S129" s="3173" t="s">
        <v>4277</v>
      </c>
      <c r="T129" s="3173" t="s">
        <v>4284</v>
      </c>
      <c r="U129" s="3173" t="s">
        <v>4279</v>
      </c>
      <c r="V129" s="3173" t="s">
        <v>4280</v>
      </c>
      <c r="W129" s="3224">
        <v>3</v>
      </c>
      <c r="X129" s="3242">
        <f t="shared" ca="1" si="10"/>
        <v>5536</v>
      </c>
      <c r="Y129" s="3242">
        <f t="shared" ca="1" si="6"/>
        <v>355688</v>
      </c>
    </row>
    <row r="130" spans="1:25" ht="54">
      <c r="A130" s="3224"/>
      <c r="B130" s="3224"/>
      <c r="C130" s="3224"/>
      <c r="D130" s="3224"/>
      <c r="E130" s="3224"/>
      <c r="F130" s="3224"/>
      <c r="G130" s="3224"/>
      <c r="H130" s="3224"/>
      <c r="I130" s="3173">
        <v>129</v>
      </c>
      <c r="J130" s="3173">
        <v>20240070009</v>
      </c>
      <c r="K130" s="3173"/>
      <c r="L130" s="3173"/>
      <c r="M130" s="3173" t="s">
        <v>4274</v>
      </c>
      <c r="N130" s="3173" t="s">
        <v>4601</v>
      </c>
      <c r="O130" s="3173">
        <v>64.25</v>
      </c>
      <c r="P130" s="3173" t="s">
        <v>672</v>
      </c>
      <c r="Q130" s="3173"/>
      <c r="R130" s="3174">
        <v>45364</v>
      </c>
      <c r="S130" s="3173" t="s">
        <v>4277</v>
      </c>
      <c r="T130" s="3173" t="s">
        <v>4284</v>
      </c>
      <c r="U130" s="3173" t="s">
        <v>4279</v>
      </c>
      <c r="V130" s="3173" t="s">
        <v>4280</v>
      </c>
      <c r="W130" s="3224">
        <v>3</v>
      </c>
      <c r="X130" s="3242">
        <f t="shared" ca="1" si="10"/>
        <v>5536</v>
      </c>
      <c r="Y130" s="3242">
        <f t="shared" ca="1" si="6"/>
        <v>355688</v>
      </c>
    </row>
    <row r="131" spans="1:25" ht="54">
      <c r="A131" s="3224"/>
      <c r="B131" s="3224"/>
      <c r="C131" s="3224"/>
      <c r="D131" s="3224"/>
      <c r="E131" s="3224"/>
      <c r="F131" s="3224"/>
      <c r="G131" s="3224"/>
      <c r="H131" s="3224"/>
      <c r="I131" s="3173">
        <v>130</v>
      </c>
      <c r="J131" s="3173">
        <v>20240070009</v>
      </c>
      <c r="K131" s="3173"/>
      <c r="L131" s="3173"/>
      <c r="M131" s="3173" t="s">
        <v>4274</v>
      </c>
      <c r="N131" s="3173" t="s">
        <v>4602</v>
      </c>
      <c r="O131" s="3173">
        <v>58.14</v>
      </c>
      <c r="P131" s="3173" t="s">
        <v>672</v>
      </c>
      <c r="Q131" s="3173"/>
      <c r="R131" s="3174">
        <v>45364</v>
      </c>
      <c r="S131" s="3173" t="s">
        <v>4277</v>
      </c>
      <c r="T131" s="3173" t="s">
        <v>4284</v>
      </c>
      <c r="U131" s="3173" t="s">
        <v>4279</v>
      </c>
      <c r="V131" s="3173" t="s">
        <v>4280</v>
      </c>
      <c r="W131" s="3224">
        <v>3</v>
      </c>
      <c r="X131" s="3242">
        <f t="shared" ca="1" si="10"/>
        <v>5536</v>
      </c>
      <c r="Y131" s="3242">
        <f t="shared" ref="Y131:Y194" ca="1" si="11">X131*O131</f>
        <v>321863.03999999998</v>
      </c>
    </row>
    <row r="132" spans="1:25" ht="54">
      <c r="A132" s="3224"/>
      <c r="B132" s="3224"/>
      <c r="C132" s="3224"/>
      <c r="D132" s="3224"/>
      <c r="E132" s="3224"/>
      <c r="F132" s="3224"/>
      <c r="G132" s="3224"/>
      <c r="H132" s="3224"/>
      <c r="I132" s="3173">
        <v>131</v>
      </c>
      <c r="J132" s="3173">
        <v>20240070009</v>
      </c>
      <c r="K132" s="3173"/>
      <c r="L132" s="3173"/>
      <c r="M132" s="3173" t="s">
        <v>4274</v>
      </c>
      <c r="N132" s="3173" t="s">
        <v>4603</v>
      </c>
      <c r="O132" s="3173">
        <v>63.49</v>
      </c>
      <c r="P132" s="3173" t="s">
        <v>672</v>
      </c>
      <c r="Q132" s="3173"/>
      <c r="R132" s="3174">
        <v>45364</v>
      </c>
      <c r="S132" s="3173" t="s">
        <v>4277</v>
      </c>
      <c r="T132" s="3173" t="s">
        <v>4284</v>
      </c>
      <c r="U132" s="3173" t="s">
        <v>4279</v>
      </c>
      <c r="V132" s="3173" t="s">
        <v>4280</v>
      </c>
      <c r="W132" s="3224">
        <v>3</v>
      </c>
      <c r="X132" s="3242">
        <f t="shared" ca="1" si="10"/>
        <v>5536</v>
      </c>
      <c r="Y132" s="3242">
        <f t="shared" ca="1" si="11"/>
        <v>351480.64</v>
      </c>
    </row>
    <row r="133" spans="1:25" ht="54">
      <c r="A133" s="3224"/>
      <c r="B133" s="3224"/>
      <c r="C133" s="3224"/>
      <c r="D133" s="3224"/>
      <c r="E133" s="3224"/>
      <c r="F133" s="3224"/>
      <c r="G133" s="3224"/>
      <c r="H133" s="3224"/>
      <c r="I133" s="3173">
        <v>132</v>
      </c>
      <c r="J133" s="3173">
        <v>20240070009</v>
      </c>
      <c r="K133" s="3173"/>
      <c r="L133" s="3173"/>
      <c r="M133" s="3173" t="s">
        <v>4274</v>
      </c>
      <c r="N133" s="3173" t="s">
        <v>4604</v>
      </c>
      <c r="O133" s="3173">
        <v>106.12</v>
      </c>
      <c r="P133" s="3173" t="s">
        <v>672</v>
      </c>
      <c r="Q133" s="3173"/>
      <c r="R133" s="3174">
        <v>45364</v>
      </c>
      <c r="S133" s="3173" t="s">
        <v>4277</v>
      </c>
      <c r="T133" s="3173" t="s">
        <v>4284</v>
      </c>
      <c r="U133" s="3173" t="s">
        <v>4279</v>
      </c>
      <c r="V133" s="3173" t="s">
        <v>4280</v>
      </c>
      <c r="W133" s="3224">
        <v>3</v>
      </c>
      <c r="X133" s="3242">
        <f t="shared" ca="1" si="10"/>
        <v>5536</v>
      </c>
      <c r="Y133" s="3242">
        <f t="shared" ca="1" si="11"/>
        <v>587480.32000000007</v>
      </c>
    </row>
    <row r="134" spans="1:25" ht="54">
      <c r="A134" s="3224"/>
      <c r="B134" s="3224"/>
      <c r="C134" s="3224"/>
      <c r="D134" s="3224"/>
      <c r="E134" s="3224"/>
      <c r="F134" s="3224"/>
      <c r="G134" s="3224"/>
      <c r="H134" s="3224"/>
      <c r="I134" s="3173">
        <v>133</v>
      </c>
      <c r="J134" s="3173">
        <v>20240070009</v>
      </c>
      <c r="K134" s="3173"/>
      <c r="L134" s="3173"/>
      <c r="M134" s="3173" t="s">
        <v>4274</v>
      </c>
      <c r="N134" s="3173" t="s">
        <v>4605</v>
      </c>
      <c r="O134" s="3173">
        <v>67.459999999999994</v>
      </c>
      <c r="P134" s="3173" t="s">
        <v>672</v>
      </c>
      <c r="Q134" s="3173"/>
      <c r="R134" s="3174">
        <v>45364</v>
      </c>
      <c r="S134" s="3173" t="s">
        <v>4277</v>
      </c>
      <c r="T134" s="3173" t="s">
        <v>4278</v>
      </c>
      <c r="U134" s="3173" t="s">
        <v>4279</v>
      </c>
      <c r="V134" s="3173" t="s">
        <v>4280</v>
      </c>
      <c r="W134" s="3224">
        <v>3</v>
      </c>
      <c r="X134" s="3242">
        <f t="shared" ca="1" si="10"/>
        <v>5536</v>
      </c>
      <c r="Y134" s="3242">
        <f t="shared" ca="1" si="11"/>
        <v>373458.55999999994</v>
      </c>
    </row>
    <row r="135" spans="1:25" ht="54">
      <c r="A135" s="3224"/>
      <c r="B135" s="3224"/>
      <c r="C135" s="3224"/>
      <c r="D135" s="3224"/>
      <c r="E135" s="3224"/>
      <c r="F135" s="3224"/>
      <c r="G135" s="3224"/>
      <c r="H135" s="3224"/>
      <c r="I135" s="3173">
        <v>134</v>
      </c>
      <c r="J135" s="3173">
        <v>20240070009</v>
      </c>
      <c r="K135" s="3173"/>
      <c r="L135" s="3173"/>
      <c r="M135" s="3173" t="s">
        <v>4274</v>
      </c>
      <c r="N135" s="3173" t="s">
        <v>4606</v>
      </c>
      <c r="O135" s="3173">
        <v>67.459999999999994</v>
      </c>
      <c r="P135" s="3173" t="s">
        <v>672</v>
      </c>
      <c r="Q135" s="3173"/>
      <c r="R135" s="3174">
        <v>45364</v>
      </c>
      <c r="S135" s="3173" t="s">
        <v>4277</v>
      </c>
      <c r="T135" s="3173" t="s">
        <v>4278</v>
      </c>
      <c r="U135" s="3173" t="s">
        <v>4279</v>
      </c>
      <c r="V135" s="3173" t="s">
        <v>4280</v>
      </c>
      <c r="W135" s="3224">
        <v>3</v>
      </c>
      <c r="X135" s="3242">
        <f t="shared" ca="1" si="10"/>
        <v>5536</v>
      </c>
      <c r="Y135" s="3242">
        <f t="shared" ca="1" si="11"/>
        <v>373458.55999999994</v>
      </c>
    </row>
    <row r="136" spans="1:25" ht="54">
      <c r="A136" s="3224"/>
      <c r="B136" s="3224"/>
      <c r="C136" s="3224"/>
      <c r="D136" s="3224"/>
      <c r="E136" s="3224"/>
      <c r="F136" s="3224"/>
      <c r="G136" s="3224"/>
      <c r="H136" s="3224"/>
      <c r="I136" s="3173">
        <v>135</v>
      </c>
      <c r="J136" s="3173">
        <v>20240070009</v>
      </c>
      <c r="K136" s="3173"/>
      <c r="L136" s="3173"/>
      <c r="M136" s="3173" t="s">
        <v>4274</v>
      </c>
      <c r="N136" s="3173" t="s">
        <v>4607</v>
      </c>
      <c r="O136" s="3173">
        <v>80.31</v>
      </c>
      <c r="P136" s="3173" t="s">
        <v>672</v>
      </c>
      <c r="Q136" s="3173"/>
      <c r="R136" s="3174">
        <v>45364</v>
      </c>
      <c r="S136" s="3173" t="s">
        <v>4277</v>
      </c>
      <c r="T136" s="3173" t="s">
        <v>4278</v>
      </c>
      <c r="U136" s="3173" t="s">
        <v>4279</v>
      </c>
      <c r="V136" s="3173" t="s">
        <v>4280</v>
      </c>
      <c r="W136" s="3224">
        <v>3</v>
      </c>
      <c r="X136" s="3242">
        <f t="shared" ca="1" si="10"/>
        <v>5536</v>
      </c>
      <c r="Y136" s="3242">
        <f t="shared" ca="1" si="11"/>
        <v>444596.16000000003</v>
      </c>
    </row>
    <row r="137" spans="1:25" ht="54">
      <c r="A137" s="3224"/>
      <c r="B137" s="3224"/>
      <c r="C137" s="3224"/>
      <c r="D137" s="3224"/>
      <c r="E137" s="3224"/>
      <c r="F137" s="3224"/>
      <c r="G137" s="3224"/>
      <c r="H137" s="3224"/>
      <c r="I137" s="3173">
        <v>136</v>
      </c>
      <c r="J137" s="3173">
        <v>20240070009</v>
      </c>
      <c r="K137" s="3173"/>
      <c r="L137" s="3173"/>
      <c r="M137" s="3173" t="s">
        <v>4274</v>
      </c>
      <c r="N137" s="3173" t="s">
        <v>4608</v>
      </c>
      <c r="O137" s="3173">
        <v>41.52</v>
      </c>
      <c r="P137" s="3173" t="s">
        <v>672</v>
      </c>
      <c r="Q137" s="3173"/>
      <c r="R137" s="3174">
        <v>45364</v>
      </c>
      <c r="S137" s="3173" t="s">
        <v>4277</v>
      </c>
      <c r="T137" s="3173" t="s">
        <v>4278</v>
      </c>
      <c r="U137" s="3173" t="s">
        <v>4279</v>
      </c>
      <c r="V137" s="3173" t="s">
        <v>4280</v>
      </c>
      <c r="W137" s="3224">
        <v>3</v>
      </c>
      <c r="X137" s="3242">
        <f t="shared" ca="1" si="10"/>
        <v>5536</v>
      </c>
      <c r="Y137" s="3242">
        <f t="shared" ca="1" si="11"/>
        <v>229854.72000000003</v>
      </c>
    </row>
    <row r="138" spans="1:25" ht="54">
      <c r="A138" s="3224"/>
      <c r="B138" s="3224"/>
      <c r="C138" s="3224"/>
      <c r="D138" s="3224"/>
      <c r="E138" s="3224"/>
      <c r="F138" s="3224"/>
      <c r="G138" s="3224"/>
      <c r="H138" s="3224"/>
      <c r="I138" s="3173">
        <v>137</v>
      </c>
      <c r="J138" s="3173">
        <v>20240070009</v>
      </c>
      <c r="K138" s="3173"/>
      <c r="L138" s="3173"/>
      <c r="M138" s="3173" t="s">
        <v>4274</v>
      </c>
      <c r="N138" s="3173" t="s">
        <v>4609</v>
      </c>
      <c r="O138" s="3173">
        <v>64.25</v>
      </c>
      <c r="P138" s="3173" t="s">
        <v>672</v>
      </c>
      <c r="Q138" s="3173"/>
      <c r="R138" s="3174">
        <v>45364</v>
      </c>
      <c r="S138" s="3173" t="s">
        <v>4277</v>
      </c>
      <c r="T138" s="3173" t="s">
        <v>4278</v>
      </c>
      <c r="U138" s="3173" t="s">
        <v>4279</v>
      </c>
      <c r="V138" s="3173" t="s">
        <v>4280</v>
      </c>
      <c r="W138" s="3224">
        <v>4</v>
      </c>
      <c r="X138" s="3242">
        <f t="shared" ca="1" si="10"/>
        <v>5536</v>
      </c>
      <c r="Y138" s="3242">
        <f t="shared" ca="1" si="11"/>
        <v>355688</v>
      </c>
    </row>
    <row r="139" spans="1:25" ht="54">
      <c r="A139" s="3224"/>
      <c r="B139" s="3224"/>
      <c r="C139" s="3224"/>
      <c r="D139" s="3224"/>
      <c r="E139" s="3224"/>
      <c r="F139" s="3224"/>
      <c r="G139" s="3224"/>
      <c r="H139" s="3224"/>
      <c r="I139" s="3173">
        <v>138</v>
      </c>
      <c r="J139" s="3173">
        <v>20240070009</v>
      </c>
      <c r="K139" s="3173"/>
      <c r="L139" s="3173"/>
      <c r="M139" s="3173" t="s">
        <v>4274</v>
      </c>
      <c r="N139" s="3173" t="s">
        <v>4610</v>
      </c>
      <c r="O139" s="3173">
        <v>64.25</v>
      </c>
      <c r="P139" s="3173" t="s">
        <v>672</v>
      </c>
      <c r="Q139" s="3173"/>
      <c r="R139" s="3174">
        <v>45364</v>
      </c>
      <c r="S139" s="3173" t="s">
        <v>4277</v>
      </c>
      <c r="T139" s="3173" t="s">
        <v>4278</v>
      </c>
      <c r="U139" s="3173" t="s">
        <v>4279</v>
      </c>
      <c r="V139" s="3173" t="s">
        <v>4280</v>
      </c>
      <c r="W139" s="3224">
        <v>4</v>
      </c>
      <c r="X139" s="3242">
        <f t="shared" ca="1" si="10"/>
        <v>5536</v>
      </c>
      <c r="Y139" s="3242">
        <f t="shared" ca="1" si="11"/>
        <v>355688</v>
      </c>
    </row>
    <row r="140" spans="1:25" ht="54">
      <c r="A140" s="3224"/>
      <c r="B140" s="3224"/>
      <c r="C140" s="3224"/>
      <c r="D140" s="3224"/>
      <c r="E140" s="3224"/>
      <c r="F140" s="3224"/>
      <c r="G140" s="3224"/>
      <c r="H140" s="3224"/>
      <c r="I140" s="3173">
        <v>139</v>
      </c>
      <c r="J140" s="3173">
        <v>20240070009</v>
      </c>
      <c r="K140" s="3173"/>
      <c r="L140" s="3173"/>
      <c r="M140" s="3173" t="s">
        <v>4274</v>
      </c>
      <c r="N140" s="3173" t="s">
        <v>4611</v>
      </c>
      <c r="O140" s="3173">
        <v>64.25</v>
      </c>
      <c r="P140" s="3173" t="s">
        <v>672</v>
      </c>
      <c r="Q140" s="3173"/>
      <c r="R140" s="3174">
        <v>45364</v>
      </c>
      <c r="S140" s="3173" t="s">
        <v>4277</v>
      </c>
      <c r="T140" s="3173" t="s">
        <v>4278</v>
      </c>
      <c r="U140" s="3173" t="s">
        <v>4279</v>
      </c>
      <c r="V140" s="3173" t="s">
        <v>4280</v>
      </c>
      <c r="W140" s="3224">
        <v>4</v>
      </c>
      <c r="X140" s="3242">
        <f t="shared" ca="1" si="10"/>
        <v>5536</v>
      </c>
      <c r="Y140" s="3242">
        <f t="shared" ca="1" si="11"/>
        <v>355688</v>
      </c>
    </row>
    <row r="141" spans="1:25" ht="54">
      <c r="A141" s="3224"/>
      <c r="B141" s="3224"/>
      <c r="C141" s="3224"/>
      <c r="D141" s="3224"/>
      <c r="E141" s="3224"/>
      <c r="F141" s="3224"/>
      <c r="G141" s="3224"/>
      <c r="H141" s="3224"/>
      <c r="I141" s="3173">
        <v>140</v>
      </c>
      <c r="J141" s="3173">
        <v>20240070009</v>
      </c>
      <c r="K141" s="3173"/>
      <c r="L141" s="3173"/>
      <c r="M141" s="3173" t="s">
        <v>4274</v>
      </c>
      <c r="N141" s="3173" t="s">
        <v>4612</v>
      </c>
      <c r="O141" s="3173">
        <v>64.25</v>
      </c>
      <c r="P141" s="3173" t="s">
        <v>672</v>
      </c>
      <c r="Q141" s="3173"/>
      <c r="R141" s="3174">
        <v>45364</v>
      </c>
      <c r="S141" s="3173" t="s">
        <v>4277</v>
      </c>
      <c r="T141" s="3173" t="s">
        <v>4284</v>
      </c>
      <c r="U141" s="3173" t="s">
        <v>4279</v>
      </c>
      <c r="V141" s="3173" t="s">
        <v>4280</v>
      </c>
      <c r="W141" s="3224">
        <v>4</v>
      </c>
      <c r="X141" s="3242">
        <f t="shared" ca="1" si="10"/>
        <v>5536</v>
      </c>
      <c r="Y141" s="3242">
        <f t="shared" ca="1" si="11"/>
        <v>355688</v>
      </c>
    </row>
    <row r="142" spans="1:25" ht="54">
      <c r="A142" s="3224"/>
      <c r="B142" s="3224"/>
      <c r="C142" s="3224"/>
      <c r="D142" s="3224"/>
      <c r="E142" s="3224"/>
      <c r="F142" s="3224"/>
      <c r="G142" s="3224"/>
      <c r="H142" s="3224"/>
      <c r="I142" s="3173">
        <v>141</v>
      </c>
      <c r="J142" s="3173">
        <v>20240070009</v>
      </c>
      <c r="K142" s="3173"/>
      <c r="L142" s="3173"/>
      <c r="M142" s="3173" t="s">
        <v>4274</v>
      </c>
      <c r="N142" s="3173" t="s">
        <v>4613</v>
      </c>
      <c r="O142" s="3173">
        <v>64.25</v>
      </c>
      <c r="P142" s="3173" t="s">
        <v>672</v>
      </c>
      <c r="Q142" s="3173"/>
      <c r="R142" s="3174">
        <v>45364</v>
      </c>
      <c r="S142" s="3173" t="s">
        <v>4277</v>
      </c>
      <c r="T142" s="3173" t="s">
        <v>4284</v>
      </c>
      <c r="U142" s="3173" t="s">
        <v>4279</v>
      </c>
      <c r="V142" s="3173" t="s">
        <v>4280</v>
      </c>
      <c r="W142" s="3224">
        <v>4</v>
      </c>
      <c r="X142" s="3242">
        <f t="shared" ca="1" si="10"/>
        <v>5536</v>
      </c>
      <c r="Y142" s="3242">
        <f t="shared" ca="1" si="11"/>
        <v>355688</v>
      </c>
    </row>
    <row r="143" spans="1:25" ht="54">
      <c r="A143" s="3224"/>
      <c r="B143" s="3224"/>
      <c r="C143" s="3224"/>
      <c r="D143" s="3224"/>
      <c r="E143" s="3224"/>
      <c r="F143" s="3224"/>
      <c r="G143" s="3224"/>
      <c r="H143" s="3224"/>
      <c r="I143" s="3173">
        <v>142</v>
      </c>
      <c r="J143" s="3173">
        <v>20240070009</v>
      </c>
      <c r="K143" s="3173"/>
      <c r="L143" s="3173"/>
      <c r="M143" s="3173" t="s">
        <v>4274</v>
      </c>
      <c r="N143" s="3173" t="s">
        <v>4614</v>
      </c>
      <c r="O143" s="3173">
        <v>58.14</v>
      </c>
      <c r="P143" s="3173" t="s">
        <v>672</v>
      </c>
      <c r="Q143" s="3173"/>
      <c r="R143" s="3174">
        <v>45364</v>
      </c>
      <c r="S143" s="3173" t="s">
        <v>4277</v>
      </c>
      <c r="T143" s="3173" t="s">
        <v>4284</v>
      </c>
      <c r="U143" s="3173" t="s">
        <v>4279</v>
      </c>
      <c r="V143" s="3173" t="s">
        <v>4280</v>
      </c>
      <c r="W143" s="3224">
        <v>4</v>
      </c>
      <c r="X143" s="3242">
        <f t="shared" ca="1" si="10"/>
        <v>5536</v>
      </c>
      <c r="Y143" s="3242">
        <f t="shared" ca="1" si="11"/>
        <v>321863.03999999998</v>
      </c>
    </row>
    <row r="144" spans="1:25" ht="54">
      <c r="A144" s="3224"/>
      <c r="B144" s="3224"/>
      <c r="C144" s="3224"/>
      <c r="D144" s="3224"/>
      <c r="E144" s="3224"/>
      <c r="F144" s="3224"/>
      <c r="G144" s="3224"/>
      <c r="H144" s="3224"/>
      <c r="I144" s="3173">
        <v>143</v>
      </c>
      <c r="J144" s="3173">
        <v>20240070009</v>
      </c>
      <c r="K144" s="3173"/>
      <c r="L144" s="3173"/>
      <c r="M144" s="3173" t="s">
        <v>4274</v>
      </c>
      <c r="N144" s="3173" t="s">
        <v>4615</v>
      </c>
      <c r="O144" s="3173">
        <v>63.49</v>
      </c>
      <c r="P144" s="3173" t="s">
        <v>672</v>
      </c>
      <c r="Q144" s="3173"/>
      <c r="R144" s="3174">
        <v>45364</v>
      </c>
      <c r="S144" s="3173" t="s">
        <v>4279</v>
      </c>
      <c r="T144" s="3173" t="s">
        <v>4284</v>
      </c>
      <c r="U144" s="3173" t="s">
        <v>4279</v>
      </c>
      <c r="V144" s="3173" t="s">
        <v>4280</v>
      </c>
      <c r="W144" s="3224">
        <v>4</v>
      </c>
      <c r="X144" s="3242">
        <f t="shared" ca="1" si="10"/>
        <v>5536</v>
      </c>
      <c r="Y144" s="3242">
        <f t="shared" ca="1" si="11"/>
        <v>351480.64</v>
      </c>
    </row>
    <row r="145" spans="1:25" ht="54">
      <c r="A145" s="3224"/>
      <c r="B145" s="3224"/>
      <c r="C145" s="3224"/>
      <c r="D145" s="3224"/>
      <c r="E145" s="3224"/>
      <c r="F145" s="3224"/>
      <c r="G145" s="3224"/>
      <c r="H145" s="3224"/>
      <c r="I145" s="3173">
        <v>144</v>
      </c>
      <c r="J145" s="3173">
        <v>20240070009</v>
      </c>
      <c r="K145" s="3173"/>
      <c r="L145" s="3173"/>
      <c r="M145" s="3173" t="s">
        <v>4274</v>
      </c>
      <c r="N145" s="3173" t="s">
        <v>4616</v>
      </c>
      <c r="O145" s="3173">
        <v>185.77</v>
      </c>
      <c r="P145" s="3173" t="s">
        <v>672</v>
      </c>
      <c r="Q145" s="3173"/>
      <c r="R145" s="3174">
        <v>45364</v>
      </c>
      <c r="S145" s="3173" t="s">
        <v>4277</v>
      </c>
      <c r="T145" s="3173" t="s">
        <v>4297</v>
      </c>
      <c r="U145" s="3173" t="s">
        <v>4279</v>
      </c>
      <c r="V145" s="3173" t="s">
        <v>4280</v>
      </c>
      <c r="W145" s="3224">
        <v>1</v>
      </c>
      <c r="X145" s="3242">
        <f ca="1">E34</f>
        <v>11071</v>
      </c>
      <c r="Y145" s="3242">
        <f t="shared" ca="1" si="11"/>
        <v>2056659.6700000002</v>
      </c>
    </row>
    <row r="146" spans="1:25" ht="54">
      <c r="A146" s="3224"/>
      <c r="B146" s="3224"/>
      <c r="C146" s="3224"/>
      <c r="D146" s="3224"/>
      <c r="E146" s="3224"/>
      <c r="F146" s="3224"/>
      <c r="G146" s="3224"/>
      <c r="H146" s="3224"/>
      <c r="I146" s="3173">
        <v>145</v>
      </c>
      <c r="J146" s="3173">
        <v>20240070009</v>
      </c>
      <c r="K146" s="3173"/>
      <c r="L146" s="3173"/>
      <c r="M146" s="3173" t="s">
        <v>4274</v>
      </c>
      <c r="N146" s="3173" t="s">
        <v>4617</v>
      </c>
      <c r="O146" s="3173">
        <v>167.29</v>
      </c>
      <c r="P146" s="3173" t="s">
        <v>672</v>
      </c>
      <c r="Q146" s="3173"/>
      <c r="R146" s="3174">
        <v>45364</v>
      </c>
      <c r="S146" s="3173" t="s">
        <v>4277</v>
      </c>
      <c r="T146" s="3173" t="s">
        <v>4297</v>
      </c>
      <c r="U146" s="3173" t="s">
        <v>4279</v>
      </c>
      <c r="V146" s="3173" t="s">
        <v>4280</v>
      </c>
      <c r="W146" s="3224">
        <v>1</v>
      </c>
      <c r="X146" s="3242">
        <f t="shared" ca="1" si="10"/>
        <v>11071</v>
      </c>
      <c r="Y146" s="3242">
        <f t="shared" ca="1" si="11"/>
        <v>1852067.5899999999</v>
      </c>
    </row>
    <row r="147" spans="1:25" ht="54">
      <c r="A147" s="3224"/>
      <c r="B147" s="3224"/>
      <c r="C147" s="3224"/>
      <c r="D147" s="3224"/>
      <c r="E147" s="3224"/>
      <c r="F147" s="3224"/>
      <c r="G147" s="3224"/>
      <c r="H147" s="3224"/>
      <c r="I147" s="3173">
        <v>146</v>
      </c>
      <c r="J147" s="3173">
        <v>20240070009</v>
      </c>
      <c r="K147" s="3173"/>
      <c r="L147" s="3173"/>
      <c r="M147" s="3173" t="s">
        <v>4274</v>
      </c>
      <c r="N147" s="3173" t="s">
        <v>4618</v>
      </c>
      <c r="O147" s="3173">
        <v>173.61</v>
      </c>
      <c r="P147" s="3173" t="s">
        <v>672</v>
      </c>
      <c r="Q147" s="3173"/>
      <c r="R147" s="3174">
        <v>45364</v>
      </c>
      <c r="S147" s="3173" t="s">
        <v>4277</v>
      </c>
      <c r="T147" s="3173" t="s">
        <v>4297</v>
      </c>
      <c r="U147" s="3173" t="s">
        <v>4279</v>
      </c>
      <c r="V147" s="3173" t="s">
        <v>4280</v>
      </c>
      <c r="W147" s="3224">
        <v>1</v>
      </c>
      <c r="X147" s="3242">
        <f t="shared" ca="1" si="10"/>
        <v>11071</v>
      </c>
      <c r="Y147" s="3242">
        <f t="shared" ca="1" si="11"/>
        <v>1922036.31</v>
      </c>
    </row>
    <row r="148" spans="1:25" ht="54">
      <c r="A148" s="3224"/>
      <c r="B148" s="3224"/>
      <c r="C148" s="3224"/>
      <c r="D148" s="3224"/>
      <c r="E148" s="3224"/>
      <c r="F148" s="3224"/>
      <c r="G148" s="3224"/>
      <c r="H148" s="3224"/>
      <c r="I148" s="3173">
        <v>147</v>
      </c>
      <c r="J148" s="3173">
        <v>20240070009</v>
      </c>
      <c r="K148" s="3173"/>
      <c r="L148" s="3173"/>
      <c r="M148" s="3173" t="s">
        <v>4274</v>
      </c>
      <c r="N148" s="3173" t="s">
        <v>4619</v>
      </c>
      <c r="O148" s="3173">
        <v>68.02</v>
      </c>
      <c r="P148" s="3173" t="s">
        <v>672</v>
      </c>
      <c r="Q148" s="3173"/>
      <c r="R148" s="3174">
        <v>45364</v>
      </c>
      <c r="S148" s="3173" t="s">
        <v>4277</v>
      </c>
      <c r="T148" s="3173" t="s">
        <v>4297</v>
      </c>
      <c r="U148" s="3173" t="s">
        <v>4279</v>
      </c>
      <c r="V148" s="3173" t="s">
        <v>4280</v>
      </c>
      <c r="W148" s="3224">
        <v>2</v>
      </c>
      <c r="X148" s="3242">
        <f ca="1">X144</f>
        <v>5536</v>
      </c>
      <c r="Y148" s="3242">
        <f t="shared" ca="1" si="11"/>
        <v>376558.72</v>
      </c>
    </row>
    <row r="149" spans="1:25" ht="54">
      <c r="A149" s="3224"/>
      <c r="B149" s="3224"/>
      <c r="C149" s="3224"/>
      <c r="D149" s="3224"/>
      <c r="E149" s="3224"/>
      <c r="F149" s="3224"/>
      <c r="G149" s="3224"/>
      <c r="H149" s="3224"/>
      <c r="I149" s="3173">
        <v>148</v>
      </c>
      <c r="J149" s="3173">
        <v>20240070009</v>
      </c>
      <c r="K149" s="3173"/>
      <c r="L149" s="3173"/>
      <c r="M149" s="3173" t="s">
        <v>4274</v>
      </c>
      <c r="N149" s="3173" t="s">
        <v>4620</v>
      </c>
      <c r="O149" s="3173">
        <v>57.99</v>
      </c>
      <c r="P149" s="3173" t="s">
        <v>672</v>
      </c>
      <c r="Q149" s="3173"/>
      <c r="R149" s="3174">
        <v>45364</v>
      </c>
      <c r="S149" s="3173" t="s">
        <v>4277</v>
      </c>
      <c r="T149" s="3173" t="s">
        <v>4297</v>
      </c>
      <c r="U149" s="3173" t="s">
        <v>4279</v>
      </c>
      <c r="V149" s="3173" t="s">
        <v>4280</v>
      </c>
      <c r="W149" s="3224">
        <v>2</v>
      </c>
      <c r="X149" s="3242">
        <f t="shared" ca="1" si="10"/>
        <v>5536</v>
      </c>
      <c r="Y149" s="3242">
        <f t="shared" ca="1" si="11"/>
        <v>321032.64</v>
      </c>
    </row>
    <row r="150" spans="1:25" ht="54">
      <c r="A150" s="3224"/>
      <c r="B150" s="3224"/>
      <c r="C150" s="3224"/>
      <c r="D150" s="3224"/>
      <c r="E150" s="3224"/>
      <c r="F150" s="3224"/>
      <c r="G150" s="3224"/>
      <c r="H150" s="3224"/>
      <c r="I150" s="3173">
        <v>149</v>
      </c>
      <c r="J150" s="3173">
        <v>20240070009</v>
      </c>
      <c r="K150" s="3173"/>
      <c r="L150" s="3173"/>
      <c r="M150" s="3173" t="s">
        <v>4274</v>
      </c>
      <c r="N150" s="3173" t="s">
        <v>4621</v>
      </c>
      <c r="O150" s="3173">
        <v>61.1</v>
      </c>
      <c r="P150" s="3173" t="s">
        <v>672</v>
      </c>
      <c r="Q150" s="3173"/>
      <c r="R150" s="3174">
        <v>45364</v>
      </c>
      <c r="S150" s="3173" t="s">
        <v>4277</v>
      </c>
      <c r="T150" s="3173" t="s">
        <v>4297</v>
      </c>
      <c r="U150" s="3173" t="s">
        <v>4279</v>
      </c>
      <c r="V150" s="3173" t="s">
        <v>4280</v>
      </c>
      <c r="W150" s="3224">
        <v>2</v>
      </c>
      <c r="X150" s="3242">
        <f t="shared" ca="1" si="10"/>
        <v>5536</v>
      </c>
      <c r="Y150" s="3242">
        <f t="shared" ca="1" si="11"/>
        <v>338249.60000000003</v>
      </c>
    </row>
    <row r="151" spans="1:25" ht="54">
      <c r="A151" s="3224"/>
      <c r="B151" s="3224"/>
      <c r="C151" s="3224"/>
      <c r="D151" s="3224"/>
      <c r="E151" s="3224"/>
      <c r="F151" s="3224"/>
      <c r="G151" s="3224"/>
      <c r="H151" s="3224"/>
      <c r="I151" s="3173">
        <v>150</v>
      </c>
      <c r="J151" s="3173">
        <v>20240070009</v>
      </c>
      <c r="K151" s="3173"/>
      <c r="L151" s="3173"/>
      <c r="M151" s="3173" t="s">
        <v>4274</v>
      </c>
      <c r="N151" s="3173" t="s">
        <v>4622</v>
      </c>
      <c r="O151" s="3173">
        <v>43.01</v>
      </c>
      <c r="P151" s="3173" t="s">
        <v>672</v>
      </c>
      <c r="Q151" s="3173"/>
      <c r="R151" s="3174">
        <v>45364</v>
      </c>
      <c r="S151" s="3173" t="s">
        <v>4277</v>
      </c>
      <c r="T151" s="3173" t="s">
        <v>4278</v>
      </c>
      <c r="U151" s="3173" t="s">
        <v>4279</v>
      </c>
      <c r="V151" s="3173" t="s">
        <v>4280</v>
      </c>
      <c r="W151" s="3224">
        <v>2</v>
      </c>
      <c r="X151" s="3242">
        <f t="shared" ca="1" si="10"/>
        <v>5536</v>
      </c>
      <c r="Y151" s="3242">
        <f t="shared" ca="1" si="11"/>
        <v>238103.36</v>
      </c>
    </row>
    <row r="152" spans="1:25" ht="54">
      <c r="A152" s="3224"/>
      <c r="B152" s="3224"/>
      <c r="C152" s="3224"/>
      <c r="D152" s="3224"/>
      <c r="E152" s="3224"/>
      <c r="F152" s="3224"/>
      <c r="G152" s="3224"/>
      <c r="H152" s="3224"/>
      <c r="I152" s="3173">
        <v>151</v>
      </c>
      <c r="J152" s="3173">
        <v>20240070009</v>
      </c>
      <c r="K152" s="3173"/>
      <c r="L152" s="3173"/>
      <c r="M152" s="3173" t="s">
        <v>4274</v>
      </c>
      <c r="N152" s="3173" t="s">
        <v>4623</v>
      </c>
      <c r="O152" s="3173">
        <v>58.77</v>
      </c>
      <c r="P152" s="3173" t="s">
        <v>672</v>
      </c>
      <c r="Q152" s="3173"/>
      <c r="R152" s="3174">
        <v>45364</v>
      </c>
      <c r="S152" s="3173" t="s">
        <v>4277</v>
      </c>
      <c r="T152" s="3173" t="s">
        <v>4278</v>
      </c>
      <c r="U152" s="3173" t="s">
        <v>4279</v>
      </c>
      <c r="V152" s="3173" t="s">
        <v>4280</v>
      </c>
      <c r="W152" s="3224">
        <v>2</v>
      </c>
      <c r="X152" s="3242">
        <f t="shared" ca="1" si="10"/>
        <v>5536</v>
      </c>
      <c r="Y152" s="3242">
        <f t="shared" ca="1" si="11"/>
        <v>325350.72000000003</v>
      </c>
    </row>
    <row r="153" spans="1:25" ht="54">
      <c r="A153" s="3224"/>
      <c r="B153" s="3224"/>
      <c r="C153" s="3224"/>
      <c r="D153" s="3224"/>
      <c r="E153" s="3224"/>
      <c r="F153" s="3224"/>
      <c r="G153" s="3224"/>
      <c r="H153" s="3224"/>
      <c r="I153" s="3173">
        <v>152</v>
      </c>
      <c r="J153" s="3173">
        <v>20240070009</v>
      </c>
      <c r="K153" s="3173"/>
      <c r="L153" s="3173"/>
      <c r="M153" s="3173" t="s">
        <v>4274</v>
      </c>
      <c r="N153" s="3173" t="s">
        <v>4624</v>
      </c>
      <c r="O153" s="3173">
        <v>58.75</v>
      </c>
      <c r="P153" s="3173" t="s">
        <v>672</v>
      </c>
      <c r="Q153" s="3173"/>
      <c r="R153" s="3174">
        <v>45364</v>
      </c>
      <c r="S153" s="3173" t="s">
        <v>4277</v>
      </c>
      <c r="T153" s="3173" t="s">
        <v>4278</v>
      </c>
      <c r="U153" s="3173" t="s">
        <v>4279</v>
      </c>
      <c r="V153" s="3173" t="s">
        <v>4280</v>
      </c>
      <c r="W153" s="3224">
        <v>2</v>
      </c>
      <c r="X153" s="3242">
        <f t="shared" ca="1" si="10"/>
        <v>5536</v>
      </c>
      <c r="Y153" s="3242">
        <f t="shared" ca="1" si="11"/>
        <v>325240</v>
      </c>
    </row>
    <row r="154" spans="1:25" ht="54">
      <c r="A154" s="3224"/>
      <c r="B154" s="3224"/>
      <c r="C154" s="3224"/>
      <c r="D154" s="3224"/>
      <c r="E154" s="3224"/>
      <c r="F154" s="3224"/>
      <c r="G154" s="3224"/>
      <c r="H154" s="3224"/>
      <c r="I154" s="3173">
        <v>153</v>
      </c>
      <c r="J154" s="3173">
        <v>20240070009</v>
      </c>
      <c r="K154" s="3173"/>
      <c r="L154" s="3173"/>
      <c r="M154" s="3173" t="s">
        <v>4274</v>
      </c>
      <c r="N154" s="3173" t="s">
        <v>4625</v>
      </c>
      <c r="O154" s="3173">
        <v>65.81</v>
      </c>
      <c r="P154" s="3173" t="s">
        <v>672</v>
      </c>
      <c r="Q154" s="3173"/>
      <c r="R154" s="3174">
        <v>45364</v>
      </c>
      <c r="S154" s="3173" t="s">
        <v>4277</v>
      </c>
      <c r="T154" s="3173" t="s">
        <v>4278</v>
      </c>
      <c r="U154" s="3173" t="s">
        <v>4279</v>
      </c>
      <c r="V154" s="3173" t="s">
        <v>4280</v>
      </c>
      <c r="W154" s="3224">
        <v>2</v>
      </c>
      <c r="X154" s="3242">
        <f t="shared" ca="1" si="10"/>
        <v>5536</v>
      </c>
      <c r="Y154" s="3242">
        <f t="shared" ca="1" si="11"/>
        <v>364324.16000000003</v>
      </c>
    </row>
    <row r="155" spans="1:25" ht="54">
      <c r="A155" s="3224"/>
      <c r="B155" s="3224"/>
      <c r="C155" s="3224"/>
      <c r="D155" s="3224"/>
      <c r="E155" s="3224"/>
      <c r="F155" s="3224"/>
      <c r="G155" s="3224"/>
      <c r="H155" s="3224"/>
      <c r="I155" s="3173">
        <v>154</v>
      </c>
      <c r="J155" s="3173">
        <v>20240070009</v>
      </c>
      <c r="K155" s="3173"/>
      <c r="L155" s="3173"/>
      <c r="M155" s="3173" t="s">
        <v>4274</v>
      </c>
      <c r="N155" s="3173" t="s">
        <v>4626</v>
      </c>
      <c r="O155" s="3173">
        <v>26.2</v>
      </c>
      <c r="P155" s="3173" t="s">
        <v>672</v>
      </c>
      <c r="Q155" s="3173"/>
      <c r="R155" s="3174">
        <v>45364</v>
      </c>
      <c r="S155" s="3173" t="s">
        <v>4277</v>
      </c>
      <c r="T155" s="3173" t="s">
        <v>4278</v>
      </c>
      <c r="U155" s="3173" t="s">
        <v>4279</v>
      </c>
      <c r="V155" s="3173" t="s">
        <v>4280</v>
      </c>
      <c r="W155" s="3224">
        <v>2</v>
      </c>
      <c r="X155" s="3242">
        <f t="shared" ca="1" si="10"/>
        <v>5536</v>
      </c>
      <c r="Y155" s="3242">
        <f t="shared" ca="1" si="11"/>
        <v>145043.19999999998</v>
      </c>
    </row>
    <row r="156" spans="1:25" ht="54">
      <c r="A156" s="3224"/>
      <c r="B156" s="3224"/>
      <c r="C156" s="3224"/>
      <c r="D156" s="3224"/>
      <c r="E156" s="3224"/>
      <c r="F156" s="3224"/>
      <c r="G156" s="3224"/>
      <c r="H156" s="3224"/>
      <c r="I156" s="3173">
        <v>155</v>
      </c>
      <c r="J156" s="3173">
        <v>20240070009</v>
      </c>
      <c r="K156" s="3173"/>
      <c r="L156" s="3173"/>
      <c r="M156" s="3173" t="s">
        <v>4274</v>
      </c>
      <c r="N156" s="3173" t="s">
        <v>4627</v>
      </c>
      <c r="O156" s="3173">
        <v>26.65</v>
      </c>
      <c r="P156" s="3173" t="s">
        <v>672</v>
      </c>
      <c r="Q156" s="3173"/>
      <c r="R156" s="3174">
        <v>45364</v>
      </c>
      <c r="S156" s="3173" t="s">
        <v>4277</v>
      </c>
      <c r="T156" s="3173" t="s">
        <v>4278</v>
      </c>
      <c r="U156" s="3173" t="s">
        <v>4279</v>
      </c>
      <c r="V156" s="3173" t="s">
        <v>4280</v>
      </c>
      <c r="W156" s="3224">
        <v>2</v>
      </c>
      <c r="X156" s="3242">
        <f t="shared" ca="1" si="10"/>
        <v>5536</v>
      </c>
      <c r="Y156" s="3242">
        <f t="shared" ca="1" si="11"/>
        <v>147534.39999999999</v>
      </c>
    </row>
    <row r="157" spans="1:25" ht="54">
      <c r="A157" s="3224"/>
      <c r="B157" s="3224"/>
      <c r="C157" s="3224"/>
      <c r="D157" s="3224"/>
      <c r="E157" s="3224"/>
      <c r="F157" s="3224"/>
      <c r="G157" s="3224"/>
      <c r="H157" s="3224"/>
      <c r="I157" s="3173">
        <v>156</v>
      </c>
      <c r="J157" s="3173">
        <v>20240070009</v>
      </c>
      <c r="K157" s="3173"/>
      <c r="L157" s="3173"/>
      <c r="M157" s="3173" t="s">
        <v>4274</v>
      </c>
      <c r="N157" s="3173" t="s">
        <v>4628</v>
      </c>
      <c r="O157" s="3173">
        <v>20.96</v>
      </c>
      <c r="P157" s="3173" t="s">
        <v>672</v>
      </c>
      <c r="Q157" s="3173"/>
      <c r="R157" s="3174">
        <v>45364</v>
      </c>
      <c r="S157" s="3173" t="s">
        <v>4277</v>
      </c>
      <c r="T157" s="3173" t="s">
        <v>4278</v>
      </c>
      <c r="U157" s="3173" t="s">
        <v>4279</v>
      </c>
      <c r="V157" s="3173" t="s">
        <v>4280</v>
      </c>
      <c r="W157" s="3224">
        <v>2</v>
      </c>
      <c r="X157" s="3242">
        <f t="shared" ca="1" si="10"/>
        <v>5536</v>
      </c>
      <c r="Y157" s="3242">
        <f t="shared" ca="1" si="11"/>
        <v>116034.56</v>
      </c>
    </row>
    <row r="158" spans="1:25" ht="54">
      <c r="A158" s="3224"/>
      <c r="B158" s="3224"/>
      <c r="C158" s="3224"/>
      <c r="D158" s="3224"/>
      <c r="E158" s="3224"/>
      <c r="F158" s="3224"/>
      <c r="G158" s="3224"/>
      <c r="H158" s="3224"/>
      <c r="I158" s="3173">
        <v>157</v>
      </c>
      <c r="J158" s="3173">
        <v>20240070009</v>
      </c>
      <c r="K158" s="3173"/>
      <c r="L158" s="3173"/>
      <c r="M158" s="3173" t="s">
        <v>4274</v>
      </c>
      <c r="N158" s="3173" t="s">
        <v>4629</v>
      </c>
      <c r="O158" s="3173">
        <v>26.65</v>
      </c>
      <c r="P158" s="3173" t="s">
        <v>672</v>
      </c>
      <c r="Q158" s="3173"/>
      <c r="R158" s="3174">
        <v>45364</v>
      </c>
      <c r="S158" s="3173" t="s">
        <v>4277</v>
      </c>
      <c r="T158" s="3173" t="s">
        <v>4278</v>
      </c>
      <c r="U158" s="3173" t="s">
        <v>4279</v>
      </c>
      <c r="V158" s="3173" t="s">
        <v>4280</v>
      </c>
      <c r="W158" s="3224">
        <v>2</v>
      </c>
      <c r="X158" s="3242">
        <f t="shared" ca="1" si="10"/>
        <v>5536</v>
      </c>
      <c r="Y158" s="3242">
        <f t="shared" ca="1" si="11"/>
        <v>147534.39999999999</v>
      </c>
    </row>
    <row r="159" spans="1:25" ht="54">
      <c r="A159" s="3224"/>
      <c r="B159" s="3224"/>
      <c r="C159" s="3224"/>
      <c r="D159" s="3224"/>
      <c r="E159" s="3224"/>
      <c r="F159" s="3224"/>
      <c r="G159" s="3224"/>
      <c r="H159" s="3224"/>
      <c r="I159" s="3173">
        <v>158</v>
      </c>
      <c r="J159" s="3173">
        <v>20240070009</v>
      </c>
      <c r="K159" s="3173"/>
      <c r="L159" s="3173"/>
      <c r="M159" s="3173" t="s">
        <v>4274</v>
      </c>
      <c r="N159" s="3173" t="s">
        <v>4630</v>
      </c>
      <c r="O159" s="3173">
        <v>53.8</v>
      </c>
      <c r="P159" s="3173" t="s">
        <v>672</v>
      </c>
      <c r="Q159" s="3173"/>
      <c r="R159" s="3174">
        <v>45364</v>
      </c>
      <c r="S159" s="3173" t="s">
        <v>4277</v>
      </c>
      <c r="T159" s="3173" t="s">
        <v>4278</v>
      </c>
      <c r="U159" s="3173" t="s">
        <v>4279</v>
      </c>
      <c r="V159" s="3173" t="s">
        <v>4280</v>
      </c>
      <c r="W159" s="3224">
        <v>2</v>
      </c>
      <c r="X159" s="3242">
        <f t="shared" ca="1" si="10"/>
        <v>5536</v>
      </c>
      <c r="Y159" s="3242">
        <f t="shared" ca="1" si="11"/>
        <v>297836.79999999999</v>
      </c>
    </row>
    <row r="160" spans="1:25" ht="54">
      <c r="A160" s="3224"/>
      <c r="B160" s="3224"/>
      <c r="C160" s="3224"/>
      <c r="D160" s="3224"/>
      <c r="E160" s="3224"/>
      <c r="F160" s="3224"/>
      <c r="G160" s="3224"/>
      <c r="H160" s="3224"/>
      <c r="I160" s="3173">
        <v>159</v>
      </c>
      <c r="J160" s="3173">
        <v>20240070009</v>
      </c>
      <c r="K160" s="3173"/>
      <c r="L160" s="3173"/>
      <c r="M160" s="3173" t="s">
        <v>4274</v>
      </c>
      <c r="N160" s="3173" t="s">
        <v>4631</v>
      </c>
      <c r="O160" s="3173">
        <v>62.12</v>
      </c>
      <c r="P160" s="3173" t="s">
        <v>672</v>
      </c>
      <c r="Q160" s="3173"/>
      <c r="R160" s="3174">
        <v>45364</v>
      </c>
      <c r="S160" s="3173" t="s">
        <v>4277</v>
      </c>
      <c r="T160" s="3173" t="s">
        <v>4278</v>
      </c>
      <c r="U160" s="3173" t="s">
        <v>4279</v>
      </c>
      <c r="V160" s="3173" t="s">
        <v>4280</v>
      </c>
      <c r="W160" s="3224">
        <v>2</v>
      </c>
      <c r="X160" s="3242">
        <f t="shared" ca="1" si="10"/>
        <v>5536</v>
      </c>
      <c r="Y160" s="3242">
        <f t="shared" ca="1" si="11"/>
        <v>343896.32000000001</v>
      </c>
    </row>
    <row r="161" spans="1:29" ht="54">
      <c r="A161" s="3224"/>
      <c r="B161" s="3224"/>
      <c r="C161" s="3224"/>
      <c r="D161" s="3224"/>
      <c r="E161" s="3224"/>
      <c r="F161" s="3224"/>
      <c r="G161" s="3224"/>
      <c r="H161" s="3224"/>
      <c r="I161" s="3173">
        <v>160</v>
      </c>
      <c r="J161" s="3173">
        <v>20240070009</v>
      </c>
      <c r="K161" s="3173"/>
      <c r="L161" s="3173"/>
      <c r="M161" s="3173" t="s">
        <v>4274</v>
      </c>
      <c r="N161" s="3173" t="s">
        <v>4632</v>
      </c>
      <c r="O161" s="3173">
        <v>55.27</v>
      </c>
      <c r="P161" s="3173" t="s">
        <v>672</v>
      </c>
      <c r="Q161" s="3173"/>
      <c r="R161" s="3174">
        <v>45364</v>
      </c>
      <c r="S161" s="3173" t="s">
        <v>4277</v>
      </c>
      <c r="T161" s="3173" t="s">
        <v>4278</v>
      </c>
      <c r="U161" s="3173" t="s">
        <v>4279</v>
      </c>
      <c r="V161" s="3173" t="s">
        <v>4280</v>
      </c>
      <c r="W161" s="3224">
        <v>2</v>
      </c>
      <c r="X161" s="3242">
        <f t="shared" ca="1" si="10"/>
        <v>5536</v>
      </c>
      <c r="Y161" s="3242">
        <f t="shared" ca="1" si="11"/>
        <v>305974.72000000003</v>
      </c>
    </row>
    <row r="162" spans="1:29" ht="54">
      <c r="A162" s="3224"/>
      <c r="B162" s="3224"/>
      <c r="C162" s="3224"/>
      <c r="D162" s="3224"/>
      <c r="E162" s="3224"/>
      <c r="F162" s="3224"/>
      <c r="G162" s="3224"/>
      <c r="H162" s="3224"/>
      <c r="I162" s="3173">
        <v>161</v>
      </c>
      <c r="J162" s="3173">
        <v>20240070009</v>
      </c>
      <c r="K162" s="3173"/>
      <c r="L162" s="3173"/>
      <c r="M162" s="3173" t="s">
        <v>4274</v>
      </c>
      <c r="N162" s="3173" t="s">
        <v>4633</v>
      </c>
      <c r="O162" s="3173">
        <v>52.13</v>
      </c>
      <c r="P162" s="3173" t="s">
        <v>672</v>
      </c>
      <c r="Q162" s="3173"/>
      <c r="R162" s="3174">
        <v>45364</v>
      </c>
      <c r="S162" s="3173" t="s">
        <v>4277</v>
      </c>
      <c r="T162" s="3173" t="s">
        <v>4297</v>
      </c>
      <c r="U162" s="3173" t="s">
        <v>4279</v>
      </c>
      <c r="V162" s="3173" t="s">
        <v>4280</v>
      </c>
      <c r="W162" s="3224">
        <v>2</v>
      </c>
      <c r="X162" s="3242">
        <f t="shared" ca="1" si="10"/>
        <v>5536</v>
      </c>
      <c r="Y162" s="3242">
        <f t="shared" ca="1" si="11"/>
        <v>288591.68</v>
      </c>
    </row>
    <row r="163" spans="1:29" ht="54">
      <c r="A163" s="3224"/>
      <c r="B163" s="3224"/>
      <c r="C163" s="3224"/>
      <c r="D163" s="3224"/>
      <c r="E163" s="3224"/>
      <c r="F163" s="3224"/>
      <c r="G163" s="3224"/>
      <c r="H163" s="3224"/>
      <c r="I163" s="3173">
        <v>162</v>
      </c>
      <c r="J163" s="3173">
        <v>20240070009</v>
      </c>
      <c r="K163" s="3173"/>
      <c r="L163" s="3173"/>
      <c r="M163" s="3173" t="s">
        <v>4274</v>
      </c>
      <c r="N163" s="3173" t="s">
        <v>4634</v>
      </c>
      <c r="O163" s="3173">
        <v>75.459999999999994</v>
      </c>
      <c r="P163" s="3173" t="s">
        <v>672</v>
      </c>
      <c r="Q163" s="3173"/>
      <c r="R163" s="3174">
        <v>45364</v>
      </c>
      <c r="S163" s="3173" t="s">
        <v>4277</v>
      </c>
      <c r="T163" s="3173" t="s">
        <v>4278</v>
      </c>
      <c r="U163" s="3173" t="s">
        <v>4279</v>
      </c>
      <c r="V163" s="3173" t="s">
        <v>4280</v>
      </c>
      <c r="W163" s="3224">
        <v>2</v>
      </c>
      <c r="X163" s="3242">
        <f t="shared" ca="1" si="10"/>
        <v>5536</v>
      </c>
      <c r="Y163" s="3242">
        <f t="shared" ca="1" si="11"/>
        <v>417746.55999999994</v>
      </c>
    </row>
    <row r="164" spans="1:29" ht="54">
      <c r="A164" s="3224"/>
      <c r="B164" s="3224"/>
      <c r="C164" s="3224"/>
      <c r="D164" s="3224"/>
      <c r="E164" s="3224"/>
      <c r="F164" s="3224"/>
      <c r="G164" s="3224"/>
      <c r="H164" s="3224"/>
      <c r="I164" s="3173">
        <v>163</v>
      </c>
      <c r="J164" s="3173">
        <v>20240070009</v>
      </c>
      <c r="K164" s="3173"/>
      <c r="L164" s="3173"/>
      <c r="M164" s="3173" t="s">
        <v>4274</v>
      </c>
      <c r="N164" s="3173" t="s">
        <v>4635</v>
      </c>
      <c r="O164" s="3173">
        <v>59.13</v>
      </c>
      <c r="P164" s="3173" t="s">
        <v>672</v>
      </c>
      <c r="Q164" s="3173"/>
      <c r="R164" s="3174">
        <v>45364</v>
      </c>
      <c r="S164" s="3173" t="s">
        <v>4277</v>
      </c>
      <c r="T164" s="3173" t="s">
        <v>4278</v>
      </c>
      <c r="U164" s="3173" t="s">
        <v>4279</v>
      </c>
      <c r="V164" s="3173" t="s">
        <v>4280</v>
      </c>
      <c r="W164" s="3224">
        <v>2</v>
      </c>
      <c r="X164" s="3242">
        <f t="shared" ca="1" si="10"/>
        <v>5536</v>
      </c>
      <c r="Y164" s="3242">
        <f t="shared" ca="1" si="11"/>
        <v>327343.68</v>
      </c>
    </row>
    <row r="165" spans="1:29" ht="54">
      <c r="A165" s="3224"/>
      <c r="B165" s="3224"/>
      <c r="C165" s="3224"/>
      <c r="D165" s="3224"/>
      <c r="E165" s="3224"/>
      <c r="F165" s="3224"/>
      <c r="G165" s="3224"/>
      <c r="H165" s="3224"/>
      <c r="I165" s="3234">
        <v>164</v>
      </c>
      <c r="J165" s="3234">
        <v>20240070009</v>
      </c>
      <c r="K165" s="3234"/>
      <c r="L165" s="3234"/>
      <c r="M165" s="3234" t="s">
        <v>4274</v>
      </c>
      <c r="N165" s="3234" t="s">
        <v>4636</v>
      </c>
      <c r="O165" s="3234">
        <v>13.22</v>
      </c>
      <c r="P165" s="3234" t="s">
        <v>4637</v>
      </c>
      <c r="Q165" s="3234"/>
      <c r="R165" s="3235">
        <v>45364</v>
      </c>
      <c r="S165" s="3234" t="s">
        <v>4277</v>
      </c>
      <c r="T165" s="3234" t="s">
        <v>4278</v>
      </c>
      <c r="U165" s="3234" t="s">
        <v>4279</v>
      </c>
      <c r="V165" s="3234" t="s">
        <v>4280</v>
      </c>
      <c r="W165" s="3236"/>
      <c r="X165" s="3243">
        <f ca="1">'结果表-仓储'!G20</f>
        <v>2220</v>
      </c>
      <c r="Y165" s="3243">
        <f t="shared" ca="1" si="11"/>
        <v>29348.400000000001</v>
      </c>
    </row>
    <row r="166" spans="1:29" ht="54">
      <c r="A166" s="3224"/>
      <c r="B166" s="3224"/>
      <c r="C166" s="3224"/>
      <c r="D166" s="3224"/>
      <c r="E166" s="3224"/>
      <c r="F166" s="3224"/>
      <c r="G166" s="3224"/>
      <c r="H166" s="3224"/>
      <c r="I166" s="3173">
        <v>165</v>
      </c>
      <c r="J166" s="3173">
        <v>20240070009</v>
      </c>
      <c r="K166" s="3173"/>
      <c r="L166" s="3173"/>
      <c r="M166" s="3173" t="s">
        <v>4274</v>
      </c>
      <c r="N166" s="3173" t="s">
        <v>4638</v>
      </c>
      <c r="O166" s="3173">
        <v>69.16</v>
      </c>
      <c r="P166" s="3173" t="s">
        <v>672</v>
      </c>
      <c r="Q166" s="3173"/>
      <c r="R166" s="3174">
        <v>45364</v>
      </c>
      <c r="S166" s="3173" t="s">
        <v>4279</v>
      </c>
      <c r="T166" s="3173" t="s">
        <v>4297</v>
      </c>
      <c r="U166" s="3173" t="s">
        <v>4279</v>
      </c>
      <c r="V166" s="3173" t="s">
        <v>4280</v>
      </c>
      <c r="W166" s="3224">
        <v>3</v>
      </c>
      <c r="X166" s="3242">
        <f ca="1">X164</f>
        <v>5536</v>
      </c>
      <c r="Y166" s="3242">
        <f t="shared" ca="1" si="11"/>
        <v>382869.76000000001</v>
      </c>
      <c r="AC166"/>
    </row>
    <row r="167" spans="1:29" ht="54">
      <c r="A167" s="3224"/>
      <c r="B167" s="3224"/>
      <c r="C167" s="3224"/>
      <c r="D167" s="3224"/>
      <c r="E167" s="3224"/>
      <c r="F167" s="3224"/>
      <c r="G167" s="3224"/>
      <c r="H167" s="3224"/>
      <c r="I167" s="3173">
        <v>166</v>
      </c>
      <c r="J167" s="3173">
        <v>20240070009</v>
      </c>
      <c r="K167" s="3173"/>
      <c r="L167" s="3173"/>
      <c r="M167" s="3173" t="s">
        <v>4274</v>
      </c>
      <c r="N167" s="3173" t="s">
        <v>4639</v>
      </c>
      <c r="O167" s="3173">
        <v>59.05</v>
      </c>
      <c r="P167" s="3173" t="s">
        <v>672</v>
      </c>
      <c r="Q167" s="3173"/>
      <c r="R167" s="3174">
        <v>45364</v>
      </c>
      <c r="S167" s="3173" t="s">
        <v>4277</v>
      </c>
      <c r="T167" s="3173" t="s">
        <v>4278</v>
      </c>
      <c r="U167" s="3173" t="s">
        <v>4279</v>
      </c>
      <c r="V167" s="3173" t="s">
        <v>4280</v>
      </c>
      <c r="W167" s="3224">
        <v>3</v>
      </c>
      <c r="X167" s="3242">
        <f ca="1">X166</f>
        <v>5536</v>
      </c>
      <c r="Y167" s="3242">
        <f t="shared" ca="1" si="11"/>
        <v>326900.8</v>
      </c>
      <c r="AC167"/>
    </row>
    <row r="168" spans="1:29" ht="54">
      <c r="A168" s="3224"/>
      <c r="B168" s="3224"/>
      <c r="C168" s="3224"/>
      <c r="D168" s="3224"/>
      <c r="E168" s="3224"/>
      <c r="F168" s="3224"/>
      <c r="G168" s="3224"/>
      <c r="H168" s="3224"/>
      <c r="I168" s="3173">
        <v>167</v>
      </c>
      <c r="J168" s="3173">
        <v>20240070009</v>
      </c>
      <c r="K168" s="3173"/>
      <c r="L168" s="3173"/>
      <c r="M168" s="3173" t="s">
        <v>4274</v>
      </c>
      <c r="N168" s="3173" t="s">
        <v>4640</v>
      </c>
      <c r="O168" s="3173">
        <v>62.16</v>
      </c>
      <c r="P168" s="3173" t="s">
        <v>672</v>
      </c>
      <c r="Q168" s="3173"/>
      <c r="R168" s="3174">
        <v>45364</v>
      </c>
      <c r="S168" s="3173" t="s">
        <v>4277</v>
      </c>
      <c r="T168" s="3173" t="s">
        <v>4278</v>
      </c>
      <c r="U168" s="3173" t="s">
        <v>4279</v>
      </c>
      <c r="V168" s="3173" t="s">
        <v>4280</v>
      </c>
      <c r="W168" s="3224">
        <v>3</v>
      </c>
      <c r="X168" s="3242">
        <f t="shared" ref="X168:X181" ca="1" si="12">X166</f>
        <v>5536</v>
      </c>
      <c r="Y168" s="3242">
        <f t="shared" ca="1" si="11"/>
        <v>344117.76000000001</v>
      </c>
      <c r="AC168"/>
    </row>
    <row r="169" spans="1:29" ht="54">
      <c r="A169" s="3224"/>
      <c r="B169" s="3224"/>
      <c r="C169" s="3224"/>
      <c r="D169" s="3224"/>
      <c r="E169" s="3224"/>
      <c r="F169" s="3224"/>
      <c r="G169" s="3224"/>
      <c r="H169" s="3224"/>
      <c r="I169" s="3173">
        <v>168</v>
      </c>
      <c r="J169" s="3173">
        <v>20240070009</v>
      </c>
      <c r="K169" s="3173"/>
      <c r="L169" s="3173"/>
      <c r="M169" s="3173" t="s">
        <v>4274</v>
      </c>
      <c r="N169" s="3173" t="s">
        <v>4641</v>
      </c>
      <c r="O169" s="3173">
        <v>43.01</v>
      </c>
      <c r="P169" s="3173" t="s">
        <v>672</v>
      </c>
      <c r="Q169" s="3173"/>
      <c r="R169" s="3174">
        <v>45364</v>
      </c>
      <c r="S169" s="3173" t="s">
        <v>4277</v>
      </c>
      <c r="T169" s="3173" t="s">
        <v>4297</v>
      </c>
      <c r="U169" s="3173" t="s">
        <v>4279</v>
      </c>
      <c r="V169" s="3173" t="s">
        <v>4280</v>
      </c>
      <c r="W169" s="3224">
        <v>3</v>
      </c>
      <c r="X169" s="3242">
        <f t="shared" ca="1" si="12"/>
        <v>5536</v>
      </c>
      <c r="Y169" s="3242">
        <f t="shared" ca="1" si="11"/>
        <v>238103.36</v>
      </c>
      <c r="AC169"/>
    </row>
    <row r="170" spans="1:29" ht="54">
      <c r="A170" s="3224"/>
      <c r="B170" s="3224"/>
      <c r="C170" s="3224"/>
      <c r="D170" s="3224"/>
      <c r="E170" s="3224"/>
      <c r="F170" s="3224"/>
      <c r="G170" s="3224"/>
      <c r="H170" s="3224"/>
      <c r="I170" s="3173">
        <v>169</v>
      </c>
      <c r="J170" s="3173">
        <v>20240070009</v>
      </c>
      <c r="K170" s="3173"/>
      <c r="L170" s="3173"/>
      <c r="M170" s="3173" t="s">
        <v>4274</v>
      </c>
      <c r="N170" s="3173" t="s">
        <v>4642</v>
      </c>
      <c r="O170" s="3173">
        <v>59.83</v>
      </c>
      <c r="P170" s="3173" t="s">
        <v>672</v>
      </c>
      <c r="Q170" s="3173"/>
      <c r="R170" s="3174">
        <v>45364</v>
      </c>
      <c r="S170" s="3173" t="s">
        <v>4277</v>
      </c>
      <c r="T170" s="3173" t="s">
        <v>4278</v>
      </c>
      <c r="U170" s="3173" t="s">
        <v>4279</v>
      </c>
      <c r="V170" s="3173" t="s">
        <v>4280</v>
      </c>
      <c r="W170" s="3224">
        <v>3</v>
      </c>
      <c r="X170" s="3242">
        <f t="shared" ca="1" si="12"/>
        <v>5536</v>
      </c>
      <c r="Y170" s="3242">
        <f t="shared" ca="1" si="11"/>
        <v>331218.88</v>
      </c>
      <c r="AC170"/>
    </row>
    <row r="171" spans="1:29" ht="54">
      <c r="A171" s="3224"/>
      <c r="B171" s="3224"/>
      <c r="C171" s="3224"/>
      <c r="D171" s="3224"/>
      <c r="E171" s="3224"/>
      <c r="F171" s="3224"/>
      <c r="G171" s="3224"/>
      <c r="H171" s="3224"/>
      <c r="I171" s="3173">
        <v>170</v>
      </c>
      <c r="J171" s="3173">
        <v>20240070009</v>
      </c>
      <c r="K171" s="3173"/>
      <c r="L171" s="3173"/>
      <c r="M171" s="3173" t="s">
        <v>4274</v>
      </c>
      <c r="N171" s="3173" t="s">
        <v>4643</v>
      </c>
      <c r="O171" s="3173">
        <v>59.83</v>
      </c>
      <c r="P171" s="3173" t="s">
        <v>672</v>
      </c>
      <c r="Q171" s="3173"/>
      <c r="R171" s="3174">
        <v>45364</v>
      </c>
      <c r="S171" s="3173" t="s">
        <v>4277</v>
      </c>
      <c r="T171" s="3173" t="s">
        <v>4297</v>
      </c>
      <c r="U171" s="3173" t="s">
        <v>4279</v>
      </c>
      <c r="V171" s="3173" t="s">
        <v>4280</v>
      </c>
      <c r="W171" s="3224">
        <v>3</v>
      </c>
      <c r="X171" s="3242">
        <f t="shared" ca="1" si="12"/>
        <v>5536</v>
      </c>
      <c r="Y171" s="3242">
        <f t="shared" ca="1" si="11"/>
        <v>331218.88</v>
      </c>
      <c r="AC171"/>
    </row>
    <row r="172" spans="1:29" ht="54">
      <c r="A172" s="3224"/>
      <c r="B172" s="3224"/>
      <c r="C172" s="3224"/>
      <c r="D172" s="3224"/>
      <c r="E172" s="3224"/>
      <c r="F172" s="3224"/>
      <c r="G172" s="3224"/>
      <c r="H172" s="3224"/>
      <c r="I172" s="3173">
        <v>171</v>
      </c>
      <c r="J172" s="3173">
        <v>20240070009</v>
      </c>
      <c r="K172" s="3173"/>
      <c r="L172" s="3173"/>
      <c r="M172" s="3173" t="s">
        <v>4274</v>
      </c>
      <c r="N172" s="3173" t="s">
        <v>4645</v>
      </c>
      <c r="O172" s="3173">
        <v>66.89</v>
      </c>
      <c r="P172" s="3173" t="s">
        <v>672</v>
      </c>
      <c r="Q172" s="3173"/>
      <c r="R172" s="3174">
        <v>45364</v>
      </c>
      <c r="S172" s="3173" t="s">
        <v>4277</v>
      </c>
      <c r="T172" s="3173" t="s">
        <v>4278</v>
      </c>
      <c r="U172" s="3173" t="s">
        <v>4279</v>
      </c>
      <c r="V172" s="3173" t="s">
        <v>4280</v>
      </c>
      <c r="W172" s="3224">
        <v>3</v>
      </c>
      <c r="X172" s="3242">
        <f t="shared" ca="1" si="12"/>
        <v>5536</v>
      </c>
      <c r="Y172" s="3242">
        <f t="shared" ca="1" si="11"/>
        <v>370303.04</v>
      </c>
      <c r="AC172"/>
    </row>
    <row r="173" spans="1:29" ht="54">
      <c r="A173" s="3224"/>
      <c r="B173" s="3224"/>
      <c r="C173" s="3224"/>
      <c r="D173" s="3224"/>
      <c r="E173" s="3224"/>
      <c r="F173" s="3224"/>
      <c r="G173" s="3224"/>
      <c r="H173" s="3224"/>
      <c r="I173" s="3173">
        <v>172</v>
      </c>
      <c r="J173" s="3173">
        <v>20240070009</v>
      </c>
      <c r="K173" s="3173"/>
      <c r="L173" s="3173"/>
      <c r="M173" s="3173" t="s">
        <v>4274</v>
      </c>
      <c r="N173" s="3173" t="s">
        <v>4646</v>
      </c>
      <c r="O173" s="3173">
        <v>27.39</v>
      </c>
      <c r="P173" s="3173" t="s">
        <v>672</v>
      </c>
      <c r="Q173" s="3173"/>
      <c r="R173" s="3174">
        <v>45364</v>
      </c>
      <c r="S173" s="3173" t="s">
        <v>4277</v>
      </c>
      <c r="T173" s="3173" t="s">
        <v>4278</v>
      </c>
      <c r="U173" s="3173" t="s">
        <v>4279</v>
      </c>
      <c r="V173" s="3173" t="s">
        <v>4280</v>
      </c>
      <c r="W173" s="3224">
        <v>3</v>
      </c>
      <c r="X173" s="3242">
        <f t="shared" ca="1" si="12"/>
        <v>5536</v>
      </c>
      <c r="Y173" s="3242">
        <f t="shared" ca="1" si="11"/>
        <v>151631.04000000001</v>
      </c>
      <c r="AA173"/>
      <c r="AB173"/>
      <c r="AC173"/>
    </row>
    <row r="174" spans="1:29" ht="54">
      <c r="A174" s="3224"/>
      <c r="B174" s="3224"/>
      <c r="C174" s="3224"/>
      <c r="D174" s="3224"/>
      <c r="E174" s="3224"/>
      <c r="F174" s="3224"/>
      <c r="G174" s="3224"/>
      <c r="H174" s="3224"/>
      <c r="I174" s="3173">
        <v>173</v>
      </c>
      <c r="J174" s="3173">
        <v>20240070009</v>
      </c>
      <c r="K174" s="3173"/>
      <c r="L174" s="3173"/>
      <c r="M174" s="3173" t="s">
        <v>4274</v>
      </c>
      <c r="N174" s="3173" t="s">
        <v>4647</v>
      </c>
      <c r="O174" s="3173">
        <v>21.5</v>
      </c>
      <c r="P174" s="3173" t="s">
        <v>672</v>
      </c>
      <c r="Q174" s="3173"/>
      <c r="R174" s="3174">
        <v>45364</v>
      </c>
      <c r="S174" s="3173" t="s">
        <v>4277</v>
      </c>
      <c r="T174" s="3173" t="s">
        <v>4278</v>
      </c>
      <c r="U174" s="3173" t="s">
        <v>4279</v>
      </c>
      <c r="V174" s="3173" t="s">
        <v>4280</v>
      </c>
      <c r="W174" s="3224">
        <v>3</v>
      </c>
      <c r="X174" s="3242">
        <f t="shared" ca="1" si="12"/>
        <v>5536</v>
      </c>
      <c r="Y174" s="3242">
        <f t="shared" ca="1" si="11"/>
        <v>119024</v>
      </c>
      <c r="AA174"/>
      <c r="AB174"/>
      <c r="AC174"/>
    </row>
    <row r="175" spans="1:29" ht="54">
      <c r="A175" s="3224"/>
      <c r="B175" s="3224"/>
      <c r="C175" s="3224"/>
      <c r="D175" s="3224"/>
      <c r="E175" s="3224"/>
      <c r="F175" s="3224"/>
      <c r="G175" s="3224"/>
      <c r="H175" s="3224"/>
      <c r="I175" s="3173">
        <v>174</v>
      </c>
      <c r="J175" s="3173">
        <v>20240070009</v>
      </c>
      <c r="K175" s="3173"/>
      <c r="L175" s="3173"/>
      <c r="M175" s="3173" t="s">
        <v>4274</v>
      </c>
      <c r="N175" s="3173" t="s">
        <v>4648</v>
      </c>
      <c r="O175" s="3173">
        <v>26.65</v>
      </c>
      <c r="P175" s="3173" t="s">
        <v>672</v>
      </c>
      <c r="Q175" s="3173"/>
      <c r="R175" s="3174">
        <v>45364</v>
      </c>
      <c r="S175" s="3173" t="s">
        <v>4277</v>
      </c>
      <c r="T175" s="3173" t="s">
        <v>4278</v>
      </c>
      <c r="U175" s="3173" t="s">
        <v>4279</v>
      </c>
      <c r="V175" s="3173" t="s">
        <v>4280</v>
      </c>
      <c r="W175" s="3224">
        <v>3</v>
      </c>
      <c r="X175" s="3242">
        <f t="shared" ca="1" si="12"/>
        <v>5536</v>
      </c>
      <c r="Y175" s="3242">
        <f t="shared" ca="1" si="11"/>
        <v>147534.39999999999</v>
      </c>
      <c r="AA175"/>
      <c r="AB175"/>
      <c r="AC175"/>
    </row>
    <row r="176" spans="1:29" ht="54">
      <c r="A176" s="3224"/>
      <c r="B176" s="3224"/>
      <c r="C176" s="3224"/>
      <c r="D176" s="3224"/>
      <c r="E176" s="3224"/>
      <c r="F176" s="3224"/>
      <c r="G176" s="3224"/>
      <c r="H176" s="3224"/>
      <c r="I176" s="3173">
        <v>175</v>
      </c>
      <c r="J176" s="3173">
        <v>20240070009</v>
      </c>
      <c r="K176" s="3173"/>
      <c r="L176" s="3173"/>
      <c r="M176" s="3173" t="s">
        <v>4274</v>
      </c>
      <c r="N176" s="3173" t="s">
        <v>4649</v>
      </c>
      <c r="O176" s="3173">
        <v>30.52</v>
      </c>
      <c r="P176" s="3173" t="s">
        <v>672</v>
      </c>
      <c r="Q176" s="3173"/>
      <c r="R176" s="3174">
        <v>45364</v>
      </c>
      <c r="S176" s="3173" t="s">
        <v>4277</v>
      </c>
      <c r="T176" s="3173" t="s">
        <v>4278</v>
      </c>
      <c r="U176" s="3173" t="s">
        <v>4279</v>
      </c>
      <c r="V176" s="3173" t="s">
        <v>4280</v>
      </c>
      <c r="W176" s="3224">
        <v>3</v>
      </c>
      <c r="X176" s="3242">
        <f t="shared" ca="1" si="12"/>
        <v>5536</v>
      </c>
      <c r="Y176" s="3242">
        <f t="shared" ca="1" si="11"/>
        <v>168958.72</v>
      </c>
      <c r="AA176"/>
      <c r="AB176"/>
      <c r="AC176"/>
    </row>
    <row r="177" spans="1:29" ht="54">
      <c r="A177" s="3224"/>
      <c r="B177" s="3224"/>
      <c r="C177" s="3224"/>
      <c r="D177" s="3224"/>
      <c r="E177" s="3224"/>
      <c r="F177" s="3224"/>
      <c r="G177" s="3224"/>
      <c r="H177" s="3224"/>
      <c r="I177" s="3173">
        <v>176</v>
      </c>
      <c r="J177" s="3173">
        <v>20240070009</v>
      </c>
      <c r="K177" s="3173"/>
      <c r="L177" s="3173"/>
      <c r="M177" s="3173" t="s">
        <v>4274</v>
      </c>
      <c r="N177" s="3173" t="s">
        <v>4650</v>
      </c>
      <c r="O177" s="3173">
        <v>26.65</v>
      </c>
      <c r="P177" s="3173" t="s">
        <v>672</v>
      </c>
      <c r="Q177" s="3173"/>
      <c r="R177" s="3174">
        <v>45364</v>
      </c>
      <c r="S177" s="3173" t="s">
        <v>4277</v>
      </c>
      <c r="T177" s="3173" t="s">
        <v>4278</v>
      </c>
      <c r="U177" s="3173" t="s">
        <v>4279</v>
      </c>
      <c r="V177" s="3173" t="s">
        <v>4280</v>
      </c>
      <c r="W177" s="3224">
        <v>3</v>
      </c>
      <c r="X177" s="3242">
        <f t="shared" ca="1" si="12"/>
        <v>5536</v>
      </c>
      <c r="Y177" s="3242">
        <f t="shared" ca="1" si="11"/>
        <v>147534.39999999999</v>
      </c>
      <c r="AA177"/>
      <c r="AB177"/>
      <c r="AC177"/>
    </row>
    <row r="178" spans="1:29" ht="54">
      <c r="A178" s="3224"/>
      <c r="B178" s="3224"/>
      <c r="C178" s="3224"/>
      <c r="D178" s="3224"/>
      <c r="E178" s="3224"/>
      <c r="F178" s="3224"/>
      <c r="G178" s="3224"/>
      <c r="H178" s="3224"/>
      <c r="I178" s="3173">
        <v>177</v>
      </c>
      <c r="J178" s="3173">
        <v>20240070009</v>
      </c>
      <c r="K178" s="3173"/>
      <c r="L178" s="3173"/>
      <c r="M178" s="3173" t="s">
        <v>4274</v>
      </c>
      <c r="N178" s="3173" t="s">
        <v>4651</v>
      </c>
      <c r="O178" s="3173">
        <v>56.18</v>
      </c>
      <c r="P178" s="3173" t="s">
        <v>672</v>
      </c>
      <c r="Q178" s="3173"/>
      <c r="R178" s="3174">
        <v>45364</v>
      </c>
      <c r="S178" s="3173" t="s">
        <v>4277</v>
      </c>
      <c r="T178" s="3173" t="s">
        <v>4278</v>
      </c>
      <c r="U178" s="3173" t="s">
        <v>4279</v>
      </c>
      <c r="V178" s="3173" t="s">
        <v>4280</v>
      </c>
      <c r="W178" s="3224">
        <v>3</v>
      </c>
      <c r="X178" s="3242">
        <f t="shared" ca="1" si="12"/>
        <v>5536</v>
      </c>
      <c r="Y178" s="3242">
        <f t="shared" ca="1" si="11"/>
        <v>311012.47999999998</v>
      </c>
      <c r="AA178"/>
      <c r="AB178"/>
      <c r="AC178"/>
    </row>
    <row r="179" spans="1:29" ht="54">
      <c r="A179" s="3224"/>
      <c r="B179" s="3224"/>
      <c r="C179" s="3224"/>
      <c r="D179" s="3224"/>
      <c r="E179" s="3224"/>
      <c r="F179" s="3224"/>
      <c r="G179" s="3224"/>
      <c r="H179" s="3224"/>
      <c r="I179" s="3173">
        <v>178</v>
      </c>
      <c r="J179" s="3173">
        <v>20240070009</v>
      </c>
      <c r="K179" s="3173"/>
      <c r="L179" s="3173"/>
      <c r="M179" s="3173" t="s">
        <v>4274</v>
      </c>
      <c r="N179" s="3173" t="s">
        <v>4652</v>
      </c>
      <c r="O179" s="3173">
        <v>53.03</v>
      </c>
      <c r="P179" s="3173" t="s">
        <v>672</v>
      </c>
      <c r="Q179" s="3173"/>
      <c r="R179" s="3174">
        <v>45364</v>
      </c>
      <c r="S179" s="3173" t="s">
        <v>4279</v>
      </c>
      <c r="T179" s="3173" t="s">
        <v>4278</v>
      </c>
      <c r="U179" s="3173" t="s">
        <v>4279</v>
      </c>
      <c r="V179" s="3173" t="s">
        <v>4280</v>
      </c>
      <c r="W179" s="3224">
        <v>3</v>
      </c>
      <c r="X179" s="3242">
        <f t="shared" ca="1" si="12"/>
        <v>5536</v>
      </c>
      <c r="Y179" s="3242">
        <f t="shared" ca="1" si="11"/>
        <v>293574.08</v>
      </c>
      <c r="AA179"/>
      <c r="AB179"/>
      <c r="AC179"/>
    </row>
    <row r="180" spans="1:29" ht="54">
      <c r="A180" s="3224"/>
      <c r="B180" s="3224"/>
      <c r="C180" s="3224"/>
      <c r="D180" s="3224"/>
      <c r="E180" s="3224"/>
      <c r="F180" s="3224"/>
      <c r="G180" s="3224"/>
      <c r="H180" s="3224"/>
      <c r="I180" s="3173">
        <v>179</v>
      </c>
      <c r="J180" s="3173">
        <v>20240070009</v>
      </c>
      <c r="K180" s="3173"/>
      <c r="L180" s="3173"/>
      <c r="M180" s="3173" t="s">
        <v>4274</v>
      </c>
      <c r="N180" s="3173" t="s">
        <v>4653</v>
      </c>
      <c r="O180" s="3173">
        <v>74.010000000000005</v>
      </c>
      <c r="P180" s="3173" t="s">
        <v>672</v>
      </c>
      <c r="Q180" s="3173"/>
      <c r="R180" s="3174">
        <v>45364</v>
      </c>
      <c r="S180" s="3173" t="s">
        <v>4277</v>
      </c>
      <c r="T180" s="3173" t="s">
        <v>4278</v>
      </c>
      <c r="U180" s="3173" t="s">
        <v>4279</v>
      </c>
      <c r="V180" s="3173" t="s">
        <v>4280</v>
      </c>
      <c r="W180" s="3224">
        <v>3</v>
      </c>
      <c r="X180" s="3242">
        <f t="shared" ca="1" si="12"/>
        <v>5536</v>
      </c>
      <c r="Y180" s="3242">
        <f t="shared" ca="1" si="11"/>
        <v>409719.36000000004</v>
      </c>
      <c r="AA180"/>
      <c r="AB180"/>
      <c r="AC180"/>
    </row>
    <row r="181" spans="1:29" ht="54">
      <c r="A181" s="3224"/>
      <c r="B181" s="3224"/>
      <c r="C181" s="3224"/>
      <c r="D181" s="3224"/>
      <c r="E181" s="3224"/>
      <c r="F181" s="3224"/>
      <c r="G181" s="3224"/>
      <c r="H181" s="3224"/>
      <c r="I181" s="3173">
        <v>180</v>
      </c>
      <c r="J181" s="3173">
        <v>20240070009</v>
      </c>
      <c r="K181" s="3173"/>
      <c r="L181" s="3173"/>
      <c r="M181" s="3173" t="s">
        <v>4274</v>
      </c>
      <c r="N181" s="3173" t="s">
        <v>4654</v>
      </c>
      <c r="O181" s="3173">
        <v>57.92</v>
      </c>
      <c r="P181" s="3173" t="s">
        <v>672</v>
      </c>
      <c r="Q181" s="3173"/>
      <c r="R181" s="3174">
        <v>45364</v>
      </c>
      <c r="S181" s="3173" t="s">
        <v>4277</v>
      </c>
      <c r="T181" s="3173" t="s">
        <v>4278</v>
      </c>
      <c r="U181" s="3173" t="s">
        <v>4279</v>
      </c>
      <c r="V181" s="3173" t="s">
        <v>4280</v>
      </c>
      <c r="W181" s="3224">
        <v>3</v>
      </c>
      <c r="X181" s="3242">
        <f t="shared" ca="1" si="12"/>
        <v>5536</v>
      </c>
      <c r="Y181" s="3242">
        <f t="shared" ca="1" si="11"/>
        <v>320645.12</v>
      </c>
      <c r="AA181"/>
      <c r="AB181"/>
      <c r="AC181"/>
    </row>
    <row r="182" spans="1:29" ht="54">
      <c r="A182" s="3224"/>
      <c r="B182" s="3224"/>
      <c r="C182" s="3224"/>
      <c r="D182" s="3224"/>
      <c r="E182" s="3224"/>
      <c r="F182" s="3224"/>
      <c r="G182" s="3224"/>
      <c r="H182" s="3224"/>
      <c r="I182" s="3234">
        <v>181</v>
      </c>
      <c r="J182" s="3234">
        <v>20240070009</v>
      </c>
      <c r="K182" s="3234"/>
      <c r="L182" s="3234"/>
      <c r="M182" s="3234" t="s">
        <v>4274</v>
      </c>
      <c r="N182" s="3234" t="s">
        <v>4655</v>
      </c>
      <c r="O182" s="3234">
        <v>13.22</v>
      </c>
      <c r="P182" s="3234" t="s">
        <v>4637</v>
      </c>
      <c r="Q182" s="3234"/>
      <c r="R182" s="3235">
        <v>45364</v>
      </c>
      <c r="S182" s="3234" t="s">
        <v>4277</v>
      </c>
      <c r="T182" s="3234" t="s">
        <v>4278</v>
      </c>
      <c r="U182" s="3234" t="s">
        <v>4279</v>
      </c>
      <c r="V182" s="3234" t="s">
        <v>4280</v>
      </c>
      <c r="W182" s="3236"/>
      <c r="X182" s="3243">
        <f ca="1">'结果表-仓储'!G20</f>
        <v>2220</v>
      </c>
      <c r="Y182" s="3243">
        <f t="shared" ca="1" si="11"/>
        <v>29348.400000000001</v>
      </c>
      <c r="AA182"/>
      <c r="AB182"/>
      <c r="AC182"/>
    </row>
    <row r="183" spans="1:29" ht="54">
      <c r="A183" s="3224"/>
      <c r="B183" s="3224"/>
      <c r="C183" s="3224"/>
      <c r="D183" s="3224"/>
      <c r="E183" s="3224"/>
      <c r="F183" s="3224"/>
      <c r="G183" s="3224"/>
      <c r="H183" s="3224"/>
      <c r="I183" s="3173">
        <v>182</v>
      </c>
      <c r="J183" s="3173">
        <v>20240070009</v>
      </c>
      <c r="K183" s="3173"/>
      <c r="L183" s="3173"/>
      <c r="M183" s="3173" t="s">
        <v>4274</v>
      </c>
      <c r="N183" s="3173" t="s">
        <v>4656</v>
      </c>
      <c r="O183" s="3173">
        <v>69.16</v>
      </c>
      <c r="P183" s="3173" t="s">
        <v>672</v>
      </c>
      <c r="Q183" s="3173"/>
      <c r="R183" s="3174">
        <v>45364</v>
      </c>
      <c r="S183" s="3173" t="s">
        <v>4277</v>
      </c>
      <c r="T183" s="3173" t="s">
        <v>4278</v>
      </c>
      <c r="U183" s="3173" t="s">
        <v>4279</v>
      </c>
      <c r="V183" s="3173" t="s">
        <v>4280</v>
      </c>
      <c r="W183" s="3224">
        <v>4</v>
      </c>
      <c r="X183" s="3242">
        <f t="shared" ref="X183:X200" ca="1" si="13">ROUND($X$103*0.5,0)</f>
        <v>5536</v>
      </c>
      <c r="Y183" s="3242">
        <f t="shared" ca="1" si="11"/>
        <v>382869.76000000001</v>
      </c>
      <c r="AA183"/>
      <c r="AB183"/>
      <c r="AC183"/>
    </row>
    <row r="184" spans="1:29" ht="54">
      <c r="A184" s="3224"/>
      <c r="B184" s="3224"/>
      <c r="C184" s="3224"/>
      <c r="D184" s="3224"/>
      <c r="E184" s="3224"/>
      <c r="F184" s="3224"/>
      <c r="G184" s="3224"/>
      <c r="H184" s="3224"/>
      <c r="I184" s="3173">
        <v>183</v>
      </c>
      <c r="J184" s="3173">
        <v>20240070009</v>
      </c>
      <c r="K184" s="3173"/>
      <c r="L184" s="3173"/>
      <c r="M184" s="3173" t="s">
        <v>4274</v>
      </c>
      <c r="N184" s="3173" t="s">
        <v>4657</v>
      </c>
      <c r="O184" s="3173">
        <v>79.47</v>
      </c>
      <c r="P184" s="3173" t="s">
        <v>672</v>
      </c>
      <c r="Q184" s="3173"/>
      <c r="R184" s="3174">
        <v>45364</v>
      </c>
      <c r="S184" s="3173" t="s">
        <v>4277</v>
      </c>
      <c r="T184" s="3173" t="s">
        <v>4278</v>
      </c>
      <c r="U184" s="3173" t="s">
        <v>4279</v>
      </c>
      <c r="V184" s="3173" t="s">
        <v>4280</v>
      </c>
      <c r="W184" s="3224">
        <v>4</v>
      </c>
      <c r="X184" s="3242">
        <f t="shared" ca="1" si="13"/>
        <v>5536</v>
      </c>
      <c r="Y184" s="3242">
        <f t="shared" ca="1" si="11"/>
        <v>439945.92</v>
      </c>
    </row>
    <row r="185" spans="1:29" ht="54">
      <c r="A185" s="3224"/>
      <c r="B185" s="3224"/>
      <c r="C185" s="3224"/>
      <c r="D185" s="3224"/>
      <c r="E185" s="3224"/>
      <c r="F185" s="3224"/>
      <c r="G185" s="3224"/>
      <c r="H185" s="3224"/>
      <c r="I185" s="3173">
        <v>184</v>
      </c>
      <c r="J185" s="3173">
        <v>20240070009</v>
      </c>
      <c r="K185" s="3173"/>
      <c r="L185" s="3173"/>
      <c r="M185" s="3173" t="s">
        <v>4274</v>
      </c>
      <c r="N185" s="3173" t="s">
        <v>4658</v>
      </c>
      <c r="O185" s="3173">
        <v>59.05</v>
      </c>
      <c r="P185" s="3173" t="s">
        <v>672</v>
      </c>
      <c r="Q185" s="3173"/>
      <c r="R185" s="3174">
        <v>45364</v>
      </c>
      <c r="S185" s="3173" t="s">
        <v>4277</v>
      </c>
      <c r="T185" s="3173" t="s">
        <v>4278</v>
      </c>
      <c r="U185" s="3173" t="s">
        <v>4279</v>
      </c>
      <c r="V185" s="3173" t="s">
        <v>4280</v>
      </c>
      <c r="W185" s="3224">
        <v>4</v>
      </c>
      <c r="X185" s="3242">
        <f t="shared" ca="1" si="13"/>
        <v>5536</v>
      </c>
      <c r="Y185" s="3242">
        <f t="shared" ca="1" si="11"/>
        <v>326900.8</v>
      </c>
    </row>
    <row r="186" spans="1:29" ht="54">
      <c r="A186" s="3224"/>
      <c r="B186" s="3224"/>
      <c r="C186" s="3224"/>
      <c r="D186" s="3224"/>
      <c r="E186" s="3224"/>
      <c r="F186" s="3224"/>
      <c r="G186" s="3224"/>
      <c r="H186" s="3224"/>
      <c r="I186" s="3173">
        <v>185</v>
      </c>
      <c r="J186" s="3173">
        <v>20240070009</v>
      </c>
      <c r="K186" s="3173"/>
      <c r="L186" s="3173"/>
      <c r="M186" s="3173" t="s">
        <v>4274</v>
      </c>
      <c r="N186" s="3173" t="s">
        <v>4659</v>
      </c>
      <c r="O186" s="3173">
        <v>62.16</v>
      </c>
      <c r="P186" s="3173" t="s">
        <v>672</v>
      </c>
      <c r="Q186" s="3173"/>
      <c r="R186" s="3174">
        <v>45364</v>
      </c>
      <c r="S186" s="3173" t="s">
        <v>4277</v>
      </c>
      <c r="T186" s="3173" t="s">
        <v>4278</v>
      </c>
      <c r="U186" s="3173" t="s">
        <v>4279</v>
      </c>
      <c r="V186" s="3173" t="s">
        <v>4280</v>
      </c>
      <c r="W186" s="3224">
        <v>4</v>
      </c>
      <c r="X186" s="3242">
        <f t="shared" ca="1" si="13"/>
        <v>5536</v>
      </c>
      <c r="Y186" s="3242">
        <f t="shared" ca="1" si="11"/>
        <v>344117.76000000001</v>
      </c>
    </row>
    <row r="187" spans="1:29" ht="54">
      <c r="A187" s="3224"/>
      <c r="B187" s="3224"/>
      <c r="C187" s="3224"/>
      <c r="D187" s="3224"/>
      <c r="E187" s="3224"/>
      <c r="F187" s="3224"/>
      <c r="G187" s="3224"/>
      <c r="H187" s="3224"/>
      <c r="I187" s="3173">
        <v>186</v>
      </c>
      <c r="J187" s="3173">
        <v>20240070009</v>
      </c>
      <c r="K187" s="3173"/>
      <c r="L187" s="3173"/>
      <c r="M187" s="3173" t="s">
        <v>4274</v>
      </c>
      <c r="N187" s="3173" t="s">
        <v>4660</v>
      </c>
      <c r="O187" s="3173">
        <v>43.01</v>
      </c>
      <c r="P187" s="3173" t="s">
        <v>672</v>
      </c>
      <c r="Q187" s="3173"/>
      <c r="R187" s="3174">
        <v>45364</v>
      </c>
      <c r="S187" s="3173" t="s">
        <v>4277</v>
      </c>
      <c r="T187" s="3173" t="s">
        <v>4278</v>
      </c>
      <c r="U187" s="3173" t="s">
        <v>4279</v>
      </c>
      <c r="V187" s="3173" t="s">
        <v>4280</v>
      </c>
      <c r="W187" s="3224">
        <v>4</v>
      </c>
      <c r="X187" s="3242">
        <f t="shared" ca="1" si="13"/>
        <v>5536</v>
      </c>
      <c r="Y187" s="3242">
        <f t="shared" ca="1" si="11"/>
        <v>238103.36</v>
      </c>
    </row>
    <row r="188" spans="1:29" ht="54">
      <c r="A188" s="3224"/>
      <c r="B188" s="3224"/>
      <c r="C188" s="3224"/>
      <c r="D188" s="3224"/>
      <c r="E188" s="3224"/>
      <c r="F188" s="3224"/>
      <c r="G188" s="3224"/>
      <c r="H188" s="3224"/>
      <c r="I188" s="3173">
        <v>187</v>
      </c>
      <c r="J188" s="3173">
        <v>20240070009</v>
      </c>
      <c r="K188" s="3173"/>
      <c r="L188" s="3173"/>
      <c r="M188" s="3173" t="s">
        <v>4274</v>
      </c>
      <c r="N188" s="3173" t="s">
        <v>4661</v>
      </c>
      <c r="O188" s="3173">
        <v>59.83</v>
      </c>
      <c r="P188" s="3173" t="s">
        <v>672</v>
      </c>
      <c r="Q188" s="3173"/>
      <c r="R188" s="3174">
        <v>45364</v>
      </c>
      <c r="S188" s="3173" t="s">
        <v>4277</v>
      </c>
      <c r="T188" s="3173" t="s">
        <v>4278</v>
      </c>
      <c r="U188" s="3173" t="s">
        <v>4279</v>
      </c>
      <c r="V188" s="3173" t="s">
        <v>4280</v>
      </c>
      <c r="W188" s="3224">
        <v>4</v>
      </c>
      <c r="X188" s="3242">
        <f t="shared" ca="1" si="13"/>
        <v>5536</v>
      </c>
      <c r="Y188" s="3242">
        <f t="shared" ca="1" si="11"/>
        <v>331218.88</v>
      </c>
    </row>
    <row r="189" spans="1:29" ht="54">
      <c r="A189" s="3224"/>
      <c r="B189" s="3224"/>
      <c r="C189" s="3224"/>
      <c r="D189" s="3224"/>
      <c r="E189" s="3224"/>
      <c r="F189" s="3224"/>
      <c r="G189" s="3224"/>
      <c r="H189" s="3224"/>
      <c r="I189" s="3173">
        <v>188</v>
      </c>
      <c r="J189" s="3173">
        <v>20240070009</v>
      </c>
      <c r="K189" s="3173"/>
      <c r="L189" s="3173"/>
      <c r="M189" s="3173" t="s">
        <v>4274</v>
      </c>
      <c r="N189" s="3173" t="s">
        <v>4662</v>
      </c>
      <c r="O189" s="3173">
        <v>59.83</v>
      </c>
      <c r="P189" s="3173" t="s">
        <v>672</v>
      </c>
      <c r="Q189" s="3173"/>
      <c r="R189" s="3174">
        <v>45364</v>
      </c>
      <c r="S189" s="3173" t="s">
        <v>4277</v>
      </c>
      <c r="T189" s="3173" t="s">
        <v>4278</v>
      </c>
      <c r="U189" s="3173" t="s">
        <v>4279</v>
      </c>
      <c r="V189" s="3173" t="s">
        <v>4280</v>
      </c>
      <c r="W189" s="3224">
        <v>4</v>
      </c>
      <c r="X189" s="3242">
        <f t="shared" ca="1" si="13"/>
        <v>5536</v>
      </c>
      <c r="Y189" s="3242">
        <f t="shared" ca="1" si="11"/>
        <v>331218.88</v>
      </c>
    </row>
    <row r="190" spans="1:29" ht="54">
      <c r="A190" s="3224"/>
      <c r="B190" s="3224"/>
      <c r="C190" s="3224"/>
      <c r="D190" s="3224"/>
      <c r="E190" s="3224"/>
      <c r="F190" s="3224"/>
      <c r="G190" s="3224"/>
      <c r="H190" s="3224"/>
      <c r="I190" s="3173">
        <v>189</v>
      </c>
      <c r="J190" s="3173">
        <v>20240070009</v>
      </c>
      <c r="K190" s="3173"/>
      <c r="L190" s="3173"/>
      <c r="M190" s="3173" t="s">
        <v>4274</v>
      </c>
      <c r="N190" s="3173" t="s">
        <v>4663</v>
      </c>
      <c r="O190" s="3173">
        <v>66.89</v>
      </c>
      <c r="P190" s="3173" t="s">
        <v>672</v>
      </c>
      <c r="Q190" s="3173"/>
      <c r="R190" s="3174">
        <v>45364</v>
      </c>
      <c r="S190" s="3173" t="s">
        <v>4277</v>
      </c>
      <c r="T190" s="3173" t="s">
        <v>4297</v>
      </c>
      <c r="U190" s="3173" t="s">
        <v>4279</v>
      </c>
      <c r="V190" s="3173" t="s">
        <v>4280</v>
      </c>
      <c r="W190" s="3224">
        <v>4</v>
      </c>
      <c r="X190" s="3242">
        <f t="shared" ca="1" si="13"/>
        <v>5536</v>
      </c>
      <c r="Y190" s="3242">
        <f t="shared" ca="1" si="11"/>
        <v>370303.04</v>
      </c>
    </row>
    <row r="191" spans="1:29" ht="54">
      <c r="A191" s="3224"/>
      <c r="B191" s="3224"/>
      <c r="C191" s="3224"/>
      <c r="D191" s="3224"/>
      <c r="E191" s="3224"/>
      <c r="F191" s="3224"/>
      <c r="G191" s="3224"/>
      <c r="H191" s="3224"/>
      <c r="I191" s="3173">
        <v>190</v>
      </c>
      <c r="J191" s="3173">
        <v>20240070009</v>
      </c>
      <c r="K191" s="3173"/>
      <c r="L191" s="3173"/>
      <c r="M191" s="3173" t="s">
        <v>4274</v>
      </c>
      <c r="N191" s="3173" t="s">
        <v>4664</v>
      </c>
      <c r="O191" s="3173">
        <v>21.5</v>
      </c>
      <c r="P191" s="3173" t="s">
        <v>672</v>
      </c>
      <c r="Q191" s="3173"/>
      <c r="R191" s="3174">
        <v>45364</v>
      </c>
      <c r="S191" s="3173" t="s">
        <v>4277</v>
      </c>
      <c r="T191" s="3173" t="s">
        <v>4297</v>
      </c>
      <c r="U191" s="3173" t="s">
        <v>4279</v>
      </c>
      <c r="V191" s="3173" t="s">
        <v>4280</v>
      </c>
      <c r="W191" s="3224">
        <v>4</v>
      </c>
      <c r="X191" s="3242">
        <f t="shared" ca="1" si="13"/>
        <v>5536</v>
      </c>
      <c r="Y191" s="3242">
        <f t="shared" ca="1" si="11"/>
        <v>119024</v>
      </c>
    </row>
    <row r="192" spans="1:29" ht="54">
      <c r="A192" s="3224"/>
      <c r="B192" s="3224"/>
      <c r="C192" s="3224"/>
      <c r="D192" s="3224"/>
      <c r="E192" s="3224"/>
      <c r="F192" s="3224"/>
      <c r="G192" s="3224"/>
      <c r="H192" s="3224"/>
      <c r="I192" s="3173">
        <v>191</v>
      </c>
      <c r="J192" s="3173">
        <v>20240070009</v>
      </c>
      <c r="K192" s="3173"/>
      <c r="L192" s="3173"/>
      <c r="M192" s="3173" t="s">
        <v>4274</v>
      </c>
      <c r="N192" s="3173" t="s">
        <v>4665</v>
      </c>
      <c r="O192" s="3173">
        <v>26.65</v>
      </c>
      <c r="P192" s="3173" t="s">
        <v>672</v>
      </c>
      <c r="Q192" s="3173"/>
      <c r="R192" s="3174">
        <v>45364</v>
      </c>
      <c r="S192" s="3173" t="s">
        <v>4277</v>
      </c>
      <c r="T192" s="3173" t="s">
        <v>4297</v>
      </c>
      <c r="U192" s="3173" t="s">
        <v>4279</v>
      </c>
      <c r="V192" s="3173" t="s">
        <v>4280</v>
      </c>
      <c r="W192" s="3224">
        <v>4</v>
      </c>
      <c r="X192" s="3242">
        <f t="shared" ca="1" si="13"/>
        <v>5536</v>
      </c>
      <c r="Y192" s="3242">
        <f t="shared" ca="1" si="11"/>
        <v>147534.39999999999</v>
      </c>
    </row>
    <row r="193" spans="1:25" ht="54">
      <c r="A193" s="3224"/>
      <c r="B193" s="3224"/>
      <c r="C193" s="3224"/>
      <c r="D193" s="3224"/>
      <c r="E193" s="3224"/>
      <c r="F193" s="3224"/>
      <c r="G193" s="3224"/>
      <c r="H193" s="3224"/>
      <c r="I193" s="3173">
        <v>192</v>
      </c>
      <c r="J193" s="3173">
        <v>20240070009</v>
      </c>
      <c r="K193" s="3173"/>
      <c r="L193" s="3173"/>
      <c r="M193" s="3173" t="s">
        <v>4274</v>
      </c>
      <c r="N193" s="3173" t="s">
        <v>4666</v>
      </c>
      <c r="O193" s="3173">
        <v>32.049999999999997</v>
      </c>
      <c r="P193" s="3173" t="s">
        <v>672</v>
      </c>
      <c r="Q193" s="3173"/>
      <c r="R193" s="3174">
        <v>45364</v>
      </c>
      <c r="S193" s="3173" t="s">
        <v>4277</v>
      </c>
      <c r="T193" s="3173" t="s">
        <v>4297</v>
      </c>
      <c r="U193" s="3173" t="s">
        <v>4279</v>
      </c>
      <c r="V193" s="3173" t="s">
        <v>4280</v>
      </c>
      <c r="W193" s="3224">
        <v>4</v>
      </c>
      <c r="X193" s="3242">
        <f t="shared" ca="1" si="13"/>
        <v>5536</v>
      </c>
      <c r="Y193" s="3242">
        <f t="shared" ca="1" si="11"/>
        <v>177428.8</v>
      </c>
    </row>
    <row r="194" spans="1:25" ht="54">
      <c r="A194" s="3224"/>
      <c r="B194" s="3224"/>
      <c r="C194" s="3224"/>
      <c r="D194" s="3224"/>
      <c r="E194" s="3224"/>
      <c r="F194" s="3224"/>
      <c r="G194" s="3224"/>
      <c r="H194" s="3224"/>
      <c r="I194" s="3173">
        <v>193</v>
      </c>
      <c r="J194" s="3173">
        <v>20240070009</v>
      </c>
      <c r="K194" s="3173"/>
      <c r="L194" s="3173"/>
      <c r="M194" s="3173" t="s">
        <v>4274</v>
      </c>
      <c r="N194" s="3173" t="s">
        <v>4667</v>
      </c>
      <c r="O194" s="3173">
        <v>21.5</v>
      </c>
      <c r="P194" s="3173" t="s">
        <v>672</v>
      </c>
      <c r="Q194" s="3173"/>
      <c r="R194" s="3174">
        <v>45364</v>
      </c>
      <c r="S194" s="3173" t="s">
        <v>4277</v>
      </c>
      <c r="T194" s="3173" t="s">
        <v>4297</v>
      </c>
      <c r="U194" s="3173" t="s">
        <v>4279</v>
      </c>
      <c r="V194" s="3173" t="s">
        <v>4280</v>
      </c>
      <c r="W194" s="3224">
        <v>4</v>
      </c>
      <c r="X194" s="3242">
        <f t="shared" ca="1" si="13"/>
        <v>5536</v>
      </c>
      <c r="Y194" s="3242">
        <f t="shared" ca="1" si="11"/>
        <v>119024</v>
      </c>
    </row>
    <row r="195" spans="1:25" ht="54">
      <c r="A195" s="3224"/>
      <c r="B195" s="3224"/>
      <c r="C195" s="3224"/>
      <c r="D195" s="3224"/>
      <c r="E195" s="3224"/>
      <c r="F195" s="3224"/>
      <c r="G195" s="3224"/>
      <c r="H195" s="3224"/>
      <c r="I195" s="3173">
        <v>194</v>
      </c>
      <c r="J195" s="3173">
        <v>20240070009</v>
      </c>
      <c r="K195" s="3173"/>
      <c r="L195" s="3173"/>
      <c r="M195" s="3173" t="s">
        <v>4274</v>
      </c>
      <c r="N195" s="3173" t="s">
        <v>4668</v>
      </c>
      <c r="O195" s="3173">
        <v>56.19</v>
      </c>
      <c r="P195" s="3173" t="s">
        <v>672</v>
      </c>
      <c r="Q195" s="3173"/>
      <c r="R195" s="3174">
        <v>45364</v>
      </c>
      <c r="S195" s="3173" t="s">
        <v>4277</v>
      </c>
      <c r="T195" s="3173" t="s">
        <v>4644</v>
      </c>
      <c r="U195" s="3173" t="s">
        <v>4279</v>
      </c>
      <c r="V195" s="3173" t="s">
        <v>4280</v>
      </c>
      <c r="W195" s="3224">
        <v>4</v>
      </c>
      <c r="X195" s="3242">
        <f t="shared" ca="1" si="13"/>
        <v>5536</v>
      </c>
      <c r="Y195" s="3242">
        <f t="shared" ref="Y195:Y200" ca="1" si="14">X195*O195</f>
        <v>311067.83999999997</v>
      </c>
    </row>
    <row r="196" spans="1:25" ht="54">
      <c r="A196" s="3224"/>
      <c r="B196" s="3224"/>
      <c r="C196" s="3224"/>
      <c r="D196" s="3224"/>
      <c r="E196" s="3224"/>
      <c r="F196" s="3224"/>
      <c r="G196" s="3224"/>
      <c r="H196" s="3224"/>
      <c r="I196" s="3173">
        <v>195</v>
      </c>
      <c r="J196" s="3173">
        <v>20240070009</v>
      </c>
      <c r="K196" s="3173"/>
      <c r="L196" s="3173"/>
      <c r="M196" s="3173" t="s">
        <v>4274</v>
      </c>
      <c r="N196" s="3173" t="s">
        <v>4669</v>
      </c>
      <c r="O196" s="3173">
        <v>63.02</v>
      </c>
      <c r="P196" s="3173" t="s">
        <v>672</v>
      </c>
      <c r="Q196" s="3173"/>
      <c r="R196" s="3174">
        <v>45364</v>
      </c>
      <c r="S196" s="3173" t="s">
        <v>4277</v>
      </c>
      <c r="T196" s="3173" t="s">
        <v>4644</v>
      </c>
      <c r="U196" s="3173" t="s">
        <v>4279</v>
      </c>
      <c r="V196" s="3173" t="s">
        <v>4280</v>
      </c>
      <c r="W196" s="3224">
        <v>4</v>
      </c>
      <c r="X196" s="3242">
        <f t="shared" ca="1" si="13"/>
        <v>5536</v>
      </c>
      <c r="Y196" s="3242">
        <f t="shared" ca="1" si="14"/>
        <v>348878.72000000003</v>
      </c>
    </row>
    <row r="197" spans="1:25" ht="54">
      <c r="A197" s="3224"/>
      <c r="B197" s="3224"/>
      <c r="C197" s="3224"/>
      <c r="D197" s="3224"/>
      <c r="E197" s="3224"/>
      <c r="F197" s="3224"/>
      <c r="G197" s="3224"/>
      <c r="H197" s="3224"/>
      <c r="I197" s="3173">
        <v>196</v>
      </c>
      <c r="J197" s="3173">
        <v>20240070009</v>
      </c>
      <c r="K197" s="3173"/>
      <c r="L197" s="3173"/>
      <c r="M197" s="3173" t="s">
        <v>4274</v>
      </c>
      <c r="N197" s="3173" t="s">
        <v>4670</v>
      </c>
      <c r="O197" s="3173">
        <v>54.55</v>
      </c>
      <c r="P197" s="3173" t="s">
        <v>672</v>
      </c>
      <c r="Q197" s="3173"/>
      <c r="R197" s="3174">
        <v>45364</v>
      </c>
      <c r="S197" s="3173" t="s">
        <v>4277</v>
      </c>
      <c r="T197" s="3173" t="s">
        <v>4644</v>
      </c>
      <c r="U197" s="3173" t="s">
        <v>4279</v>
      </c>
      <c r="V197" s="3173" t="s">
        <v>4280</v>
      </c>
      <c r="W197" s="3224">
        <v>4</v>
      </c>
      <c r="X197" s="3242">
        <f t="shared" ca="1" si="13"/>
        <v>5536</v>
      </c>
      <c r="Y197" s="3242">
        <f t="shared" ca="1" si="14"/>
        <v>301988.8</v>
      </c>
    </row>
    <row r="198" spans="1:25" ht="54">
      <c r="A198" s="3224"/>
      <c r="B198" s="3224"/>
      <c r="C198" s="3224"/>
      <c r="D198" s="3224"/>
      <c r="E198" s="3224"/>
      <c r="F198" s="3224"/>
      <c r="G198" s="3224"/>
      <c r="H198" s="3224"/>
      <c r="I198" s="3173">
        <v>197</v>
      </c>
      <c r="J198" s="3173">
        <v>20240070009</v>
      </c>
      <c r="K198" s="3173"/>
      <c r="L198" s="3173"/>
      <c r="M198" s="3173" t="s">
        <v>4274</v>
      </c>
      <c r="N198" s="3173" t="s">
        <v>4671</v>
      </c>
      <c r="O198" s="3173">
        <v>54.66</v>
      </c>
      <c r="P198" s="3173" t="s">
        <v>672</v>
      </c>
      <c r="Q198" s="3173"/>
      <c r="R198" s="3174">
        <v>45364</v>
      </c>
      <c r="S198" s="3173" t="s">
        <v>4277</v>
      </c>
      <c r="T198" s="3173" t="s">
        <v>4297</v>
      </c>
      <c r="U198" s="3173" t="s">
        <v>4279</v>
      </c>
      <c r="V198" s="3173" t="s">
        <v>4280</v>
      </c>
      <c r="W198" s="3224">
        <v>4</v>
      </c>
      <c r="X198" s="3242">
        <f t="shared" ca="1" si="13"/>
        <v>5536</v>
      </c>
      <c r="Y198" s="3242">
        <f t="shared" ca="1" si="14"/>
        <v>302597.76000000001</v>
      </c>
    </row>
    <row r="199" spans="1:25" ht="54">
      <c r="A199" s="3224"/>
      <c r="B199" s="3224"/>
      <c r="C199" s="3224"/>
      <c r="D199" s="3224"/>
      <c r="E199" s="3224"/>
      <c r="F199" s="3224"/>
      <c r="G199" s="3224"/>
      <c r="H199" s="3224"/>
      <c r="I199" s="3173">
        <v>198</v>
      </c>
      <c r="J199" s="3173">
        <v>20240070009</v>
      </c>
      <c r="K199" s="3173"/>
      <c r="L199" s="3173"/>
      <c r="M199" s="3173" t="s">
        <v>4274</v>
      </c>
      <c r="N199" s="3173" t="s">
        <v>4672</v>
      </c>
      <c r="O199" s="3173">
        <v>75.459999999999994</v>
      </c>
      <c r="P199" s="3173" t="s">
        <v>672</v>
      </c>
      <c r="Q199" s="3173"/>
      <c r="R199" s="3174">
        <v>45364</v>
      </c>
      <c r="S199" s="3173" t="s">
        <v>4277</v>
      </c>
      <c r="T199" s="3173" t="s">
        <v>4644</v>
      </c>
      <c r="U199" s="3173" t="s">
        <v>4279</v>
      </c>
      <c r="V199" s="3173" t="s">
        <v>4280</v>
      </c>
      <c r="W199" s="3224">
        <v>4</v>
      </c>
      <c r="X199" s="3242">
        <f t="shared" ca="1" si="13"/>
        <v>5536</v>
      </c>
      <c r="Y199" s="3242">
        <f t="shared" ca="1" si="14"/>
        <v>417746.55999999994</v>
      </c>
    </row>
    <row r="200" spans="1:25" ht="54">
      <c r="A200" s="3224"/>
      <c r="B200" s="3224"/>
      <c r="C200" s="3224"/>
      <c r="D200" s="3224"/>
      <c r="E200" s="3224"/>
      <c r="F200" s="3224"/>
      <c r="G200" s="3224"/>
      <c r="H200" s="3224"/>
      <c r="I200" s="3173">
        <v>199</v>
      </c>
      <c r="J200" s="3173">
        <v>20240070009</v>
      </c>
      <c r="K200" s="3173"/>
      <c r="L200" s="3173"/>
      <c r="M200" s="3173" t="s">
        <v>4274</v>
      </c>
      <c r="N200" s="3173" t="s">
        <v>4673</v>
      </c>
      <c r="O200" s="3173">
        <v>59.13</v>
      </c>
      <c r="P200" s="3173" t="s">
        <v>672</v>
      </c>
      <c r="Q200" s="3173"/>
      <c r="R200" s="3174">
        <v>45364</v>
      </c>
      <c r="S200" s="3173" t="s">
        <v>4277</v>
      </c>
      <c r="T200" s="3173" t="s">
        <v>4278</v>
      </c>
      <c r="U200" s="3173" t="s">
        <v>4279</v>
      </c>
      <c r="V200" s="3173" t="s">
        <v>4280</v>
      </c>
      <c r="W200" s="3224">
        <v>4</v>
      </c>
      <c r="X200" s="3242">
        <f t="shared" ca="1" si="13"/>
        <v>5536</v>
      </c>
      <c r="Y200" s="3242">
        <f t="shared" ca="1" si="14"/>
        <v>327343.68</v>
      </c>
    </row>
    <row r="201" spans="1:25" ht="54">
      <c r="A201" s="3224"/>
      <c r="B201" s="3224"/>
      <c r="C201" s="3224"/>
      <c r="D201" s="3224"/>
      <c r="E201" s="3224"/>
      <c r="F201" s="3224"/>
      <c r="G201" s="3224"/>
      <c r="H201" s="3224"/>
      <c r="N201" s="3224" t="s">
        <v>2590</v>
      </c>
      <c r="O201" s="3228">
        <f>SUM(O2:O200)</f>
        <v>9981.0600000000013</v>
      </c>
      <c r="Q201" s="3173"/>
      <c r="R201" s="3174">
        <v>45364</v>
      </c>
      <c r="S201" s="3173" t="s">
        <v>4277</v>
      </c>
      <c r="T201" s="3173" t="s">
        <v>4278</v>
      </c>
      <c r="U201" s="3173" t="s">
        <v>4279</v>
      </c>
      <c r="V201" s="3173" t="s">
        <v>4280</v>
      </c>
      <c r="Y201" s="3228">
        <f ca="1">SUM(Y2:Y200)</f>
        <v>44721306.29999996</v>
      </c>
    </row>
    <row r="202" spans="1:25" ht="54">
      <c r="A202" s="3224"/>
      <c r="B202" s="3224"/>
      <c r="C202" s="3224"/>
      <c r="D202" s="3224"/>
      <c r="E202" s="3224"/>
      <c r="F202" s="3224"/>
      <c r="G202" s="3224"/>
      <c r="H202" s="3224"/>
      <c r="Q202" s="3173"/>
      <c r="R202" s="3174">
        <v>45364</v>
      </c>
      <c r="S202" s="3173" t="s">
        <v>4277</v>
      </c>
      <c r="T202" s="3173" t="s">
        <v>4278</v>
      </c>
      <c r="U202" s="3173" t="s">
        <v>4279</v>
      </c>
      <c r="V202" s="3173" t="s">
        <v>4280</v>
      </c>
    </row>
    <row r="203" spans="1:25" ht="54">
      <c r="A203" s="3224"/>
      <c r="B203" s="3224"/>
      <c r="C203" s="3224"/>
      <c r="D203" s="3224"/>
      <c r="E203" s="3224"/>
      <c r="F203" s="3224"/>
      <c r="G203" s="3224"/>
      <c r="H203" s="3224"/>
      <c r="Q203" s="3173"/>
      <c r="R203" s="3174">
        <v>45364</v>
      </c>
      <c r="S203" s="3173" t="s">
        <v>4277</v>
      </c>
      <c r="T203" s="3173" t="s">
        <v>4278</v>
      </c>
      <c r="U203" s="3173" t="s">
        <v>4279</v>
      </c>
      <c r="V203" s="3173" t="s">
        <v>4280</v>
      </c>
    </row>
    <row r="204" spans="1:25" ht="54">
      <c r="A204" s="3224"/>
      <c r="B204" s="3224"/>
      <c r="C204" s="3224"/>
      <c r="D204" s="3224"/>
      <c r="E204" s="3224"/>
      <c r="F204" s="3224"/>
      <c r="G204" s="3224"/>
      <c r="H204" s="3224"/>
      <c r="Q204" s="3173"/>
      <c r="R204" s="3174">
        <v>45364</v>
      </c>
      <c r="S204" s="3173" t="s">
        <v>4277</v>
      </c>
      <c r="T204" s="3173" t="s">
        <v>4278</v>
      </c>
      <c r="U204" s="3173" t="s">
        <v>4279</v>
      </c>
      <c r="V204" s="3173" t="s">
        <v>4280</v>
      </c>
    </row>
    <row r="205" spans="1:25" ht="54">
      <c r="A205" s="3224"/>
      <c r="B205" s="3224"/>
      <c r="C205" s="3224"/>
      <c r="D205" s="3224"/>
      <c r="E205" s="3224"/>
      <c r="F205" s="3224"/>
      <c r="G205" s="3224"/>
      <c r="H205" s="3224"/>
      <c r="Q205" s="3173"/>
      <c r="R205" s="3174">
        <v>45364</v>
      </c>
      <c r="S205" s="3173" t="s">
        <v>4277</v>
      </c>
      <c r="T205" s="3173" t="s">
        <v>4278</v>
      </c>
      <c r="U205" s="3173" t="s">
        <v>4279</v>
      </c>
      <c r="V205" s="3173" t="s">
        <v>4280</v>
      </c>
    </row>
    <row r="206" spans="1:25" ht="54">
      <c r="A206" s="3224"/>
      <c r="B206" s="3224"/>
      <c r="C206" s="3224"/>
      <c r="D206" s="3224"/>
      <c r="E206" s="3224"/>
      <c r="F206" s="3224"/>
      <c r="G206" s="3224"/>
      <c r="H206" s="3224"/>
      <c r="Q206" s="3173"/>
      <c r="R206" s="3174">
        <v>45364</v>
      </c>
      <c r="S206" s="3173" t="s">
        <v>4277</v>
      </c>
      <c r="T206" s="3173" t="s">
        <v>4297</v>
      </c>
      <c r="U206" s="3173" t="s">
        <v>4279</v>
      </c>
      <c r="V206" s="3173" t="s">
        <v>4280</v>
      </c>
    </row>
    <row r="207" spans="1:25" ht="54">
      <c r="A207" s="3224"/>
      <c r="B207" s="3224"/>
      <c r="C207" s="3224"/>
      <c r="D207" s="3224"/>
      <c r="E207" s="3224"/>
      <c r="F207" s="3224"/>
      <c r="G207" s="3224"/>
      <c r="H207" s="3224"/>
      <c r="Q207" s="3173"/>
      <c r="R207" s="3174">
        <v>45364</v>
      </c>
      <c r="S207" s="3173" t="s">
        <v>4277</v>
      </c>
      <c r="T207" s="3173" t="s">
        <v>4278</v>
      </c>
      <c r="U207" s="3173" t="s">
        <v>4279</v>
      </c>
      <c r="V207" s="3173" t="s">
        <v>4280</v>
      </c>
    </row>
    <row r="208" spans="1:25" ht="54">
      <c r="A208" s="3224"/>
      <c r="B208" s="3224"/>
      <c r="C208" s="3224"/>
      <c r="D208" s="3224"/>
      <c r="E208" s="3224"/>
      <c r="F208" s="3224"/>
      <c r="G208" s="3224"/>
      <c r="H208" s="3224"/>
      <c r="Q208" s="3173"/>
      <c r="R208" s="3174">
        <v>45364</v>
      </c>
      <c r="S208" s="3173" t="s">
        <v>4277</v>
      </c>
      <c r="T208" s="3173" t="s">
        <v>4278</v>
      </c>
      <c r="U208" s="3173" t="s">
        <v>4279</v>
      </c>
      <c r="V208" s="3173" t="s">
        <v>4280</v>
      </c>
    </row>
    <row r="209" spans="1:22" ht="54">
      <c r="A209" s="3224"/>
      <c r="B209" s="3224"/>
      <c r="C209" s="3224"/>
      <c r="D209" s="3224"/>
      <c r="E209" s="3224"/>
      <c r="F209" s="3224"/>
      <c r="G209" s="3224"/>
      <c r="H209" s="3224"/>
      <c r="Q209" s="3173"/>
      <c r="R209" s="3174">
        <v>45364</v>
      </c>
      <c r="S209" s="3173" t="s">
        <v>4277</v>
      </c>
      <c r="T209" s="3173" t="s">
        <v>4278</v>
      </c>
      <c r="U209" s="3173" t="s">
        <v>4279</v>
      </c>
      <c r="V209" s="3173" t="s">
        <v>4280</v>
      </c>
    </row>
    <row r="210" spans="1:22" ht="54">
      <c r="A210" s="3224"/>
      <c r="B210" s="3224"/>
      <c r="C210" s="3224"/>
      <c r="D210" s="3224"/>
      <c r="E210" s="3224"/>
      <c r="F210" s="3224"/>
      <c r="G210" s="3224"/>
      <c r="H210" s="3224"/>
      <c r="Q210" s="3173"/>
      <c r="R210" s="3174">
        <v>45364</v>
      </c>
      <c r="S210" s="3173" t="s">
        <v>4277</v>
      </c>
      <c r="T210" s="3173" t="s">
        <v>4278</v>
      </c>
      <c r="U210" s="3173" t="s">
        <v>4279</v>
      </c>
      <c r="V210" s="3173" t="s">
        <v>4280</v>
      </c>
    </row>
    <row r="211" spans="1:22" ht="54">
      <c r="A211" s="3224"/>
      <c r="B211" s="3224"/>
      <c r="C211" s="3224"/>
      <c r="D211" s="3224"/>
      <c r="E211" s="3224"/>
      <c r="F211" s="3224"/>
      <c r="G211" s="3224"/>
      <c r="H211" s="3224"/>
      <c r="Q211" s="3173"/>
      <c r="R211" s="3174">
        <v>45364</v>
      </c>
      <c r="S211" s="3173" t="s">
        <v>4277</v>
      </c>
      <c r="T211" s="3173" t="s">
        <v>4278</v>
      </c>
      <c r="U211" s="3173" t="s">
        <v>4279</v>
      </c>
      <c r="V211" s="3173" t="s">
        <v>4280</v>
      </c>
    </row>
    <row r="212" spans="1:22" ht="54">
      <c r="A212" s="3224"/>
      <c r="B212" s="3224"/>
      <c r="C212" s="3224"/>
      <c r="D212" s="3224"/>
      <c r="E212" s="3224"/>
      <c r="F212" s="3224"/>
      <c r="G212" s="3224"/>
      <c r="H212" s="3224"/>
      <c r="Q212" s="3173"/>
      <c r="R212" s="3174">
        <v>45364</v>
      </c>
      <c r="S212" s="3173" t="s">
        <v>4277</v>
      </c>
      <c r="T212" s="3173" t="s">
        <v>4278</v>
      </c>
      <c r="U212" s="3173" t="s">
        <v>4279</v>
      </c>
      <c r="V212" s="3173" t="s">
        <v>4280</v>
      </c>
    </row>
    <row r="213" spans="1:22" ht="54">
      <c r="A213" s="3224"/>
      <c r="B213" s="3224"/>
      <c r="C213" s="3224"/>
      <c r="D213" s="3224"/>
      <c r="E213" s="3224"/>
      <c r="F213" s="3224"/>
      <c r="G213" s="3224"/>
      <c r="H213" s="3224"/>
      <c r="Q213" s="3173"/>
      <c r="R213" s="3174">
        <v>45364</v>
      </c>
      <c r="S213" s="3173" t="s">
        <v>4277</v>
      </c>
      <c r="T213" s="3173" t="s">
        <v>4278</v>
      </c>
      <c r="U213" s="3173" t="s">
        <v>4279</v>
      </c>
      <c r="V213" s="3173" t="s">
        <v>4280</v>
      </c>
    </row>
    <row r="214" spans="1:22" ht="54">
      <c r="A214" s="3224"/>
      <c r="B214" s="3224"/>
      <c r="C214" s="3224"/>
      <c r="D214" s="3224"/>
      <c r="E214" s="3224"/>
      <c r="F214" s="3224"/>
      <c r="G214" s="3224"/>
      <c r="H214" s="3224"/>
      <c r="Q214" s="3173"/>
      <c r="R214" s="3174">
        <v>45364</v>
      </c>
      <c r="S214" s="3173" t="s">
        <v>4277</v>
      </c>
      <c r="T214" s="3173" t="s">
        <v>4278</v>
      </c>
      <c r="U214" s="3173" t="s">
        <v>4279</v>
      </c>
      <c r="V214" s="3173" t="s">
        <v>4280</v>
      </c>
    </row>
    <row r="215" spans="1:22" ht="54">
      <c r="A215" s="3224"/>
      <c r="B215" s="3224"/>
      <c r="C215" s="3224"/>
      <c r="D215" s="3224"/>
      <c r="E215" s="3224"/>
      <c r="F215" s="3224"/>
      <c r="G215" s="3224"/>
      <c r="H215" s="3224"/>
      <c r="Q215" s="3173"/>
      <c r="R215" s="3174">
        <v>45364</v>
      </c>
      <c r="S215" s="3173" t="s">
        <v>4277</v>
      </c>
      <c r="T215" s="3173" t="s">
        <v>4297</v>
      </c>
      <c r="U215" s="3173" t="s">
        <v>4279</v>
      </c>
      <c r="V215" s="3173" t="s">
        <v>4280</v>
      </c>
    </row>
    <row r="216" spans="1:22" ht="54">
      <c r="A216" s="3224"/>
      <c r="B216" s="3224"/>
      <c r="C216" s="3224"/>
      <c r="D216" s="3224"/>
      <c r="E216" s="3224"/>
      <c r="F216" s="3224"/>
      <c r="G216" s="3224"/>
      <c r="H216" s="3224"/>
      <c r="Q216" s="3173"/>
      <c r="R216" s="3174">
        <v>45364</v>
      </c>
      <c r="S216" s="3173" t="s">
        <v>4277</v>
      </c>
      <c r="T216" s="3173" t="s">
        <v>4297</v>
      </c>
      <c r="U216" s="3173" t="s">
        <v>4279</v>
      </c>
      <c r="V216" s="3173" t="s">
        <v>4280</v>
      </c>
    </row>
    <row r="217" spans="1:22" ht="54">
      <c r="A217" s="3224"/>
      <c r="B217" s="3224"/>
      <c r="C217" s="3224"/>
      <c r="D217" s="3224"/>
      <c r="E217" s="3224"/>
      <c r="F217" s="3224"/>
      <c r="G217" s="3224"/>
      <c r="H217" s="3224"/>
      <c r="Q217" s="3173"/>
      <c r="R217" s="3174">
        <v>45364</v>
      </c>
      <c r="S217" s="3173" t="s">
        <v>4277</v>
      </c>
      <c r="T217" s="3173" t="s">
        <v>4297</v>
      </c>
      <c r="U217" s="3173" t="s">
        <v>4279</v>
      </c>
      <c r="V217" s="3173" t="s">
        <v>4280</v>
      </c>
    </row>
    <row r="218" spans="1:22" ht="54">
      <c r="A218" s="3224"/>
      <c r="B218" s="3224"/>
      <c r="C218" s="3224"/>
      <c r="D218" s="3224"/>
      <c r="E218" s="3224"/>
      <c r="F218" s="3224"/>
      <c r="G218" s="3224"/>
      <c r="H218" s="3224"/>
      <c r="Q218" s="3173"/>
      <c r="R218" s="3174">
        <v>45364</v>
      </c>
      <c r="S218" s="3173" t="s">
        <v>4277</v>
      </c>
      <c r="T218" s="3173" t="s">
        <v>4297</v>
      </c>
      <c r="U218" s="3173" t="s">
        <v>4279</v>
      </c>
      <c r="V218" s="3173" t="s">
        <v>4280</v>
      </c>
    </row>
    <row r="219" spans="1:22" ht="54">
      <c r="A219" s="3224"/>
      <c r="B219" s="3224"/>
      <c r="C219" s="3224"/>
      <c r="D219" s="3224"/>
      <c r="E219" s="3224"/>
      <c r="F219" s="3224"/>
      <c r="G219" s="3224"/>
      <c r="H219" s="3224"/>
      <c r="Q219" s="3173"/>
      <c r="R219" s="3174">
        <v>45364</v>
      </c>
      <c r="S219" s="3173" t="s">
        <v>4277</v>
      </c>
      <c r="T219" s="3173" t="s">
        <v>4278</v>
      </c>
      <c r="U219" s="3173" t="s">
        <v>4279</v>
      </c>
      <c r="V219" s="3173" t="s">
        <v>4280</v>
      </c>
    </row>
    <row r="220" spans="1:22" ht="54">
      <c r="A220" s="3224"/>
      <c r="B220" s="3224"/>
      <c r="C220" s="3224"/>
      <c r="D220" s="3224"/>
      <c r="E220" s="3224"/>
      <c r="F220" s="3224"/>
      <c r="G220" s="3224"/>
      <c r="H220" s="3224"/>
      <c r="Q220" s="3173"/>
      <c r="R220" s="3174">
        <v>45364</v>
      </c>
      <c r="S220" s="3173" t="s">
        <v>4277</v>
      </c>
      <c r="T220" s="3173" t="s">
        <v>4278</v>
      </c>
      <c r="U220" s="3173" t="s">
        <v>4279</v>
      </c>
      <c r="V220" s="3173" t="s">
        <v>4280</v>
      </c>
    </row>
    <row r="221" spans="1:22" ht="54">
      <c r="A221" s="3224"/>
      <c r="B221" s="3224"/>
      <c r="C221" s="3224"/>
      <c r="D221" s="3224"/>
      <c r="E221" s="3224"/>
      <c r="F221" s="3224"/>
      <c r="G221" s="3224"/>
      <c r="H221" s="3224"/>
      <c r="Q221" s="3173"/>
      <c r="R221" s="3174">
        <v>45364</v>
      </c>
      <c r="S221" s="3173" t="s">
        <v>4277</v>
      </c>
      <c r="T221" s="3173" t="s">
        <v>4278</v>
      </c>
      <c r="U221" s="3173" t="s">
        <v>4279</v>
      </c>
      <c r="V221" s="3173" t="s">
        <v>4280</v>
      </c>
    </row>
    <row r="222" spans="1:22" ht="54">
      <c r="A222" s="3224"/>
      <c r="B222" s="3224"/>
      <c r="C222" s="3224"/>
      <c r="D222" s="3224"/>
      <c r="E222" s="3224"/>
      <c r="F222" s="3224"/>
      <c r="G222" s="3224"/>
      <c r="H222" s="3224"/>
      <c r="Q222" s="3173"/>
      <c r="R222" s="3174">
        <v>45364</v>
      </c>
      <c r="S222" s="3173" t="s">
        <v>4277</v>
      </c>
      <c r="T222" s="3173" t="s">
        <v>4278</v>
      </c>
      <c r="U222" s="3173" t="s">
        <v>4279</v>
      </c>
      <c r="V222" s="3173" t="s">
        <v>4280</v>
      </c>
    </row>
    <row r="223" spans="1:22" ht="54">
      <c r="A223" s="3224"/>
      <c r="B223" s="3224"/>
      <c r="C223" s="3224"/>
      <c r="D223" s="3224"/>
      <c r="E223" s="3224"/>
      <c r="F223" s="3224"/>
      <c r="G223" s="3224"/>
      <c r="H223" s="3224"/>
      <c r="Q223" s="3173"/>
      <c r="R223" s="3174">
        <v>45364</v>
      </c>
      <c r="S223" s="3173" t="s">
        <v>4277</v>
      </c>
      <c r="T223" s="3173" t="s">
        <v>4278</v>
      </c>
      <c r="U223" s="3173" t="s">
        <v>4279</v>
      </c>
      <c r="V223" s="3173" t="s">
        <v>4280</v>
      </c>
    </row>
    <row r="224" spans="1:22" ht="54">
      <c r="A224" s="3224"/>
      <c r="B224" s="3224"/>
      <c r="C224" s="3224"/>
      <c r="D224" s="3224"/>
      <c r="E224" s="3224"/>
      <c r="F224" s="3224"/>
      <c r="G224" s="3224"/>
      <c r="H224" s="3224"/>
      <c r="Q224" s="3173"/>
      <c r="R224" s="3174">
        <v>45364</v>
      </c>
      <c r="S224" s="3173" t="s">
        <v>4277</v>
      </c>
      <c r="T224" s="3173" t="s">
        <v>4278</v>
      </c>
      <c r="U224" s="3173" t="s">
        <v>4279</v>
      </c>
      <c r="V224" s="3173" t="s">
        <v>4280</v>
      </c>
    </row>
  </sheetData>
  <autoFilter ref="I1:BI224" xr:uid="{D7B321C4-CB6A-469D-AF2C-EBF288EF861D}"/>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2800-5938-46BA-9249-41CC196495A0}">
  <dimension ref="A1:BA224"/>
  <sheetViews>
    <sheetView tabSelected="1" workbookViewId="0">
      <selection activeCell="AZ4" sqref="AZ4"/>
    </sheetView>
  </sheetViews>
  <sheetFormatPr defaultRowHeight="13.5"/>
  <cols>
    <col min="1" max="1" width="5.75" style="3224" bestFit="1" customWidth="1"/>
    <col min="2" max="2" width="12.75" style="3224" bestFit="1" customWidth="1"/>
    <col min="3" max="4" width="0" style="3224" hidden="1" customWidth="1"/>
    <col min="5" max="8" width="9" style="3224"/>
    <col min="9" max="9" width="0" style="3224" hidden="1" customWidth="1"/>
    <col min="10" max="10" width="10.5" style="3224" hidden="1" customWidth="1"/>
    <col min="11" max="14" width="0" style="3224" hidden="1" customWidth="1"/>
    <col min="15" max="15" width="9" style="3224"/>
    <col min="16" max="16" width="11.625" style="3224" bestFit="1" customWidth="1"/>
    <col min="17" max="17" width="12.75" style="3224" bestFit="1" customWidth="1"/>
    <col min="18" max="18" width="9.75" style="3224" bestFit="1" customWidth="1"/>
    <col min="19" max="19" width="17.625" style="3224" bestFit="1" customWidth="1"/>
    <col min="20" max="21" width="0" style="3224" hidden="1" customWidth="1"/>
    <col min="22" max="25" width="9" style="3224"/>
    <col min="26" max="26" width="0" style="3224" hidden="1" customWidth="1"/>
    <col min="27" max="27" width="11.625" style="3224" hidden="1" customWidth="1"/>
    <col min="28" max="31" width="0" style="3224" hidden="1" customWidth="1"/>
    <col min="32" max="32" width="9" style="3224"/>
    <col min="33" max="33" width="12.75" style="3224" bestFit="1" customWidth="1"/>
    <col min="34" max="34" width="11.625" style="3224" bestFit="1" customWidth="1"/>
    <col min="35" max="35" width="5.75" style="3224" bestFit="1" customWidth="1"/>
    <col min="36" max="36" width="9" style="3224"/>
    <col min="37" max="38" width="9" style="3224" hidden="1" customWidth="1"/>
    <col min="39" max="42" width="9" style="3224"/>
    <col min="43" max="43" width="9" style="3224" hidden="1" customWidth="1"/>
    <col min="44" max="44" width="11.625" style="3224" hidden="1" customWidth="1"/>
    <col min="45" max="48" width="0" style="3224" hidden="1" customWidth="1"/>
    <col min="49" max="49" width="9" style="3224"/>
    <col min="50" max="52" width="11.625" style="3224" bestFit="1" customWidth="1"/>
    <col min="53" max="53" width="9" style="3224"/>
    <col min="54" max="54" width="12.75" style="3224" bestFit="1" customWidth="1"/>
    <col min="55" max="16384" width="9" style="3224"/>
  </cols>
  <sheetData>
    <row r="1" spans="1:53"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40" t="s">
        <v>3386</v>
      </c>
      <c r="P1" s="3241" t="s">
        <v>4924</v>
      </c>
      <c r="R1" s="3171" t="s">
        <v>4260</v>
      </c>
      <c r="S1" s="3171" t="s">
        <v>4261</v>
      </c>
      <c r="T1" s="3171" t="s">
        <v>4262</v>
      </c>
      <c r="U1" s="3171" t="s">
        <v>4263</v>
      </c>
      <c r="V1" s="3171" t="s">
        <v>4264</v>
      </c>
      <c r="W1" s="3171" t="s">
        <v>4265</v>
      </c>
      <c r="X1" s="3171" t="s">
        <v>4266</v>
      </c>
      <c r="Y1" s="3171" t="s">
        <v>671</v>
      </c>
      <c r="Z1" s="3171" t="s">
        <v>4267</v>
      </c>
      <c r="AA1" s="3171" t="s">
        <v>4268</v>
      </c>
      <c r="AB1" s="3171" t="s">
        <v>4269</v>
      </c>
      <c r="AC1" s="3171" t="s">
        <v>4270</v>
      </c>
      <c r="AD1" s="3171" t="s">
        <v>4271</v>
      </c>
      <c r="AE1" s="3171" t="s">
        <v>4272</v>
      </c>
      <c r="AF1" s="3240" t="s">
        <v>3386</v>
      </c>
      <c r="AG1" s="3241" t="s">
        <v>4924</v>
      </c>
      <c r="AI1" s="3171" t="s">
        <v>4260</v>
      </c>
      <c r="AJ1" s="3171" t="s">
        <v>4261</v>
      </c>
      <c r="AK1" s="3171" t="s">
        <v>4262</v>
      </c>
      <c r="AL1" s="3171" t="s">
        <v>4263</v>
      </c>
      <c r="AM1" s="3171" t="s">
        <v>4264</v>
      </c>
      <c r="AN1" s="3171" t="s">
        <v>4265</v>
      </c>
      <c r="AO1" s="3171" t="s">
        <v>4266</v>
      </c>
      <c r="AP1" s="3171" t="s">
        <v>671</v>
      </c>
      <c r="AQ1" s="3171" t="s">
        <v>4267</v>
      </c>
      <c r="AR1" s="3171" t="s">
        <v>4268</v>
      </c>
      <c r="AS1" s="3171" t="s">
        <v>4269</v>
      </c>
      <c r="AT1" s="3171" t="s">
        <v>4270</v>
      </c>
      <c r="AU1" s="3171" t="s">
        <v>4271</v>
      </c>
      <c r="AV1" s="3171" t="s">
        <v>4272</v>
      </c>
      <c r="AW1" s="3226" t="s">
        <v>3386</v>
      </c>
      <c r="AX1" s="3227" t="s">
        <v>4924</v>
      </c>
    </row>
    <row r="2" spans="1:53" ht="54">
      <c r="A2" s="3173">
        <v>1</v>
      </c>
      <c r="B2" s="3173">
        <v>20240070009</v>
      </c>
      <c r="C2" s="3173"/>
      <c r="D2" s="3173"/>
      <c r="E2" s="3173" t="s">
        <v>4274</v>
      </c>
      <c r="F2" s="3178">
        <v>45692</v>
      </c>
      <c r="G2" s="3173">
        <v>39.32</v>
      </c>
      <c r="H2" s="3173" t="s">
        <v>4276</v>
      </c>
      <c r="I2" s="3173"/>
      <c r="J2" s="3174">
        <v>45364</v>
      </c>
      <c r="K2" s="3173" t="s">
        <v>4277</v>
      </c>
      <c r="L2" s="3173" t="s">
        <v>4278</v>
      </c>
      <c r="M2" s="3173" t="s">
        <v>4279</v>
      </c>
      <c r="N2" s="3173" t="s">
        <v>4280</v>
      </c>
      <c r="O2" s="3242"/>
      <c r="P2" s="3242">
        <f ca="1">分套结果!$H$19</f>
        <v>80086</v>
      </c>
      <c r="Q2" s="3230">
        <f>SUM(G2:G200)</f>
        <v>9981.0600000000013</v>
      </c>
      <c r="R2" s="3173">
        <v>1</v>
      </c>
      <c r="S2" s="3173" t="s">
        <v>4282</v>
      </c>
      <c r="T2" s="3173"/>
      <c r="U2" s="3173"/>
      <c r="V2" s="3173" t="s">
        <v>4274</v>
      </c>
      <c r="W2" s="3173" t="s">
        <v>4287</v>
      </c>
      <c r="X2" s="3173">
        <v>71.28</v>
      </c>
      <c r="Y2" s="3173" t="s">
        <v>672</v>
      </c>
      <c r="Z2" s="3176" t="s">
        <v>4282</v>
      </c>
      <c r="AA2" s="3177">
        <v>45276</v>
      </c>
      <c r="AB2" s="3176" t="s">
        <v>4279</v>
      </c>
      <c r="AC2" s="3176" t="s">
        <v>4284</v>
      </c>
      <c r="AD2" s="3176" t="s">
        <v>4279</v>
      </c>
      <c r="AE2" s="3176" t="s">
        <v>4280</v>
      </c>
      <c r="AF2" s="3242">
        <f ca="1">分套结果!AP2</f>
        <v>17032</v>
      </c>
      <c r="AG2" s="3242">
        <f ca="1">AF2*X2</f>
        <v>1214040.96</v>
      </c>
      <c r="AH2" s="3230">
        <f>SUM(X2:X73)</f>
        <v>3283.5699999999979</v>
      </c>
      <c r="AI2" s="3173">
        <v>1</v>
      </c>
      <c r="AJ2" s="3173" t="s">
        <v>4273</v>
      </c>
      <c r="AK2" s="3173"/>
      <c r="AL2" s="3173"/>
      <c r="AM2" s="3173" t="s">
        <v>4274</v>
      </c>
      <c r="AN2" s="3173" t="s">
        <v>4275</v>
      </c>
      <c r="AO2" s="3173">
        <v>50.34</v>
      </c>
      <c r="AP2" s="3173" t="s">
        <v>4276</v>
      </c>
      <c r="AQ2" s="3173"/>
      <c r="AR2" s="3174">
        <v>45276</v>
      </c>
      <c r="AS2" s="3173" t="s">
        <v>4277</v>
      </c>
      <c r="AT2" s="3173" t="s">
        <v>4278</v>
      </c>
      <c r="AU2" s="3173" t="s">
        <v>4279</v>
      </c>
      <c r="AV2" s="3173" t="s">
        <v>4280</v>
      </c>
      <c r="AW2" s="3180"/>
      <c r="AX2" s="3224">
        <f ca="1">P2</f>
        <v>80086</v>
      </c>
      <c r="AY2" s="3230">
        <f>SUM(AO2:AO107)</f>
        <v>4621.3200000000024</v>
      </c>
      <c r="AZ2" s="3239">
        <f>Q2+AH2+AY2</f>
        <v>17885.95</v>
      </c>
      <c r="BA2" s="3224" t="s">
        <v>4925</v>
      </c>
    </row>
    <row r="3" spans="1:53" ht="54">
      <c r="A3" s="3173">
        <v>2</v>
      </c>
      <c r="B3" s="3173">
        <v>20240070009</v>
      </c>
      <c r="C3" s="3173"/>
      <c r="D3" s="3173"/>
      <c r="E3" s="3173" t="s">
        <v>4274</v>
      </c>
      <c r="F3" s="3173" t="s">
        <v>4289</v>
      </c>
      <c r="G3" s="3173">
        <v>39.32</v>
      </c>
      <c r="H3" s="3173" t="s">
        <v>4276</v>
      </c>
      <c r="I3" s="3173"/>
      <c r="J3" s="3174">
        <v>45364</v>
      </c>
      <c r="K3" s="3173" t="s">
        <v>4277</v>
      </c>
      <c r="L3" s="3173" t="s">
        <v>4278</v>
      </c>
      <c r="M3" s="3173" t="s">
        <v>4279</v>
      </c>
      <c r="N3" s="3173" t="s">
        <v>4280</v>
      </c>
      <c r="O3" s="3242"/>
      <c r="P3" s="3242">
        <f ca="1">分套结果!$H$19</f>
        <v>80086</v>
      </c>
      <c r="Q3" s="3230">
        <f ca="1">SUM(P2:P200)</f>
        <v>45444052.29999996</v>
      </c>
      <c r="R3" s="3173">
        <v>2</v>
      </c>
      <c r="S3" s="3173" t="s">
        <v>4282</v>
      </c>
      <c r="T3" s="3173"/>
      <c r="U3" s="3173"/>
      <c r="V3" s="3173" t="s">
        <v>4274</v>
      </c>
      <c r="W3" s="3173" t="s">
        <v>4292</v>
      </c>
      <c r="X3" s="3173">
        <v>129.47999999999999</v>
      </c>
      <c r="Y3" s="3173" t="s">
        <v>672</v>
      </c>
      <c r="Z3" s="3173" t="s">
        <v>4282</v>
      </c>
      <c r="AA3" s="3174">
        <v>45276</v>
      </c>
      <c r="AB3" s="3173" t="s">
        <v>4277</v>
      </c>
      <c r="AC3" s="3173" t="s">
        <v>4288</v>
      </c>
      <c r="AD3" s="3173" t="s">
        <v>4279</v>
      </c>
      <c r="AE3" s="3173" t="s">
        <v>4280</v>
      </c>
      <c r="AF3" s="3242">
        <f ca="1">分套结果!AP3</f>
        <v>8516</v>
      </c>
      <c r="AG3" s="3242">
        <f t="shared" ref="AG3:AG66" ca="1" si="0">AF3*X3</f>
        <v>1102651.68</v>
      </c>
      <c r="AH3" s="3230">
        <f ca="1">SUM(AG2:AG73)</f>
        <v>20335717.09</v>
      </c>
      <c r="AI3" s="3173">
        <v>2</v>
      </c>
      <c r="AJ3" s="3173" t="s">
        <v>4273</v>
      </c>
      <c r="AK3" s="3173"/>
      <c r="AL3" s="3173"/>
      <c r="AM3" s="3173" t="s">
        <v>4274</v>
      </c>
      <c r="AN3" s="3173" t="s">
        <v>4285</v>
      </c>
      <c r="AO3" s="3173">
        <v>50.34</v>
      </c>
      <c r="AP3" s="3173" t="s">
        <v>4276</v>
      </c>
      <c r="AQ3" s="3173"/>
      <c r="AR3" s="3174">
        <v>45276</v>
      </c>
      <c r="AS3" s="3173" t="s">
        <v>4277</v>
      </c>
      <c r="AT3" s="3173" t="s">
        <v>4278</v>
      </c>
      <c r="AU3" s="3173" t="s">
        <v>4279</v>
      </c>
      <c r="AV3" s="3173" t="s">
        <v>4280</v>
      </c>
      <c r="AW3" s="3180"/>
      <c r="AX3" s="3224">
        <f t="shared" ref="AX3:AX57" ca="1" si="1">P3</f>
        <v>80086</v>
      </c>
      <c r="AY3" s="3230">
        <f ca="1">SUM(AX2:AX107)</f>
        <v>15444760.089999987</v>
      </c>
      <c r="AZ3" s="3239">
        <f ca="1">Q3+AH3+AY3</f>
        <v>81224529.479999945</v>
      </c>
      <c r="BA3" s="3224" t="s">
        <v>4924</v>
      </c>
    </row>
    <row r="4" spans="1:53" ht="54">
      <c r="A4" s="3173">
        <v>3</v>
      </c>
      <c r="B4" s="3173">
        <v>20240070009</v>
      </c>
      <c r="C4" s="3173"/>
      <c r="D4" s="3173"/>
      <c r="E4" s="3173" t="s">
        <v>4274</v>
      </c>
      <c r="F4" s="3173" t="s">
        <v>4293</v>
      </c>
      <c r="G4" s="3173">
        <v>39.32</v>
      </c>
      <c r="H4" s="3173" t="s">
        <v>4276</v>
      </c>
      <c r="I4" s="3173"/>
      <c r="J4" s="3174">
        <v>45364</v>
      </c>
      <c r="K4" s="3173" t="s">
        <v>4277</v>
      </c>
      <c r="L4" s="3173" t="s">
        <v>4278</v>
      </c>
      <c r="M4" s="3173" t="s">
        <v>4279</v>
      </c>
      <c r="N4" s="3173" t="s">
        <v>4280</v>
      </c>
      <c r="O4" s="3242"/>
      <c r="P4" s="3242">
        <f ca="1">分套结果!$H$19</f>
        <v>80086</v>
      </c>
      <c r="R4" s="3173">
        <v>3</v>
      </c>
      <c r="S4" s="3173" t="s">
        <v>4282</v>
      </c>
      <c r="T4" s="3173"/>
      <c r="U4" s="3173"/>
      <c r="V4" s="3173" t="s">
        <v>4274</v>
      </c>
      <c r="W4" s="3173" t="s">
        <v>4295</v>
      </c>
      <c r="X4" s="3173">
        <v>42.72</v>
      </c>
      <c r="Y4" s="3173" t="s">
        <v>4296</v>
      </c>
      <c r="Z4" s="3173" t="s">
        <v>4282</v>
      </c>
      <c r="AA4" s="3174">
        <v>45276</v>
      </c>
      <c r="AB4" s="3173" t="s">
        <v>4277</v>
      </c>
      <c r="AC4" s="3173" t="s">
        <v>4288</v>
      </c>
      <c r="AD4" s="3173" t="s">
        <v>4279</v>
      </c>
      <c r="AE4" s="3173" t="s">
        <v>4280</v>
      </c>
      <c r="AF4" s="3242">
        <f ca="1">分套结果!AP4</f>
        <v>5845</v>
      </c>
      <c r="AG4" s="3242">
        <f t="shared" ca="1" si="0"/>
        <v>249698.4</v>
      </c>
      <c r="AI4" s="3173">
        <v>3</v>
      </c>
      <c r="AJ4" s="3173" t="s">
        <v>4273</v>
      </c>
      <c r="AK4" s="3173"/>
      <c r="AL4" s="3173"/>
      <c r="AM4" s="3173" t="s">
        <v>4274</v>
      </c>
      <c r="AN4" s="3173" t="s">
        <v>4290</v>
      </c>
      <c r="AO4" s="3173">
        <v>50.34</v>
      </c>
      <c r="AP4" s="3173" t="s">
        <v>4276</v>
      </c>
      <c r="AQ4" s="3173"/>
      <c r="AR4" s="3174">
        <v>45276</v>
      </c>
      <c r="AS4" s="3173" t="s">
        <v>4277</v>
      </c>
      <c r="AT4" s="3173" t="s">
        <v>4278</v>
      </c>
      <c r="AU4" s="3173" t="s">
        <v>4279</v>
      </c>
      <c r="AV4" s="3173" t="s">
        <v>4280</v>
      </c>
      <c r="AW4" s="3180"/>
      <c r="AX4" s="3224">
        <f t="shared" ca="1" si="1"/>
        <v>80086</v>
      </c>
      <c r="AZ4" s="3224">
        <v>90807074.959999993</v>
      </c>
    </row>
    <row r="5" spans="1:53" ht="54">
      <c r="A5" s="3173">
        <v>4</v>
      </c>
      <c r="B5" s="3173">
        <v>20240070009</v>
      </c>
      <c r="C5" s="3173"/>
      <c r="D5" s="3173"/>
      <c r="E5" s="3173" t="s">
        <v>4274</v>
      </c>
      <c r="F5" s="3173" t="s">
        <v>4298</v>
      </c>
      <c r="G5" s="3173">
        <v>39.32</v>
      </c>
      <c r="H5" s="3173" t="s">
        <v>4276</v>
      </c>
      <c r="I5" s="3173"/>
      <c r="J5" s="3174">
        <v>45364</v>
      </c>
      <c r="K5" s="3173" t="s">
        <v>4277</v>
      </c>
      <c r="L5" s="3173" t="s">
        <v>4278</v>
      </c>
      <c r="M5" s="3173" t="s">
        <v>4279</v>
      </c>
      <c r="N5" s="3173" t="s">
        <v>4280</v>
      </c>
      <c r="O5" s="3242"/>
      <c r="P5" s="3242">
        <f ca="1">分套结果!$H$19</f>
        <v>80086</v>
      </c>
      <c r="R5" s="3173">
        <v>4</v>
      </c>
      <c r="S5" s="3173" t="s">
        <v>4282</v>
      </c>
      <c r="T5" s="3173"/>
      <c r="U5" s="3173"/>
      <c r="V5" s="3173" t="s">
        <v>4274</v>
      </c>
      <c r="W5" s="3173" t="s">
        <v>4301</v>
      </c>
      <c r="X5" s="3173">
        <v>66.12</v>
      </c>
      <c r="Y5" s="3173" t="s">
        <v>4296</v>
      </c>
      <c r="Z5" s="3173" t="s">
        <v>4282</v>
      </c>
      <c r="AA5" s="3174">
        <v>45276</v>
      </c>
      <c r="AB5" s="3173" t="s">
        <v>4277</v>
      </c>
      <c r="AC5" s="3173" t="s">
        <v>4297</v>
      </c>
      <c r="AD5" s="3173" t="s">
        <v>4279</v>
      </c>
      <c r="AE5" s="3173" t="s">
        <v>4280</v>
      </c>
      <c r="AF5" s="3242">
        <f ca="1">分套结果!AP5</f>
        <v>5845</v>
      </c>
      <c r="AG5" s="3242">
        <f t="shared" ca="1" si="0"/>
        <v>386471.4</v>
      </c>
      <c r="AI5" s="3173">
        <v>4</v>
      </c>
      <c r="AJ5" s="3173" t="s">
        <v>4273</v>
      </c>
      <c r="AK5" s="3173"/>
      <c r="AL5" s="3173"/>
      <c r="AM5" s="3173" t="s">
        <v>4274</v>
      </c>
      <c r="AN5" s="3173" t="s">
        <v>4294</v>
      </c>
      <c r="AO5" s="3173">
        <v>50.34</v>
      </c>
      <c r="AP5" s="3173" t="s">
        <v>4276</v>
      </c>
      <c r="AQ5" s="3173"/>
      <c r="AR5" s="3174">
        <v>45276</v>
      </c>
      <c r="AS5" s="3173" t="s">
        <v>4277</v>
      </c>
      <c r="AT5" s="3173" t="s">
        <v>4278</v>
      </c>
      <c r="AU5" s="3173" t="s">
        <v>4279</v>
      </c>
      <c r="AV5" s="3173" t="s">
        <v>4280</v>
      </c>
      <c r="AW5" s="3180"/>
      <c r="AX5" s="3224">
        <f t="shared" ca="1" si="1"/>
        <v>80086</v>
      </c>
    </row>
    <row r="6" spans="1:53" ht="54">
      <c r="A6" s="3173">
        <v>5</v>
      </c>
      <c r="B6" s="3173">
        <v>20240070009</v>
      </c>
      <c r="C6" s="3173"/>
      <c r="D6" s="3173"/>
      <c r="E6" s="3173" t="s">
        <v>4274</v>
      </c>
      <c r="F6" s="3173" t="s">
        <v>4302</v>
      </c>
      <c r="G6" s="3173">
        <v>39.32</v>
      </c>
      <c r="H6" s="3173" t="s">
        <v>4276</v>
      </c>
      <c r="I6" s="3173"/>
      <c r="J6" s="3174">
        <v>45364</v>
      </c>
      <c r="K6" s="3173" t="s">
        <v>4277</v>
      </c>
      <c r="L6" s="3173" t="s">
        <v>4278</v>
      </c>
      <c r="M6" s="3173" t="s">
        <v>4279</v>
      </c>
      <c r="N6" s="3173" t="s">
        <v>4280</v>
      </c>
      <c r="O6" s="3242"/>
      <c r="P6" s="3242">
        <f ca="1">分套结果!$H$19</f>
        <v>80086</v>
      </c>
      <c r="R6" s="3173">
        <v>5</v>
      </c>
      <c r="S6" s="3173" t="s">
        <v>4282</v>
      </c>
      <c r="T6" s="3173"/>
      <c r="U6" s="3173"/>
      <c r="V6" s="3173" t="s">
        <v>4274</v>
      </c>
      <c r="W6" s="3173" t="s">
        <v>4305</v>
      </c>
      <c r="X6" s="3173">
        <v>42.72</v>
      </c>
      <c r="Y6" s="3173" t="s">
        <v>4296</v>
      </c>
      <c r="Z6" s="3173" t="s">
        <v>4282</v>
      </c>
      <c r="AA6" s="3174">
        <v>45276</v>
      </c>
      <c r="AB6" s="3173" t="s">
        <v>4277</v>
      </c>
      <c r="AC6" s="3173" t="s">
        <v>4297</v>
      </c>
      <c r="AD6" s="3173" t="s">
        <v>4279</v>
      </c>
      <c r="AE6" s="3173" t="s">
        <v>4280</v>
      </c>
      <c r="AF6" s="3242">
        <f ca="1">分套结果!AP6</f>
        <v>5845</v>
      </c>
      <c r="AG6" s="3242">
        <f t="shared" ca="1" si="0"/>
        <v>249698.4</v>
      </c>
      <c r="AI6" s="3173">
        <v>5</v>
      </c>
      <c r="AJ6" s="3173" t="s">
        <v>4273</v>
      </c>
      <c r="AK6" s="3173"/>
      <c r="AL6" s="3173"/>
      <c r="AM6" s="3173" t="s">
        <v>4274</v>
      </c>
      <c r="AN6" s="3173" t="s">
        <v>4299</v>
      </c>
      <c r="AO6" s="3173">
        <v>50.34</v>
      </c>
      <c r="AP6" s="3173" t="s">
        <v>4276</v>
      </c>
      <c r="AQ6" s="3173"/>
      <c r="AR6" s="3174">
        <v>45276</v>
      </c>
      <c r="AS6" s="3173" t="s">
        <v>4277</v>
      </c>
      <c r="AT6" s="3173" t="s">
        <v>4278</v>
      </c>
      <c r="AU6" s="3173" t="s">
        <v>4279</v>
      </c>
      <c r="AV6" s="3173" t="s">
        <v>4280</v>
      </c>
      <c r="AW6" s="3180"/>
      <c r="AX6" s="3224">
        <f t="shared" ca="1" si="1"/>
        <v>80086</v>
      </c>
    </row>
    <row r="7" spans="1:53" ht="54">
      <c r="A7" s="3173">
        <v>6</v>
      </c>
      <c r="B7" s="3173">
        <v>20240070009</v>
      </c>
      <c r="C7" s="3173"/>
      <c r="D7" s="3173"/>
      <c r="E7" s="3173" t="s">
        <v>4274</v>
      </c>
      <c r="F7" s="3173" t="s">
        <v>4306</v>
      </c>
      <c r="G7" s="3173">
        <v>39.32</v>
      </c>
      <c r="H7" s="3173" t="s">
        <v>4276</v>
      </c>
      <c r="I7" s="3173"/>
      <c r="J7" s="3174">
        <v>45364</v>
      </c>
      <c r="K7" s="3173" t="s">
        <v>4277</v>
      </c>
      <c r="L7" s="3173" t="s">
        <v>4278</v>
      </c>
      <c r="M7" s="3173" t="s">
        <v>4279</v>
      </c>
      <c r="N7" s="3173" t="s">
        <v>4280</v>
      </c>
      <c r="O7" s="3242"/>
      <c r="P7" s="3242">
        <f ca="1">分套结果!$H$19</f>
        <v>80086</v>
      </c>
      <c r="R7" s="3173">
        <v>6</v>
      </c>
      <c r="S7" s="3173" t="s">
        <v>4282</v>
      </c>
      <c r="T7" s="3173"/>
      <c r="U7" s="3173"/>
      <c r="V7" s="3173" t="s">
        <v>4274</v>
      </c>
      <c r="W7" s="3173" t="s">
        <v>4309</v>
      </c>
      <c r="X7" s="3173">
        <v>42.72</v>
      </c>
      <c r="Y7" s="3173" t="s">
        <v>4296</v>
      </c>
      <c r="Z7" s="3173" t="s">
        <v>4282</v>
      </c>
      <c r="AA7" s="3174">
        <v>45276</v>
      </c>
      <c r="AB7" s="3173" t="s">
        <v>4277</v>
      </c>
      <c r="AC7" s="3173" t="s">
        <v>4297</v>
      </c>
      <c r="AD7" s="3173" t="s">
        <v>4279</v>
      </c>
      <c r="AE7" s="3173" t="s">
        <v>4280</v>
      </c>
      <c r="AF7" s="3242">
        <f ca="1">分套结果!AP7</f>
        <v>5845</v>
      </c>
      <c r="AG7" s="3242">
        <f t="shared" ca="1" si="0"/>
        <v>249698.4</v>
      </c>
      <c r="AI7" s="3173">
        <v>6</v>
      </c>
      <c r="AJ7" s="3173" t="s">
        <v>4273</v>
      </c>
      <c r="AK7" s="3173"/>
      <c r="AL7" s="3173"/>
      <c r="AM7" s="3173" t="s">
        <v>4274</v>
      </c>
      <c r="AN7" s="3173" t="s">
        <v>4303</v>
      </c>
      <c r="AO7" s="3173">
        <v>50.34</v>
      </c>
      <c r="AP7" s="3173" t="s">
        <v>4276</v>
      </c>
      <c r="AQ7" s="3173"/>
      <c r="AR7" s="3174">
        <v>45276</v>
      </c>
      <c r="AS7" s="3173" t="s">
        <v>4277</v>
      </c>
      <c r="AT7" s="3173" t="s">
        <v>4278</v>
      </c>
      <c r="AU7" s="3173" t="s">
        <v>4279</v>
      </c>
      <c r="AV7" s="3173" t="s">
        <v>4280</v>
      </c>
      <c r="AW7" s="3180"/>
      <c r="AX7" s="3224">
        <f t="shared" ca="1" si="1"/>
        <v>80086</v>
      </c>
    </row>
    <row r="8" spans="1:53" ht="54">
      <c r="A8" s="3173">
        <v>7</v>
      </c>
      <c r="B8" s="3173">
        <v>20240070009</v>
      </c>
      <c r="C8" s="3173"/>
      <c r="D8" s="3173"/>
      <c r="E8" s="3173" t="s">
        <v>4274</v>
      </c>
      <c r="F8" s="3173" t="s">
        <v>4310</v>
      </c>
      <c r="G8" s="3173">
        <v>39.32</v>
      </c>
      <c r="H8" s="3173" t="s">
        <v>4276</v>
      </c>
      <c r="I8" s="3173"/>
      <c r="J8" s="3174">
        <v>45364</v>
      </c>
      <c r="K8" s="3173" t="s">
        <v>4277</v>
      </c>
      <c r="L8" s="3173" t="s">
        <v>4278</v>
      </c>
      <c r="M8" s="3173" t="s">
        <v>4279</v>
      </c>
      <c r="N8" s="3173" t="s">
        <v>4280</v>
      </c>
      <c r="O8" s="3242"/>
      <c r="P8" s="3242">
        <f ca="1">分套结果!$H$19</f>
        <v>80086</v>
      </c>
      <c r="R8" s="3173">
        <v>7</v>
      </c>
      <c r="S8" s="3173" t="s">
        <v>4282</v>
      </c>
      <c r="T8" s="3173"/>
      <c r="U8" s="3173"/>
      <c r="V8" s="3173" t="s">
        <v>4274</v>
      </c>
      <c r="W8" s="3173" t="s">
        <v>4312</v>
      </c>
      <c r="X8" s="3173">
        <v>42.72</v>
      </c>
      <c r="Y8" s="3173" t="s">
        <v>4296</v>
      </c>
      <c r="Z8" s="3173" t="s">
        <v>4282</v>
      </c>
      <c r="AA8" s="3174">
        <v>45276</v>
      </c>
      <c r="AB8" s="3173" t="s">
        <v>4277</v>
      </c>
      <c r="AC8" s="3173" t="s">
        <v>4297</v>
      </c>
      <c r="AD8" s="3173" t="s">
        <v>4279</v>
      </c>
      <c r="AE8" s="3173" t="s">
        <v>4280</v>
      </c>
      <c r="AF8" s="3242">
        <f ca="1">分套结果!AP8</f>
        <v>5845</v>
      </c>
      <c r="AG8" s="3242">
        <f t="shared" ca="1" si="0"/>
        <v>249698.4</v>
      </c>
      <c r="AI8" s="3173">
        <v>7</v>
      </c>
      <c r="AJ8" s="3173" t="s">
        <v>4273</v>
      </c>
      <c r="AK8" s="3173"/>
      <c r="AL8" s="3173"/>
      <c r="AM8" s="3173" t="s">
        <v>4274</v>
      </c>
      <c r="AN8" s="3173" t="s">
        <v>4307</v>
      </c>
      <c r="AO8" s="3173">
        <v>50.34</v>
      </c>
      <c r="AP8" s="3173" t="s">
        <v>4276</v>
      </c>
      <c r="AQ8" s="3173"/>
      <c r="AR8" s="3174">
        <v>45276</v>
      </c>
      <c r="AS8" s="3173" t="s">
        <v>4277</v>
      </c>
      <c r="AT8" s="3173" t="s">
        <v>4278</v>
      </c>
      <c r="AU8" s="3173" t="s">
        <v>4279</v>
      </c>
      <c r="AV8" s="3173" t="s">
        <v>4280</v>
      </c>
      <c r="AW8" s="3180"/>
      <c r="AX8" s="3224">
        <f t="shared" ca="1" si="1"/>
        <v>80086</v>
      </c>
    </row>
    <row r="9" spans="1:53" ht="54">
      <c r="A9" s="3173">
        <v>8</v>
      </c>
      <c r="B9" s="3173">
        <v>20240070009</v>
      </c>
      <c r="C9" s="3173"/>
      <c r="D9" s="3173"/>
      <c r="E9" s="3173" t="s">
        <v>4274</v>
      </c>
      <c r="F9" s="3173" t="s">
        <v>4313</v>
      </c>
      <c r="G9" s="3173">
        <v>39.32</v>
      </c>
      <c r="H9" s="3173" t="s">
        <v>4276</v>
      </c>
      <c r="I9" s="3173"/>
      <c r="J9" s="3174">
        <v>45364</v>
      </c>
      <c r="K9" s="3173" t="s">
        <v>4277</v>
      </c>
      <c r="L9" s="3173" t="s">
        <v>4278</v>
      </c>
      <c r="M9" s="3173" t="s">
        <v>4279</v>
      </c>
      <c r="N9" s="3173" t="s">
        <v>4280</v>
      </c>
      <c r="O9" s="3242"/>
      <c r="P9" s="3242">
        <f ca="1">分套结果!$H$19</f>
        <v>80086</v>
      </c>
      <c r="R9" s="3173">
        <v>8</v>
      </c>
      <c r="S9" s="3173" t="s">
        <v>4282</v>
      </c>
      <c r="T9" s="3173"/>
      <c r="U9" s="3173"/>
      <c r="V9" s="3173" t="s">
        <v>4274</v>
      </c>
      <c r="W9" s="3173" t="s">
        <v>4315</v>
      </c>
      <c r="X9" s="3173">
        <v>42.72</v>
      </c>
      <c r="Y9" s="3173" t="s">
        <v>4296</v>
      </c>
      <c r="Z9" s="3173" t="s">
        <v>4282</v>
      </c>
      <c r="AA9" s="3174">
        <v>45276</v>
      </c>
      <c r="AB9" s="3173" t="s">
        <v>4277</v>
      </c>
      <c r="AC9" s="3173" t="s">
        <v>4297</v>
      </c>
      <c r="AD9" s="3173" t="s">
        <v>4279</v>
      </c>
      <c r="AE9" s="3173" t="s">
        <v>4280</v>
      </c>
      <c r="AF9" s="3242">
        <f ca="1">分套结果!AP9</f>
        <v>5845</v>
      </c>
      <c r="AG9" s="3242">
        <f t="shared" ca="1" si="0"/>
        <v>249698.4</v>
      </c>
      <c r="AI9" s="3173">
        <v>8</v>
      </c>
      <c r="AJ9" s="3173" t="s">
        <v>4273</v>
      </c>
      <c r="AK9" s="3173"/>
      <c r="AL9" s="3173"/>
      <c r="AM9" s="3173" t="s">
        <v>4274</v>
      </c>
      <c r="AN9" s="3173" t="s">
        <v>4311</v>
      </c>
      <c r="AO9" s="3173">
        <v>50.34</v>
      </c>
      <c r="AP9" s="3173" t="s">
        <v>4276</v>
      </c>
      <c r="AQ9" s="3173"/>
      <c r="AR9" s="3174">
        <v>45276</v>
      </c>
      <c r="AS9" s="3173" t="s">
        <v>4277</v>
      </c>
      <c r="AT9" s="3173" t="s">
        <v>4278</v>
      </c>
      <c r="AU9" s="3173" t="s">
        <v>4279</v>
      </c>
      <c r="AV9" s="3173" t="s">
        <v>4280</v>
      </c>
      <c r="AW9" s="3180"/>
      <c r="AX9" s="3224">
        <f t="shared" ca="1" si="1"/>
        <v>80086</v>
      </c>
    </row>
    <row r="10" spans="1:53" ht="54">
      <c r="A10" s="3173">
        <v>9</v>
      </c>
      <c r="B10" s="3173">
        <v>20240070009</v>
      </c>
      <c r="C10" s="3173"/>
      <c r="D10" s="3173"/>
      <c r="E10" s="3173" t="s">
        <v>4274</v>
      </c>
      <c r="F10" s="3173" t="s">
        <v>4316</v>
      </c>
      <c r="G10" s="3173">
        <v>39.32</v>
      </c>
      <c r="H10" s="3173" t="s">
        <v>4276</v>
      </c>
      <c r="I10" s="3173"/>
      <c r="J10" s="3174">
        <v>45364</v>
      </c>
      <c r="K10" s="3173" t="s">
        <v>4277</v>
      </c>
      <c r="L10" s="3173" t="s">
        <v>4278</v>
      </c>
      <c r="M10" s="3173" t="s">
        <v>4279</v>
      </c>
      <c r="N10" s="3173" t="s">
        <v>4280</v>
      </c>
      <c r="O10" s="3242"/>
      <c r="P10" s="3242">
        <f ca="1">分套结果!$H$19</f>
        <v>80086</v>
      </c>
      <c r="R10" s="3173">
        <v>9</v>
      </c>
      <c r="S10" s="3173" t="s">
        <v>4282</v>
      </c>
      <c r="T10" s="3173"/>
      <c r="U10" s="3173"/>
      <c r="V10" s="3173" t="s">
        <v>4274</v>
      </c>
      <c r="W10" s="3173" t="s">
        <v>4320</v>
      </c>
      <c r="X10" s="3173">
        <v>42.72</v>
      </c>
      <c r="Y10" s="3173" t="s">
        <v>4296</v>
      </c>
      <c r="Z10" s="3173" t="s">
        <v>4282</v>
      </c>
      <c r="AA10" s="3174">
        <v>45276</v>
      </c>
      <c r="AB10" s="3173" t="s">
        <v>4279</v>
      </c>
      <c r="AC10" s="3173" t="s">
        <v>4297</v>
      </c>
      <c r="AD10" s="3173" t="s">
        <v>4279</v>
      </c>
      <c r="AE10" s="3173" t="s">
        <v>4280</v>
      </c>
      <c r="AF10" s="3242">
        <f ca="1">分套结果!AP10</f>
        <v>5845</v>
      </c>
      <c r="AG10" s="3242">
        <f t="shared" ca="1" si="0"/>
        <v>249698.4</v>
      </c>
      <c r="AI10" s="3173">
        <v>9</v>
      </c>
      <c r="AJ10" s="3173" t="s">
        <v>4273</v>
      </c>
      <c r="AK10" s="3173"/>
      <c r="AL10" s="3173"/>
      <c r="AM10" s="3173" t="s">
        <v>4274</v>
      </c>
      <c r="AN10" s="3173" t="s">
        <v>4314</v>
      </c>
      <c r="AO10" s="3173">
        <v>50.34</v>
      </c>
      <c r="AP10" s="3173" t="s">
        <v>4276</v>
      </c>
      <c r="AQ10" s="3173"/>
      <c r="AR10" s="3174">
        <v>45276</v>
      </c>
      <c r="AS10" s="3173" t="s">
        <v>4277</v>
      </c>
      <c r="AT10" s="3173" t="s">
        <v>4278</v>
      </c>
      <c r="AU10" s="3173" t="s">
        <v>4279</v>
      </c>
      <c r="AV10" s="3173" t="s">
        <v>4280</v>
      </c>
      <c r="AW10" s="3180"/>
      <c r="AX10" s="3224">
        <f t="shared" ca="1" si="1"/>
        <v>80086</v>
      </c>
    </row>
    <row r="11" spans="1:53" ht="54">
      <c r="A11" s="3173">
        <v>10</v>
      </c>
      <c r="B11" s="3173">
        <v>20240070009</v>
      </c>
      <c r="C11" s="3173"/>
      <c r="D11" s="3173"/>
      <c r="E11" s="3173" t="s">
        <v>4274</v>
      </c>
      <c r="F11" s="3173" t="s">
        <v>4321</v>
      </c>
      <c r="G11" s="3173">
        <v>39.32</v>
      </c>
      <c r="H11" s="3173" t="s">
        <v>4276</v>
      </c>
      <c r="I11" s="3173"/>
      <c r="J11" s="3174">
        <v>45364</v>
      </c>
      <c r="K11" s="3173" t="s">
        <v>4277</v>
      </c>
      <c r="L11" s="3173" t="s">
        <v>4278</v>
      </c>
      <c r="M11" s="3173" t="s">
        <v>4279</v>
      </c>
      <c r="N11" s="3173" t="s">
        <v>4280</v>
      </c>
      <c r="O11" s="3242"/>
      <c r="P11" s="3242">
        <f ca="1">分套结果!$H$19</f>
        <v>80086</v>
      </c>
      <c r="R11" s="3173">
        <v>10</v>
      </c>
      <c r="S11" s="3173" t="s">
        <v>4282</v>
      </c>
      <c r="T11" s="3173"/>
      <c r="U11" s="3173"/>
      <c r="V11" s="3173" t="s">
        <v>4274</v>
      </c>
      <c r="W11" s="3173" t="s">
        <v>4324</v>
      </c>
      <c r="X11" s="3173">
        <v>42.72</v>
      </c>
      <c r="Y11" s="3173" t="s">
        <v>4296</v>
      </c>
      <c r="Z11" s="3173" t="s">
        <v>4282</v>
      </c>
      <c r="AA11" s="3174">
        <v>45276</v>
      </c>
      <c r="AB11" s="3173" t="s">
        <v>4279</v>
      </c>
      <c r="AC11" s="3173" t="s">
        <v>4297</v>
      </c>
      <c r="AD11" s="3173" t="s">
        <v>4279</v>
      </c>
      <c r="AE11" s="3173" t="s">
        <v>4280</v>
      </c>
      <c r="AF11" s="3242">
        <f ca="1">分套结果!AP11</f>
        <v>5845</v>
      </c>
      <c r="AG11" s="3242">
        <f t="shared" ca="1" si="0"/>
        <v>249698.4</v>
      </c>
      <c r="AI11" s="3173">
        <v>10</v>
      </c>
      <c r="AJ11" s="3173" t="s">
        <v>4273</v>
      </c>
      <c r="AK11" s="3173"/>
      <c r="AL11" s="3173"/>
      <c r="AM11" s="3173" t="s">
        <v>4274</v>
      </c>
      <c r="AN11" s="3173" t="s">
        <v>4317</v>
      </c>
      <c r="AO11" s="3173">
        <v>50.34</v>
      </c>
      <c r="AP11" s="3173" t="s">
        <v>4276</v>
      </c>
      <c r="AQ11" s="3173"/>
      <c r="AR11" s="3174">
        <v>45276</v>
      </c>
      <c r="AS11" s="3173" t="s">
        <v>4277</v>
      </c>
      <c r="AT11" s="3173" t="s">
        <v>4278</v>
      </c>
      <c r="AU11" s="3173" t="s">
        <v>4279</v>
      </c>
      <c r="AV11" s="3173" t="s">
        <v>4280</v>
      </c>
      <c r="AW11" s="3180"/>
      <c r="AX11" s="3224">
        <f t="shared" ca="1" si="1"/>
        <v>80086</v>
      </c>
    </row>
    <row r="12" spans="1:53" ht="54">
      <c r="A12" s="3173">
        <v>11</v>
      </c>
      <c r="B12" s="3173">
        <v>20240070009</v>
      </c>
      <c r="C12" s="3173"/>
      <c r="D12" s="3173"/>
      <c r="E12" s="3173" t="s">
        <v>4274</v>
      </c>
      <c r="F12" s="3173" t="s">
        <v>4325</v>
      </c>
      <c r="G12" s="3173">
        <v>39.32</v>
      </c>
      <c r="H12" s="3173" t="s">
        <v>4276</v>
      </c>
      <c r="I12" s="3173"/>
      <c r="J12" s="3174">
        <v>45364</v>
      </c>
      <c r="K12" s="3173" t="s">
        <v>4277</v>
      </c>
      <c r="L12" s="3173" t="s">
        <v>4278</v>
      </c>
      <c r="M12" s="3173" t="s">
        <v>4279</v>
      </c>
      <c r="N12" s="3173" t="s">
        <v>4280</v>
      </c>
      <c r="O12" s="3242"/>
      <c r="P12" s="3242">
        <f ca="1">分套结果!$H$19</f>
        <v>80086</v>
      </c>
      <c r="R12" s="3173">
        <v>11</v>
      </c>
      <c r="S12" s="3173" t="s">
        <v>4282</v>
      </c>
      <c r="T12" s="3173"/>
      <c r="U12" s="3173"/>
      <c r="V12" s="3173" t="s">
        <v>4274</v>
      </c>
      <c r="W12" s="3173" t="s">
        <v>4327</v>
      </c>
      <c r="X12" s="3173">
        <v>42.72</v>
      </c>
      <c r="Y12" s="3173" t="s">
        <v>4296</v>
      </c>
      <c r="Z12" s="3173" t="s">
        <v>4282</v>
      </c>
      <c r="AA12" s="3174">
        <v>45276</v>
      </c>
      <c r="AB12" s="3173" t="s">
        <v>4277</v>
      </c>
      <c r="AC12" s="3173" t="s">
        <v>4288</v>
      </c>
      <c r="AD12" s="3173" t="s">
        <v>4279</v>
      </c>
      <c r="AE12" s="3173" t="s">
        <v>4280</v>
      </c>
      <c r="AF12" s="3242">
        <f ca="1">分套结果!AP12</f>
        <v>5845</v>
      </c>
      <c r="AG12" s="3242">
        <f t="shared" ca="1" si="0"/>
        <v>249698.4</v>
      </c>
      <c r="AI12" s="3173">
        <v>11</v>
      </c>
      <c r="AJ12" s="3173" t="s">
        <v>4273</v>
      </c>
      <c r="AK12" s="3173"/>
      <c r="AL12" s="3173"/>
      <c r="AM12" s="3173" t="s">
        <v>4274</v>
      </c>
      <c r="AN12" s="3173" t="s">
        <v>4322</v>
      </c>
      <c r="AO12" s="3173">
        <v>50.34</v>
      </c>
      <c r="AP12" s="3173" t="s">
        <v>4276</v>
      </c>
      <c r="AQ12" s="3173"/>
      <c r="AR12" s="3174">
        <v>45276</v>
      </c>
      <c r="AS12" s="3173" t="s">
        <v>4277</v>
      </c>
      <c r="AT12" s="3173" t="s">
        <v>4278</v>
      </c>
      <c r="AU12" s="3173" t="s">
        <v>4279</v>
      </c>
      <c r="AV12" s="3173" t="s">
        <v>4280</v>
      </c>
      <c r="AW12" s="3180"/>
      <c r="AX12" s="3224">
        <f t="shared" ca="1" si="1"/>
        <v>80086</v>
      </c>
    </row>
    <row r="13" spans="1:53" ht="54">
      <c r="A13" s="3173">
        <v>12</v>
      </c>
      <c r="B13" s="3173">
        <v>20240070009</v>
      </c>
      <c r="C13" s="3173"/>
      <c r="D13" s="3173"/>
      <c r="E13" s="3173" t="s">
        <v>4274</v>
      </c>
      <c r="F13" s="3173" t="s">
        <v>4328</v>
      </c>
      <c r="G13" s="3173">
        <v>39.32</v>
      </c>
      <c r="H13" s="3173" t="s">
        <v>4276</v>
      </c>
      <c r="I13" s="3173"/>
      <c r="J13" s="3174">
        <v>45364</v>
      </c>
      <c r="K13" s="3173" t="s">
        <v>4277</v>
      </c>
      <c r="L13" s="3173" t="s">
        <v>4278</v>
      </c>
      <c r="M13" s="3173" t="s">
        <v>4279</v>
      </c>
      <c r="N13" s="3173" t="s">
        <v>4280</v>
      </c>
      <c r="O13" s="3242"/>
      <c r="P13" s="3242">
        <f ca="1">分套结果!$H$19</f>
        <v>80086</v>
      </c>
      <c r="R13" s="3173">
        <v>12</v>
      </c>
      <c r="S13" s="3173" t="s">
        <v>4282</v>
      </c>
      <c r="T13" s="3173"/>
      <c r="U13" s="3173"/>
      <c r="V13" s="3173" t="s">
        <v>4274</v>
      </c>
      <c r="W13" s="3173" t="s">
        <v>4330</v>
      </c>
      <c r="X13" s="3173">
        <v>42.72</v>
      </c>
      <c r="Y13" s="3173" t="s">
        <v>4296</v>
      </c>
      <c r="Z13" s="3173" t="s">
        <v>4282</v>
      </c>
      <c r="AA13" s="3174">
        <v>45276</v>
      </c>
      <c r="AB13" s="3173" t="s">
        <v>4279</v>
      </c>
      <c r="AC13" s="3173" t="s">
        <v>4297</v>
      </c>
      <c r="AD13" s="3173" t="s">
        <v>4279</v>
      </c>
      <c r="AE13" s="3173" t="s">
        <v>4280</v>
      </c>
      <c r="AF13" s="3242">
        <f ca="1">分套结果!AP13</f>
        <v>5845</v>
      </c>
      <c r="AG13" s="3242">
        <f t="shared" ca="1" si="0"/>
        <v>249698.4</v>
      </c>
      <c r="AI13" s="3173">
        <v>12</v>
      </c>
      <c r="AJ13" s="3173" t="s">
        <v>4273</v>
      </c>
      <c r="AK13" s="3173"/>
      <c r="AL13" s="3173"/>
      <c r="AM13" s="3173" t="s">
        <v>4274</v>
      </c>
      <c r="AN13" s="3173" t="s">
        <v>4326</v>
      </c>
      <c r="AO13" s="3173">
        <v>50.34</v>
      </c>
      <c r="AP13" s="3173" t="s">
        <v>4276</v>
      </c>
      <c r="AQ13" s="3173"/>
      <c r="AR13" s="3174">
        <v>45276</v>
      </c>
      <c r="AS13" s="3173" t="s">
        <v>4277</v>
      </c>
      <c r="AT13" s="3173" t="s">
        <v>4278</v>
      </c>
      <c r="AU13" s="3173" t="s">
        <v>4279</v>
      </c>
      <c r="AV13" s="3173" t="s">
        <v>4280</v>
      </c>
      <c r="AW13" s="3180"/>
      <c r="AX13" s="3224">
        <f t="shared" ca="1" si="1"/>
        <v>80086</v>
      </c>
    </row>
    <row r="14" spans="1:53" ht="54">
      <c r="A14" s="3173">
        <v>13</v>
      </c>
      <c r="B14" s="3173">
        <v>20240070009</v>
      </c>
      <c r="C14" s="3173"/>
      <c r="D14" s="3173"/>
      <c r="E14" s="3173" t="s">
        <v>4274</v>
      </c>
      <c r="F14" s="3173" t="s">
        <v>4331</v>
      </c>
      <c r="G14" s="3173">
        <v>39.32</v>
      </c>
      <c r="H14" s="3173" t="s">
        <v>4276</v>
      </c>
      <c r="I14" s="3173"/>
      <c r="J14" s="3174">
        <v>45364</v>
      </c>
      <c r="K14" s="3173" t="s">
        <v>4277</v>
      </c>
      <c r="L14" s="3173" t="s">
        <v>4278</v>
      </c>
      <c r="M14" s="3173" t="s">
        <v>4279</v>
      </c>
      <c r="N14" s="3173" t="s">
        <v>4280</v>
      </c>
      <c r="O14" s="3242"/>
      <c r="P14" s="3242">
        <f ca="1">分套结果!$H$19</f>
        <v>80086</v>
      </c>
      <c r="R14" s="3173">
        <v>13</v>
      </c>
      <c r="S14" s="3173" t="s">
        <v>4282</v>
      </c>
      <c r="T14" s="3173"/>
      <c r="U14" s="3173"/>
      <c r="V14" s="3173" t="s">
        <v>4274</v>
      </c>
      <c r="W14" s="3173" t="s">
        <v>4333</v>
      </c>
      <c r="X14" s="3173">
        <v>42.72</v>
      </c>
      <c r="Y14" s="3173" t="s">
        <v>4296</v>
      </c>
      <c r="Z14" s="3173" t="s">
        <v>4282</v>
      </c>
      <c r="AA14" s="3174">
        <v>45276</v>
      </c>
      <c r="AB14" s="3173" t="s">
        <v>4279</v>
      </c>
      <c r="AC14" s="3173" t="s">
        <v>4297</v>
      </c>
      <c r="AD14" s="3173" t="s">
        <v>4279</v>
      </c>
      <c r="AE14" s="3173" t="s">
        <v>4280</v>
      </c>
      <c r="AF14" s="3242">
        <f ca="1">分套结果!AP14</f>
        <v>5845</v>
      </c>
      <c r="AG14" s="3242">
        <f t="shared" ca="1" si="0"/>
        <v>249698.4</v>
      </c>
      <c r="AI14" s="3173">
        <v>13</v>
      </c>
      <c r="AJ14" s="3173" t="s">
        <v>4273</v>
      </c>
      <c r="AK14" s="3173"/>
      <c r="AL14" s="3173"/>
      <c r="AM14" s="3173" t="s">
        <v>4274</v>
      </c>
      <c r="AN14" s="3173" t="s">
        <v>4329</v>
      </c>
      <c r="AO14" s="3173">
        <v>50.34</v>
      </c>
      <c r="AP14" s="3173" t="s">
        <v>4276</v>
      </c>
      <c r="AQ14" s="3173"/>
      <c r="AR14" s="3174">
        <v>45276</v>
      </c>
      <c r="AS14" s="3173" t="s">
        <v>4277</v>
      </c>
      <c r="AT14" s="3173" t="s">
        <v>4278</v>
      </c>
      <c r="AU14" s="3173" t="s">
        <v>4279</v>
      </c>
      <c r="AV14" s="3173" t="s">
        <v>4280</v>
      </c>
      <c r="AW14" s="3180"/>
      <c r="AX14" s="3224">
        <f t="shared" ca="1" si="1"/>
        <v>80086</v>
      </c>
    </row>
    <row r="15" spans="1:53" ht="54">
      <c r="A15" s="3173">
        <v>14</v>
      </c>
      <c r="B15" s="3173">
        <v>20240070009</v>
      </c>
      <c r="C15" s="3173"/>
      <c r="D15" s="3173"/>
      <c r="E15" s="3173" t="s">
        <v>4274</v>
      </c>
      <c r="F15" s="3173" t="s">
        <v>4334</v>
      </c>
      <c r="G15" s="3173">
        <v>39.32</v>
      </c>
      <c r="H15" s="3173" t="s">
        <v>4276</v>
      </c>
      <c r="I15" s="3173"/>
      <c r="J15" s="3174">
        <v>45364</v>
      </c>
      <c r="K15" s="3173" t="s">
        <v>4277</v>
      </c>
      <c r="L15" s="3173" t="s">
        <v>4278</v>
      </c>
      <c r="M15" s="3173" t="s">
        <v>4279</v>
      </c>
      <c r="N15" s="3173" t="s">
        <v>4280</v>
      </c>
      <c r="O15" s="3242"/>
      <c r="P15" s="3242">
        <f ca="1">分套结果!$H$19</f>
        <v>80086</v>
      </c>
      <c r="R15" s="3173">
        <v>14</v>
      </c>
      <c r="S15" s="3173" t="s">
        <v>4282</v>
      </c>
      <c r="T15" s="3173"/>
      <c r="U15" s="3173"/>
      <c r="V15" s="3173" t="s">
        <v>4274</v>
      </c>
      <c r="W15" s="3173" t="s">
        <v>4336</v>
      </c>
      <c r="X15" s="3173">
        <v>42.72</v>
      </c>
      <c r="Y15" s="3173" t="s">
        <v>4296</v>
      </c>
      <c r="Z15" s="3173" t="s">
        <v>4282</v>
      </c>
      <c r="AA15" s="3174">
        <v>45276</v>
      </c>
      <c r="AB15" s="3173" t="s">
        <v>4279</v>
      </c>
      <c r="AC15" s="3173" t="s">
        <v>4297</v>
      </c>
      <c r="AD15" s="3173" t="s">
        <v>4279</v>
      </c>
      <c r="AE15" s="3173" t="s">
        <v>4280</v>
      </c>
      <c r="AF15" s="3242">
        <f ca="1">分套结果!AP15</f>
        <v>5845</v>
      </c>
      <c r="AG15" s="3242">
        <f t="shared" ca="1" si="0"/>
        <v>249698.4</v>
      </c>
      <c r="AI15" s="3173">
        <v>14</v>
      </c>
      <c r="AJ15" s="3173" t="s">
        <v>4273</v>
      </c>
      <c r="AK15" s="3173"/>
      <c r="AL15" s="3173"/>
      <c r="AM15" s="3173" t="s">
        <v>4274</v>
      </c>
      <c r="AN15" s="3173" t="s">
        <v>4332</v>
      </c>
      <c r="AO15" s="3173">
        <v>50.34</v>
      </c>
      <c r="AP15" s="3173" t="s">
        <v>4276</v>
      </c>
      <c r="AQ15" s="3173"/>
      <c r="AR15" s="3174">
        <v>45276</v>
      </c>
      <c r="AS15" s="3173" t="s">
        <v>4277</v>
      </c>
      <c r="AT15" s="3173" t="s">
        <v>4278</v>
      </c>
      <c r="AU15" s="3173" t="s">
        <v>4279</v>
      </c>
      <c r="AV15" s="3173" t="s">
        <v>4280</v>
      </c>
      <c r="AW15" s="3180"/>
      <c r="AX15" s="3224">
        <f t="shared" ca="1" si="1"/>
        <v>80086</v>
      </c>
    </row>
    <row r="16" spans="1:53" ht="54">
      <c r="A16" s="3173">
        <v>15</v>
      </c>
      <c r="B16" s="3173">
        <v>20240070009</v>
      </c>
      <c r="C16" s="3173"/>
      <c r="D16" s="3173"/>
      <c r="E16" s="3173" t="s">
        <v>4274</v>
      </c>
      <c r="F16" s="3173" t="s">
        <v>4337</v>
      </c>
      <c r="G16" s="3173">
        <v>39.32</v>
      </c>
      <c r="H16" s="3173" t="s">
        <v>4276</v>
      </c>
      <c r="I16" s="3173"/>
      <c r="J16" s="3174">
        <v>45364</v>
      </c>
      <c r="K16" s="3173" t="s">
        <v>4277</v>
      </c>
      <c r="L16" s="3173" t="s">
        <v>4278</v>
      </c>
      <c r="M16" s="3173" t="s">
        <v>4279</v>
      </c>
      <c r="N16" s="3173" t="s">
        <v>4280</v>
      </c>
      <c r="O16" s="3242"/>
      <c r="P16" s="3242">
        <f ca="1">分套结果!$H$19</f>
        <v>80086</v>
      </c>
      <c r="R16" s="3173">
        <v>15</v>
      </c>
      <c r="S16" s="3173" t="s">
        <v>4282</v>
      </c>
      <c r="T16" s="3173"/>
      <c r="U16" s="3173"/>
      <c r="V16" s="3173" t="s">
        <v>4274</v>
      </c>
      <c r="W16" s="3173" t="s">
        <v>4339</v>
      </c>
      <c r="X16" s="3173">
        <v>42.72</v>
      </c>
      <c r="Y16" s="3173" t="s">
        <v>4296</v>
      </c>
      <c r="Z16" s="3173" t="s">
        <v>4282</v>
      </c>
      <c r="AA16" s="3174">
        <v>45276</v>
      </c>
      <c r="AB16" s="3173" t="s">
        <v>4279</v>
      </c>
      <c r="AC16" s="3173" t="s">
        <v>4297</v>
      </c>
      <c r="AD16" s="3173" t="s">
        <v>4279</v>
      </c>
      <c r="AE16" s="3173" t="s">
        <v>4280</v>
      </c>
      <c r="AF16" s="3242">
        <f ca="1">分套结果!AP16</f>
        <v>5845</v>
      </c>
      <c r="AG16" s="3242">
        <f t="shared" ca="1" si="0"/>
        <v>249698.4</v>
      </c>
      <c r="AI16" s="3173">
        <v>15</v>
      </c>
      <c r="AJ16" s="3173" t="s">
        <v>4273</v>
      </c>
      <c r="AK16" s="3173"/>
      <c r="AL16" s="3173"/>
      <c r="AM16" s="3173" t="s">
        <v>4274</v>
      </c>
      <c r="AN16" s="3173" t="s">
        <v>4335</v>
      </c>
      <c r="AO16" s="3173">
        <v>50.34</v>
      </c>
      <c r="AP16" s="3173" t="s">
        <v>4276</v>
      </c>
      <c r="AQ16" s="3173"/>
      <c r="AR16" s="3174">
        <v>45276</v>
      </c>
      <c r="AS16" s="3173" t="s">
        <v>4277</v>
      </c>
      <c r="AT16" s="3173" t="s">
        <v>4278</v>
      </c>
      <c r="AU16" s="3173" t="s">
        <v>4279</v>
      </c>
      <c r="AV16" s="3173" t="s">
        <v>4280</v>
      </c>
      <c r="AW16" s="3180"/>
      <c r="AX16" s="3224">
        <f t="shared" ca="1" si="1"/>
        <v>80086</v>
      </c>
    </row>
    <row r="17" spans="1:50" ht="54">
      <c r="A17" s="3173">
        <v>16</v>
      </c>
      <c r="B17" s="3173">
        <v>20240070009</v>
      </c>
      <c r="C17" s="3173"/>
      <c r="D17" s="3173"/>
      <c r="E17" s="3173" t="s">
        <v>4274</v>
      </c>
      <c r="F17" s="3173" t="s">
        <v>4340</v>
      </c>
      <c r="G17" s="3173">
        <v>39.32</v>
      </c>
      <c r="H17" s="3173" t="s">
        <v>4276</v>
      </c>
      <c r="I17" s="3173"/>
      <c r="J17" s="3174">
        <v>45364</v>
      </c>
      <c r="K17" s="3173" t="s">
        <v>4277</v>
      </c>
      <c r="L17" s="3173" t="s">
        <v>4278</v>
      </c>
      <c r="M17" s="3173" t="s">
        <v>4279</v>
      </c>
      <c r="N17" s="3173" t="s">
        <v>4280</v>
      </c>
      <c r="O17" s="3242"/>
      <c r="P17" s="3242">
        <f ca="1">分套结果!$H$19</f>
        <v>80086</v>
      </c>
      <c r="R17" s="3173">
        <v>16</v>
      </c>
      <c r="S17" s="3173" t="s">
        <v>4282</v>
      </c>
      <c r="T17" s="3173"/>
      <c r="U17" s="3173"/>
      <c r="V17" s="3173" t="s">
        <v>4274</v>
      </c>
      <c r="W17" s="3173" t="s">
        <v>4342</v>
      </c>
      <c r="X17" s="3173">
        <v>44.67</v>
      </c>
      <c r="Y17" s="3173" t="s">
        <v>4296</v>
      </c>
      <c r="Z17" s="3173" t="s">
        <v>4282</v>
      </c>
      <c r="AA17" s="3174">
        <v>45276</v>
      </c>
      <c r="AB17" s="3173" t="s">
        <v>4279</v>
      </c>
      <c r="AC17" s="3173" t="s">
        <v>4297</v>
      </c>
      <c r="AD17" s="3173" t="s">
        <v>4279</v>
      </c>
      <c r="AE17" s="3173" t="s">
        <v>4280</v>
      </c>
      <c r="AF17" s="3242">
        <f ca="1">分套结果!AP17</f>
        <v>5845</v>
      </c>
      <c r="AG17" s="3242">
        <f t="shared" ca="1" si="0"/>
        <v>261096.15000000002</v>
      </c>
      <c r="AI17" s="3173">
        <v>16</v>
      </c>
      <c r="AJ17" s="3173" t="s">
        <v>4273</v>
      </c>
      <c r="AK17" s="3173"/>
      <c r="AL17" s="3173"/>
      <c r="AM17" s="3173" t="s">
        <v>4274</v>
      </c>
      <c r="AN17" s="3173" t="s">
        <v>4338</v>
      </c>
      <c r="AO17" s="3173">
        <v>50.34</v>
      </c>
      <c r="AP17" s="3173" t="s">
        <v>4276</v>
      </c>
      <c r="AQ17" s="3173"/>
      <c r="AR17" s="3174">
        <v>45276</v>
      </c>
      <c r="AS17" s="3173" t="s">
        <v>4277</v>
      </c>
      <c r="AT17" s="3173" t="s">
        <v>4278</v>
      </c>
      <c r="AU17" s="3173" t="s">
        <v>4279</v>
      </c>
      <c r="AV17" s="3173" t="s">
        <v>4280</v>
      </c>
      <c r="AW17" s="3180"/>
      <c r="AX17" s="3224">
        <f t="shared" ca="1" si="1"/>
        <v>80086</v>
      </c>
    </row>
    <row r="18" spans="1:50" ht="54">
      <c r="A18" s="3173">
        <v>17</v>
      </c>
      <c r="B18" s="3173">
        <v>20240070009</v>
      </c>
      <c r="C18" s="3173"/>
      <c r="D18" s="3173"/>
      <c r="E18" s="3173" t="s">
        <v>4274</v>
      </c>
      <c r="F18" s="3173" t="s">
        <v>4343</v>
      </c>
      <c r="G18" s="3173">
        <v>39.32</v>
      </c>
      <c r="H18" s="3173" t="s">
        <v>4276</v>
      </c>
      <c r="I18" s="3173"/>
      <c r="J18" s="3174">
        <v>45364</v>
      </c>
      <c r="K18" s="3173" t="s">
        <v>4277</v>
      </c>
      <c r="L18" s="3173" t="s">
        <v>4278</v>
      </c>
      <c r="M18" s="3173" t="s">
        <v>4279</v>
      </c>
      <c r="N18" s="3173" t="s">
        <v>4280</v>
      </c>
      <c r="O18" s="3242"/>
      <c r="P18" s="3242">
        <f ca="1">分套结果!$H$19</f>
        <v>80086</v>
      </c>
      <c r="R18" s="3173">
        <v>17</v>
      </c>
      <c r="S18" s="3173" t="s">
        <v>4282</v>
      </c>
      <c r="T18" s="3173"/>
      <c r="U18" s="3173"/>
      <c r="V18" s="3173" t="s">
        <v>4274</v>
      </c>
      <c r="W18" s="3173" t="s">
        <v>4345</v>
      </c>
      <c r="X18" s="3173">
        <v>44.57</v>
      </c>
      <c r="Y18" s="3173" t="s">
        <v>4296</v>
      </c>
      <c r="Z18" s="3173" t="s">
        <v>4282</v>
      </c>
      <c r="AA18" s="3174">
        <v>45276</v>
      </c>
      <c r="AB18" s="3173" t="s">
        <v>4279</v>
      </c>
      <c r="AC18" s="3173" t="s">
        <v>4297</v>
      </c>
      <c r="AD18" s="3173" t="s">
        <v>4279</v>
      </c>
      <c r="AE18" s="3173" t="s">
        <v>4280</v>
      </c>
      <c r="AF18" s="3242">
        <f ca="1">分套结果!AP18</f>
        <v>5845</v>
      </c>
      <c r="AG18" s="3242">
        <f t="shared" ca="1" si="0"/>
        <v>260511.65</v>
      </c>
      <c r="AI18" s="3173">
        <v>17</v>
      </c>
      <c r="AJ18" s="3173" t="s">
        <v>4273</v>
      </c>
      <c r="AK18" s="3173"/>
      <c r="AL18" s="3173"/>
      <c r="AM18" s="3173" t="s">
        <v>4274</v>
      </c>
      <c r="AN18" s="3173" t="s">
        <v>4341</v>
      </c>
      <c r="AO18" s="3173">
        <v>50.34</v>
      </c>
      <c r="AP18" s="3173" t="s">
        <v>4276</v>
      </c>
      <c r="AQ18" s="3173"/>
      <c r="AR18" s="3174">
        <v>45276</v>
      </c>
      <c r="AS18" s="3173" t="s">
        <v>4277</v>
      </c>
      <c r="AT18" s="3173" t="s">
        <v>4278</v>
      </c>
      <c r="AU18" s="3173" t="s">
        <v>4279</v>
      </c>
      <c r="AV18" s="3173" t="s">
        <v>4280</v>
      </c>
      <c r="AW18" s="3180"/>
      <c r="AX18" s="3224">
        <f t="shared" ca="1" si="1"/>
        <v>80086</v>
      </c>
    </row>
    <row r="19" spans="1:50" ht="54">
      <c r="A19" s="3173">
        <v>18</v>
      </c>
      <c r="B19" s="3173">
        <v>20240070009</v>
      </c>
      <c r="C19" s="3173"/>
      <c r="D19" s="3173"/>
      <c r="E19" s="3173" t="s">
        <v>4274</v>
      </c>
      <c r="F19" s="3173" t="s">
        <v>4346</v>
      </c>
      <c r="G19" s="3173">
        <v>39.32</v>
      </c>
      <c r="H19" s="3173" t="s">
        <v>4276</v>
      </c>
      <c r="I19" s="3173"/>
      <c r="J19" s="3174">
        <v>45364</v>
      </c>
      <c r="K19" s="3173" t="s">
        <v>4277</v>
      </c>
      <c r="L19" s="3173" t="s">
        <v>4278</v>
      </c>
      <c r="M19" s="3173" t="s">
        <v>4279</v>
      </c>
      <c r="N19" s="3173" t="s">
        <v>4280</v>
      </c>
      <c r="O19" s="3242"/>
      <c r="P19" s="3242">
        <f ca="1">分套结果!$H$19</f>
        <v>80086</v>
      </c>
      <c r="R19" s="3173">
        <v>18</v>
      </c>
      <c r="S19" s="3173" t="s">
        <v>4282</v>
      </c>
      <c r="T19" s="3173"/>
      <c r="U19" s="3173"/>
      <c r="V19" s="3173" t="s">
        <v>4274</v>
      </c>
      <c r="W19" s="3173" t="s">
        <v>4348</v>
      </c>
      <c r="X19" s="3173">
        <v>42.72</v>
      </c>
      <c r="Y19" s="3173" t="s">
        <v>4296</v>
      </c>
      <c r="Z19" s="3173" t="s">
        <v>4282</v>
      </c>
      <c r="AA19" s="3174">
        <v>45276</v>
      </c>
      <c r="AB19" s="3173" t="s">
        <v>4279</v>
      </c>
      <c r="AC19" s="3173" t="s">
        <v>4297</v>
      </c>
      <c r="AD19" s="3173" t="s">
        <v>4279</v>
      </c>
      <c r="AE19" s="3173" t="s">
        <v>4280</v>
      </c>
      <c r="AF19" s="3242">
        <f ca="1">分套结果!AP19</f>
        <v>5845</v>
      </c>
      <c r="AG19" s="3242">
        <f t="shared" ca="1" si="0"/>
        <v>249698.4</v>
      </c>
      <c r="AI19" s="3173">
        <v>18</v>
      </c>
      <c r="AJ19" s="3173" t="s">
        <v>4273</v>
      </c>
      <c r="AK19" s="3173"/>
      <c r="AL19" s="3173"/>
      <c r="AM19" s="3173" t="s">
        <v>4274</v>
      </c>
      <c r="AN19" s="3173" t="s">
        <v>4344</v>
      </c>
      <c r="AO19" s="3173">
        <v>50.34</v>
      </c>
      <c r="AP19" s="3173" t="s">
        <v>4276</v>
      </c>
      <c r="AQ19" s="3173"/>
      <c r="AR19" s="3174">
        <v>45276</v>
      </c>
      <c r="AS19" s="3173" t="s">
        <v>4277</v>
      </c>
      <c r="AT19" s="3173" t="s">
        <v>4278</v>
      </c>
      <c r="AU19" s="3173" t="s">
        <v>4279</v>
      </c>
      <c r="AV19" s="3173" t="s">
        <v>4280</v>
      </c>
      <c r="AW19" s="3180"/>
      <c r="AX19" s="3224">
        <f t="shared" ca="1" si="1"/>
        <v>80086</v>
      </c>
    </row>
    <row r="20" spans="1:50" ht="54">
      <c r="A20" s="3173">
        <v>19</v>
      </c>
      <c r="B20" s="3173">
        <v>20240070009</v>
      </c>
      <c r="C20" s="3173"/>
      <c r="D20" s="3173"/>
      <c r="E20" s="3173" t="s">
        <v>4274</v>
      </c>
      <c r="F20" s="3173" t="s">
        <v>4349</v>
      </c>
      <c r="G20" s="3173">
        <v>39.32</v>
      </c>
      <c r="H20" s="3173" t="s">
        <v>4276</v>
      </c>
      <c r="I20" s="3173"/>
      <c r="J20" s="3174">
        <v>45364</v>
      </c>
      <c r="K20" s="3173" t="s">
        <v>4277</v>
      </c>
      <c r="L20" s="3173" t="s">
        <v>4278</v>
      </c>
      <c r="M20" s="3173" t="s">
        <v>4279</v>
      </c>
      <c r="N20" s="3173" t="s">
        <v>4280</v>
      </c>
      <c r="O20" s="3242"/>
      <c r="P20" s="3242">
        <f ca="1">分套结果!$H$19</f>
        <v>80086</v>
      </c>
      <c r="R20" s="3173">
        <v>19</v>
      </c>
      <c r="S20" s="3173" t="s">
        <v>4282</v>
      </c>
      <c r="T20" s="3173"/>
      <c r="U20" s="3173"/>
      <c r="V20" s="3173" t="s">
        <v>4274</v>
      </c>
      <c r="W20" s="3173" t="s">
        <v>4351</v>
      </c>
      <c r="X20" s="3173">
        <v>42.72</v>
      </c>
      <c r="Y20" s="3173" t="s">
        <v>4296</v>
      </c>
      <c r="Z20" s="3173" t="s">
        <v>4282</v>
      </c>
      <c r="AA20" s="3174">
        <v>45276</v>
      </c>
      <c r="AB20" s="3173" t="s">
        <v>4279</v>
      </c>
      <c r="AC20" s="3173" t="s">
        <v>4297</v>
      </c>
      <c r="AD20" s="3173" t="s">
        <v>4279</v>
      </c>
      <c r="AE20" s="3173" t="s">
        <v>4280</v>
      </c>
      <c r="AF20" s="3242">
        <f ca="1">分套结果!AP20</f>
        <v>5845</v>
      </c>
      <c r="AG20" s="3242">
        <f t="shared" ca="1" si="0"/>
        <v>249698.4</v>
      </c>
      <c r="AI20" s="3173">
        <v>19</v>
      </c>
      <c r="AJ20" s="3173" t="s">
        <v>4273</v>
      </c>
      <c r="AK20" s="3173"/>
      <c r="AL20" s="3173"/>
      <c r="AM20" s="3173" t="s">
        <v>4274</v>
      </c>
      <c r="AN20" s="3173" t="s">
        <v>4347</v>
      </c>
      <c r="AO20" s="3173">
        <v>50.34</v>
      </c>
      <c r="AP20" s="3173" t="s">
        <v>4276</v>
      </c>
      <c r="AQ20" s="3173"/>
      <c r="AR20" s="3174">
        <v>45276</v>
      </c>
      <c r="AS20" s="3173" t="s">
        <v>4277</v>
      </c>
      <c r="AT20" s="3173" t="s">
        <v>4278</v>
      </c>
      <c r="AU20" s="3173" t="s">
        <v>4279</v>
      </c>
      <c r="AV20" s="3173" t="s">
        <v>4280</v>
      </c>
      <c r="AW20" s="3180"/>
      <c r="AX20" s="3224">
        <f t="shared" ca="1" si="1"/>
        <v>80086</v>
      </c>
    </row>
    <row r="21" spans="1:50" ht="54">
      <c r="A21" s="3173">
        <v>20</v>
      </c>
      <c r="B21" s="3173">
        <v>20240070009</v>
      </c>
      <c r="C21" s="3173"/>
      <c r="D21" s="3173"/>
      <c r="E21" s="3173" t="s">
        <v>4274</v>
      </c>
      <c r="F21" s="3173" t="s">
        <v>4352</v>
      </c>
      <c r="G21" s="3173">
        <v>39.32</v>
      </c>
      <c r="H21" s="3173" t="s">
        <v>4276</v>
      </c>
      <c r="I21" s="3173"/>
      <c r="J21" s="3174">
        <v>45364</v>
      </c>
      <c r="K21" s="3173" t="s">
        <v>4277</v>
      </c>
      <c r="L21" s="3173" t="s">
        <v>4278</v>
      </c>
      <c r="M21" s="3173" t="s">
        <v>4279</v>
      </c>
      <c r="N21" s="3173" t="s">
        <v>4280</v>
      </c>
      <c r="O21" s="3242"/>
      <c r="P21" s="3242">
        <f ca="1">分套结果!$H$19</f>
        <v>80086</v>
      </c>
      <c r="R21" s="3173">
        <v>20</v>
      </c>
      <c r="S21" s="3173" t="s">
        <v>4282</v>
      </c>
      <c r="T21" s="3173"/>
      <c r="U21" s="3173"/>
      <c r="V21" s="3173" t="s">
        <v>4274</v>
      </c>
      <c r="W21" s="3173" t="s">
        <v>4354</v>
      </c>
      <c r="X21" s="3173">
        <v>42.72</v>
      </c>
      <c r="Y21" s="3173" t="s">
        <v>4296</v>
      </c>
      <c r="Z21" s="3173" t="s">
        <v>4282</v>
      </c>
      <c r="AA21" s="3174">
        <v>45276</v>
      </c>
      <c r="AB21" s="3173" t="s">
        <v>4279</v>
      </c>
      <c r="AC21" s="3173" t="s">
        <v>4297</v>
      </c>
      <c r="AD21" s="3173" t="s">
        <v>4279</v>
      </c>
      <c r="AE21" s="3173" t="s">
        <v>4280</v>
      </c>
      <c r="AF21" s="3242">
        <f ca="1">分套结果!AP21</f>
        <v>5845</v>
      </c>
      <c r="AG21" s="3242">
        <f t="shared" ca="1" si="0"/>
        <v>249698.4</v>
      </c>
      <c r="AI21" s="3173">
        <v>20</v>
      </c>
      <c r="AJ21" s="3173" t="s">
        <v>4273</v>
      </c>
      <c r="AK21" s="3173"/>
      <c r="AL21" s="3173"/>
      <c r="AM21" s="3173" t="s">
        <v>4274</v>
      </c>
      <c r="AN21" s="3173" t="s">
        <v>4350</v>
      </c>
      <c r="AO21" s="3173">
        <v>50.34</v>
      </c>
      <c r="AP21" s="3173" t="s">
        <v>4276</v>
      </c>
      <c r="AQ21" s="3173"/>
      <c r="AR21" s="3174">
        <v>45276</v>
      </c>
      <c r="AS21" s="3173" t="s">
        <v>4277</v>
      </c>
      <c r="AT21" s="3173" t="s">
        <v>4278</v>
      </c>
      <c r="AU21" s="3173" t="s">
        <v>4279</v>
      </c>
      <c r="AV21" s="3173" t="s">
        <v>4280</v>
      </c>
      <c r="AW21" s="3180"/>
      <c r="AX21" s="3224">
        <f t="shared" ca="1" si="1"/>
        <v>80086</v>
      </c>
    </row>
    <row r="22" spans="1:50" ht="54">
      <c r="A22" s="3173">
        <v>21</v>
      </c>
      <c r="B22" s="3173">
        <v>20240070009</v>
      </c>
      <c r="C22" s="3173"/>
      <c r="D22" s="3173"/>
      <c r="E22" s="3173" t="s">
        <v>4274</v>
      </c>
      <c r="F22" s="3173" t="s">
        <v>4355</v>
      </c>
      <c r="G22" s="3173">
        <v>39.32</v>
      </c>
      <c r="H22" s="3173" t="s">
        <v>4276</v>
      </c>
      <c r="I22" s="3173"/>
      <c r="J22" s="3174">
        <v>45364</v>
      </c>
      <c r="K22" s="3173" t="s">
        <v>4277</v>
      </c>
      <c r="L22" s="3173" t="s">
        <v>4278</v>
      </c>
      <c r="M22" s="3173" t="s">
        <v>4279</v>
      </c>
      <c r="N22" s="3173" t="s">
        <v>4280</v>
      </c>
      <c r="O22" s="3242"/>
      <c r="P22" s="3242">
        <f ca="1">分套结果!$H$19</f>
        <v>80086</v>
      </c>
      <c r="R22" s="3173">
        <v>21</v>
      </c>
      <c r="S22" s="3173" t="s">
        <v>4282</v>
      </c>
      <c r="T22" s="3173"/>
      <c r="U22" s="3173"/>
      <c r="V22" s="3173" t="s">
        <v>4274</v>
      </c>
      <c r="W22" s="3173" t="s">
        <v>4357</v>
      </c>
      <c r="X22" s="3173">
        <v>42.72</v>
      </c>
      <c r="Y22" s="3173" t="s">
        <v>4296</v>
      </c>
      <c r="Z22" s="3173" t="s">
        <v>4282</v>
      </c>
      <c r="AA22" s="3174">
        <v>45276</v>
      </c>
      <c r="AB22" s="3173" t="s">
        <v>4279</v>
      </c>
      <c r="AC22" s="3173" t="s">
        <v>4297</v>
      </c>
      <c r="AD22" s="3173" t="s">
        <v>4279</v>
      </c>
      <c r="AE22" s="3173" t="s">
        <v>4280</v>
      </c>
      <c r="AF22" s="3242">
        <f ca="1">分套结果!AP22</f>
        <v>5845</v>
      </c>
      <c r="AG22" s="3242">
        <f t="shared" ca="1" si="0"/>
        <v>249698.4</v>
      </c>
      <c r="AI22" s="3173">
        <v>21</v>
      </c>
      <c r="AJ22" s="3173" t="s">
        <v>4273</v>
      </c>
      <c r="AK22" s="3173"/>
      <c r="AL22" s="3173"/>
      <c r="AM22" s="3173" t="s">
        <v>4274</v>
      </c>
      <c r="AN22" s="3173" t="s">
        <v>4353</v>
      </c>
      <c r="AO22" s="3173">
        <v>49.3</v>
      </c>
      <c r="AP22" s="3173" t="s">
        <v>4276</v>
      </c>
      <c r="AQ22" s="3173"/>
      <c r="AR22" s="3174">
        <v>45276</v>
      </c>
      <c r="AS22" s="3173" t="s">
        <v>4277</v>
      </c>
      <c r="AT22" s="3173" t="s">
        <v>4278</v>
      </c>
      <c r="AU22" s="3173" t="s">
        <v>4279</v>
      </c>
      <c r="AV22" s="3173" t="s">
        <v>4280</v>
      </c>
      <c r="AW22" s="3180"/>
      <c r="AX22" s="3224">
        <f t="shared" ca="1" si="1"/>
        <v>80086</v>
      </c>
    </row>
    <row r="23" spans="1:50" ht="54">
      <c r="A23" s="3173">
        <v>22</v>
      </c>
      <c r="B23" s="3173">
        <v>20240070009</v>
      </c>
      <c r="C23" s="3173"/>
      <c r="D23" s="3173"/>
      <c r="E23" s="3173" t="s">
        <v>4274</v>
      </c>
      <c r="F23" s="3173" t="s">
        <v>4358</v>
      </c>
      <c r="G23" s="3173">
        <v>39.32</v>
      </c>
      <c r="H23" s="3173" t="s">
        <v>4276</v>
      </c>
      <c r="I23" s="3173"/>
      <c r="J23" s="3174">
        <v>45364</v>
      </c>
      <c r="K23" s="3173" t="s">
        <v>4277</v>
      </c>
      <c r="L23" s="3173" t="s">
        <v>4278</v>
      </c>
      <c r="M23" s="3173" t="s">
        <v>4279</v>
      </c>
      <c r="N23" s="3173" t="s">
        <v>4280</v>
      </c>
      <c r="O23" s="3242"/>
      <c r="P23" s="3242">
        <f ca="1">分套结果!$H$19</f>
        <v>80086</v>
      </c>
      <c r="R23" s="3173">
        <v>22</v>
      </c>
      <c r="S23" s="3173" t="s">
        <v>4282</v>
      </c>
      <c r="T23" s="3173"/>
      <c r="U23" s="3173"/>
      <c r="V23" s="3173" t="s">
        <v>4274</v>
      </c>
      <c r="W23" s="3173" t="s">
        <v>4360</v>
      </c>
      <c r="X23" s="3173">
        <v>42.72</v>
      </c>
      <c r="Y23" s="3173" t="s">
        <v>4296</v>
      </c>
      <c r="Z23" s="3173" t="s">
        <v>4282</v>
      </c>
      <c r="AA23" s="3174">
        <v>45276</v>
      </c>
      <c r="AB23" s="3173" t="s">
        <v>4279</v>
      </c>
      <c r="AC23" s="3173" t="s">
        <v>4297</v>
      </c>
      <c r="AD23" s="3173" t="s">
        <v>4279</v>
      </c>
      <c r="AE23" s="3173" t="s">
        <v>4280</v>
      </c>
      <c r="AF23" s="3242">
        <f ca="1">分套结果!AP23</f>
        <v>5845</v>
      </c>
      <c r="AG23" s="3242">
        <f t="shared" ca="1" si="0"/>
        <v>249698.4</v>
      </c>
      <c r="AI23" s="3173">
        <v>22</v>
      </c>
      <c r="AJ23" s="3173" t="s">
        <v>4273</v>
      </c>
      <c r="AK23" s="3173"/>
      <c r="AL23" s="3173"/>
      <c r="AM23" s="3173" t="s">
        <v>4274</v>
      </c>
      <c r="AN23" s="3173" t="s">
        <v>4356</v>
      </c>
      <c r="AO23" s="3173">
        <v>49.3</v>
      </c>
      <c r="AP23" s="3173" t="s">
        <v>4276</v>
      </c>
      <c r="AQ23" s="3173"/>
      <c r="AR23" s="3174">
        <v>45276</v>
      </c>
      <c r="AS23" s="3173" t="s">
        <v>4277</v>
      </c>
      <c r="AT23" s="3173" t="s">
        <v>4278</v>
      </c>
      <c r="AU23" s="3173" t="s">
        <v>4279</v>
      </c>
      <c r="AV23" s="3173" t="s">
        <v>4280</v>
      </c>
      <c r="AW23" s="3180"/>
      <c r="AX23" s="3224">
        <f t="shared" ca="1" si="1"/>
        <v>80086</v>
      </c>
    </row>
    <row r="24" spans="1:50" ht="54">
      <c r="A24" s="3173">
        <v>23</v>
      </c>
      <c r="B24" s="3173">
        <v>20240070009</v>
      </c>
      <c r="C24" s="3173"/>
      <c r="D24" s="3173"/>
      <c r="E24" s="3173" t="s">
        <v>4274</v>
      </c>
      <c r="F24" s="3173" t="s">
        <v>4361</v>
      </c>
      <c r="G24" s="3173">
        <v>39.32</v>
      </c>
      <c r="H24" s="3173" t="s">
        <v>4276</v>
      </c>
      <c r="I24" s="3173"/>
      <c r="J24" s="3174">
        <v>45364</v>
      </c>
      <c r="K24" s="3173" t="s">
        <v>4277</v>
      </c>
      <c r="L24" s="3173" t="s">
        <v>4278</v>
      </c>
      <c r="M24" s="3173" t="s">
        <v>4279</v>
      </c>
      <c r="N24" s="3173" t="s">
        <v>4280</v>
      </c>
      <c r="O24" s="3242"/>
      <c r="P24" s="3242">
        <f ca="1">分套结果!$H$19</f>
        <v>80086</v>
      </c>
      <c r="R24" s="3173">
        <v>23</v>
      </c>
      <c r="S24" s="3173" t="s">
        <v>4282</v>
      </c>
      <c r="T24" s="3173"/>
      <c r="U24" s="3173"/>
      <c r="V24" s="3173" t="s">
        <v>4274</v>
      </c>
      <c r="W24" s="3173" t="s">
        <v>4363</v>
      </c>
      <c r="X24" s="3173">
        <v>42.72</v>
      </c>
      <c r="Y24" s="3173" t="s">
        <v>4296</v>
      </c>
      <c r="Z24" s="3173" t="s">
        <v>4282</v>
      </c>
      <c r="AA24" s="3174">
        <v>45276</v>
      </c>
      <c r="AB24" s="3173" t="s">
        <v>4279</v>
      </c>
      <c r="AC24" s="3173" t="s">
        <v>4297</v>
      </c>
      <c r="AD24" s="3173" t="s">
        <v>4279</v>
      </c>
      <c r="AE24" s="3173" t="s">
        <v>4280</v>
      </c>
      <c r="AF24" s="3242">
        <f ca="1">分套结果!AP24</f>
        <v>5845</v>
      </c>
      <c r="AG24" s="3242">
        <f t="shared" ca="1" si="0"/>
        <v>249698.4</v>
      </c>
      <c r="AI24" s="3173">
        <v>23</v>
      </c>
      <c r="AJ24" s="3173" t="s">
        <v>4273</v>
      </c>
      <c r="AK24" s="3173"/>
      <c r="AL24" s="3173"/>
      <c r="AM24" s="3173" t="s">
        <v>4274</v>
      </c>
      <c r="AN24" s="3173" t="s">
        <v>4359</v>
      </c>
      <c r="AO24" s="3173">
        <v>50.34</v>
      </c>
      <c r="AP24" s="3173" t="s">
        <v>4276</v>
      </c>
      <c r="AQ24" s="3173"/>
      <c r="AR24" s="3174">
        <v>45276</v>
      </c>
      <c r="AS24" s="3173" t="s">
        <v>4277</v>
      </c>
      <c r="AT24" s="3173" t="s">
        <v>4278</v>
      </c>
      <c r="AU24" s="3173" t="s">
        <v>4279</v>
      </c>
      <c r="AV24" s="3173" t="s">
        <v>4280</v>
      </c>
      <c r="AW24" s="3180"/>
      <c r="AX24" s="3224">
        <f t="shared" ca="1" si="1"/>
        <v>80086</v>
      </c>
    </row>
    <row r="25" spans="1:50" ht="54">
      <c r="A25" s="3173">
        <v>24</v>
      </c>
      <c r="B25" s="3173">
        <v>20240070009</v>
      </c>
      <c r="C25" s="3173"/>
      <c r="D25" s="3173"/>
      <c r="E25" s="3173" t="s">
        <v>4274</v>
      </c>
      <c r="F25" s="3173" t="s">
        <v>4364</v>
      </c>
      <c r="G25" s="3173">
        <v>39.32</v>
      </c>
      <c r="H25" s="3173" t="s">
        <v>4276</v>
      </c>
      <c r="I25" s="3173"/>
      <c r="J25" s="3174">
        <v>45364</v>
      </c>
      <c r="K25" s="3173" t="s">
        <v>4277</v>
      </c>
      <c r="L25" s="3173" t="s">
        <v>4278</v>
      </c>
      <c r="M25" s="3173" t="s">
        <v>4279</v>
      </c>
      <c r="N25" s="3173" t="s">
        <v>4280</v>
      </c>
      <c r="O25" s="3242"/>
      <c r="P25" s="3242">
        <f ca="1">分套结果!$H$19</f>
        <v>80086</v>
      </c>
      <c r="R25" s="3173">
        <v>24</v>
      </c>
      <c r="S25" s="3173" t="s">
        <v>4282</v>
      </c>
      <c r="T25" s="3173"/>
      <c r="U25" s="3173"/>
      <c r="V25" s="3173" t="s">
        <v>4274</v>
      </c>
      <c r="W25" s="3173" t="s">
        <v>4366</v>
      </c>
      <c r="X25" s="3173">
        <v>42.72</v>
      </c>
      <c r="Y25" s="3173" t="s">
        <v>4296</v>
      </c>
      <c r="Z25" s="3173" t="s">
        <v>4282</v>
      </c>
      <c r="AA25" s="3174">
        <v>45276</v>
      </c>
      <c r="AB25" s="3173" t="s">
        <v>4279</v>
      </c>
      <c r="AC25" s="3173" t="s">
        <v>4297</v>
      </c>
      <c r="AD25" s="3173" t="s">
        <v>4279</v>
      </c>
      <c r="AE25" s="3173" t="s">
        <v>4280</v>
      </c>
      <c r="AF25" s="3242">
        <f ca="1">分套结果!AP25</f>
        <v>5845</v>
      </c>
      <c r="AG25" s="3242">
        <f t="shared" ca="1" si="0"/>
        <v>249698.4</v>
      </c>
      <c r="AI25" s="3173">
        <v>24</v>
      </c>
      <c r="AJ25" s="3173" t="s">
        <v>4273</v>
      </c>
      <c r="AK25" s="3173"/>
      <c r="AL25" s="3173"/>
      <c r="AM25" s="3173" t="s">
        <v>4274</v>
      </c>
      <c r="AN25" s="3173" t="s">
        <v>4362</v>
      </c>
      <c r="AO25" s="3173">
        <v>50.34</v>
      </c>
      <c r="AP25" s="3173" t="s">
        <v>4276</v>
      </c>
      <c r="AQ25" s="3173"/>
      <c r="AR25" s="3174">
        <v>45276</v>
      </c>
      <c r="AS25" s="3173" t="s">
        <v>4277</v>
      </c>
      <c r="AT25" s="3173" t="s">
        <v>4278</v>
      </c>
      <c r="AU25" s="3173" t="s">
        <v>4279</v>
      </c>
      <c r="AV25" s="3173" t="s">
        <v>4280</v>
      </c>
      <c r="AW25" s="3180"/>
      <c r="AX25" s="3224">
        <f t="shared" ca="1" si="1"/>
        <v>80086</v>
      </c>
    </row>
    <row r="26" spans="1:50" ht="54">
      <c r="A26" s="3173">
        <v>25</v>
      </c>
      <c r="B26" s="3173">
        <v>20240070009</v>
      </c>
      <c r="C26" s="3173"/>
      <c r="D26" s="3173"/>
      <c r="E26" s="3173" t="s">
        <v>4274</v>
      </c>
      <c r="F26" s="3173" t="s">
        <v>4367</v>
      </c>
      <c r="G26" s="3173">
        <v>39.32</v>
      </c>
      <c r="H26" s="3173" t="s">
        <v>4276</v>
      </c>
      <c r="I26" s="3173"/>
      <c r="J26" s="3174">
        <v>45364</v>
      </c>
      <c r="K26" s="3173" t="s">
        <v>4277</v>
      </c>
      <c r="L26" s="3173" t="s">
        <v>4278</v>
      </c>
      <c r="M26" s="3173" t="s">
        <v>4279</v>
      </c>
      <c r="N26" s="3173" t="s">
        <v>4280</v>
      </c>
      <c r="O26" s="3242"/>
      <c r="P26" s="3242">
        <f ca="1">分套结果!$H$19</f>
        <v>80086</v>
      </c>
      <c r="R26" s="3173">
        <v>25</v>
      </c>
      <c r="S26" s="3173" t="s">
        <v>4282</v>
      </c>
      <c r="T26" s="3173"/>
      <c r="U26" s="3173"/>
      <c r="V26" s="3173" t="s">
        <v>4274</v>
      </c>
      <c r="W26" s="3173" t="s">
        <v>4369</v>
      </c>
      <c r="X26" s="3173">
        <v>42.72</v>
      </c>
      <c r="Y26" s="3173" t="s">
        <v>4296</v>
      </c>
      <c r="Z26" s="3173" t="s">
        <v>4282</v>
      </c>
      <c r="AA26" s="3174">
        <v>45276</v>
      </c>
      <c r="AB26" s="3173" t="s">
        <v>4279</v>
      </c>
      <c r="AC26" s="3173" t="s">
        <v>4297</v>
      </c>
      <c r="AD26" s="3173" t="s">
        <v>4279</v>
      </c>
      <c r="AE26" s="3173" t="s">
        <v>4280</v>
      </c>
      <c r="AF26" s="3242">
        <f ca="1">分套结果!AP26</f>
        <v>5845</v>
      </c>
      <c r="AG26" s="3242">
        <f t="shared" ca="1" si="0"/>
        <v>249698.4</v>
      </c>
      <c r="AI26" s="3173">
        <v>25</v>
      </c>
      <c r="AJ26" s="3173" t="s">
        <v>4273</v>
      </c>
      <c r="AK26" s="3173"/>
      <c r="AL26" s="3173"/>
      <c r="AM26" s="3173" t="s">
        <v>4274</v>
      </c>
      <c r="AN26" s="3173" t="s">
        <v>4365</v>
      </c>
      <c r="AO26" s="3173">
        <v>50.34</v>
      </c>
      <c r="AP26" s="3173" t="s">
        <v>4276</v>
      </c>
      <c r="AQ26" s="3173"/>
      <c r="AR26" s="3174">
        <v>45276</v>
      </c>
      <c r="AS26" s="3173" t="s">
        <v>4277</v>
      </c>
      <c r="AT26" s="3173" t="s">
        <v>4278</v>
      </c>
      <c r="AU26" s="3173" t="s">
        <v>4279</v>
      </c>
      <c r="AV26" s="3173" t="s">
        <v>4280</v>
      </c>
      <c r="AW26" s="3180"/>
      <c r="AX26" s="3224">
        <f t="shared" ca="1" si="1"/>
        <v>80086</v>
      </c>
    </row>
    <row r="27" spans="1:50" ht="54">
      <c r="A27" s="3173">
        <v>26</v>
      </c>
      <c r="B27" s="3173">
        <v>20240070009</v>
      </c>
      <c r="C27" s="3173"/>
      <c r="D27" s="3173"/>
      <c r="E27" s="3173" t="s">
        <v>4274</v>
      </c>
      <c r="F27" s="3173" t="s">
        <v>4370</v>
      </c>
      <c r="G27" s="3173">
        <v>39.32</v>
      </c>
      <c r="H27" s="3173" t="s">
        <v>4276</v>
      </c>
      <c r="I27" s="3173"/>
      <c r="J27" s="3174">
        <v>45364</v>
      </c>
      <c r="K27" s="3173" t="s">
        <v>4277</v>
      </c>
      <c r="L27" s="3173" t="s">
        <v>4278</v>
      </c>
      <c r="M27" s="3173" t="s">
        <v>4279</v>
      </c>
      <c r="N27" s="3173" t="s">
        <v>4280</v>
      </c>
      <c r="O27" s="3242"/>
      <c r="P27" s="3242">
        <f ca="1">分套结果!$H$19</f>
        <v>80086</v>
      </c>
      <c r="R27" s="3173">
        <v>26</v>
      </c>
      <c r="S27" s="3173" t="s">
        <v>4282</v>
      </c>
      <c r="T27" s="3173"/>
      <c r="U27" s="3173"/>
      <c r="V27" s="3173" t="s">
        <v>4274</v>
      </c>
      <c r="W27" s="3173" t="s">
        <v>4372</v>
      </c>
      <c r="X27" s="3173">
        <v>44.57</v>
      </c>
      <c r="Y27" s="3173" t="s">
        <v>4296</v>
      </c>
      <c r="Z27" s="3173" t="s">
        <v>4282</v>
      </c>
      <c r="AA27" s="3174">
        <v>45276</v>
      </c>
      <c r="AB27" s="3173" t="s">
        <v>4279</v>
      </c>
      <c r="AC27" s="3173" t="s">
        <v>4297</v>
      </c>
      <c r="AD27" s="3173" t="s">
        <v>4279</v>
      </c>
      <c r="AE27" s="3173" t="s">
        <v>4280</v>
      </c>
      <c r="AF27" s="3242">
        <f ca="1">分套结果!AP27</f>
        <v>5845</v>
      </c>
      <c r="AG27" s="3242">
        <f t="shared" ca="1" si="0"/>
        <v>260511.65</v>
      </c>
      <c r="AI27" s="3173">
        <v>26</v>
      </c>
      <c r="AJ27" s="3173" t="s">
        <v>4273</v>
      </c>
      <c r="AK27" s="3173"/>
      <c r="AL27" s="3173"/>
      <c r="AM27" s="3173" t="s">
        <v>4274</v>
      </c>
      <c r="AN27" s="3173" t="s">
        <v>4368</v>
      </c>
      <c r="AO27" s="3173">
        <v>50.34</v>
      </c>
      <c r="AP27" s="3173" t="s">
        <v>4276</v>
      </c>
      <c r="AQ27" s="3173"/>
      <c r="AR27" s="3174">
        <v>45276</v>
      </c>
      <c r="AS27" s="3173" t="s">
        <v>4277</v>
      </c>
      <c r="AT27" s="3173" t="s">
        <v>4278</v>
      </c>
      <c r="AU27" s="3173" t="s">
        <v>4279</v>
      </c>
      <c r="AV27" s="3173" t="s">
        <v>4280</v>
      </c>
      <c r="AW27" s="3180"/>
      <c r="AX27" s="3224">
        <f t="shared" ca="1" si="1"/>
        <v>80086</v>
      </c>
    </row>
    <row r="28" spans="1:50" ht="54">
      <c r="A28" s="3173">
        <v>27</v>
      </c>
      <c r="B28" s="3173">
        <v>20240070009</v>
      </c>
      <c r="C28" s="3173"/>
      <c r="D28" s="3173"/>
      <c r="E28" s="3173" t="s">
        <v>4274</v>
      </c>
      <c r="F28" s="3173" t="s">
        <v>4373</v>
      </c>
      <c r="G28" s="3173">
        <v>39.32</v>
      </c>
      <c r="H28" s="3173" t="s">
        <v>4276</v>
      </c>
      <c r="I28" s="3173"/>
      <c r="J28" s="3174">
        <v>45364</v>
      </c>
      <c r="K28" s="3173" t="s">
        <v>4277</v>
      </c>
      <c r="L28" s="3173" t="s">
        <v>4278</v>
      </c>
      <c r="M28" s="3173" t="s">
        <v>4279</v>
      </c>
      <c r="N28" s="3173" t="s">
        <v>4280</v>
      </c>
      <c r="O28" s="3242"/>
      <c r="P28" s="3242">
        <f ca="1">分套结果!$H$19</f>
        <v>80086</v>
      </c>
      <c r="R28" s="3173">
        <v>27</v>
      </c>
      <c r="S28" s="3173" t="s">
        <v>4282</v>
      </c>
      <c r="T28" s="3173"/>
      <c r="U28" s="3173"/>
      <c r="V28" s="3173" t="s">
        <v>4274</v>
      </c>
      <c r="W28" s="3173" t="s">
        <v>4375</v>
      </c>
      <c r="X28" s="3173">
        <v>44.67</v>
      </c>
      <c r="Y28" s="3173" t="s">
        <v>4296</v>
      </c>
      <c r="Z28" s="3173" t="s">
        <v>4282</v>
      </c>
      <c r="AA28" s="3174">
        <v>45276</v>
      </c>
      <c r="AB28" s="3173" t="s">
        <v>4279</v>
      </c>
      <c r="AC28" s="3173" t="s">
        <v>4297</v>
      </c>
      <c r="AD28" s="3173" t="s">
        <v>4279</v>
      </c>
      <c r="AE28" s="3173" t="s">
        <v>4280</v>
      </c>
      <c r="AF28" s="3242">
        <f ca="1">分套结果!AP28</f>
        <v>5845</v>
      </c>
      <c r="AG28" s="3242">
        <f t="shared" ca="1" si="0"/>
        <v>261096.15000000002</v>
      </c>
      <c r="AI28" s="3173">
        <v>27</v>
      </c>
      <c r="AJ28" s="3173" t="s">
        <v>4273</v>
      </c>
      <c r="AK28" s="3173"/>
      <c r="AL28" s="3173"/>
      <c r="AM28" s="3173" t="s">
        <v>4274</v>
      </c>
      <c r="AN28" s="3173" t="s">
        <v>4371</v>
      </c>
      <c r="AO28" s="3173">
        <v>50.34</v>
      </c>
      <c r="AP28" s="3173" t="s">
        <v>4276</v>
      </c>
      <c r="AQ28" s="3173"/>
      <c r="AR28" s="3174">
        <v>45276</v>
      </c>
      <c r="AS28" s="3173" t="s">
        <v>4277</v>
      </c>
      <c r="AT28" s="3173" t="s">
        <v>4278</v>
      </c>
      <c r="AU28" s="3173" t="s">
        <v>4279</v>
      </c>
      <c r="AV28" s="3173" t="s">
        <v>4280</v>
      </c>
      <c r="AW28" s="3180"/>
      <c r="AX28" s="3224">
        <f t="shared" ca="1" si="1"/>
        <v>80086</v>
      </c>
    </row>
    <row r="29" spans="1:50" ht="54">
      <c r="A29" s="3173">
        <v>28</v>
      </c>
      <c r="B29" s="3173">
        <v>20240070009</v>
      </c>
      <c r="C29" s="3173"/>
      <c r="D29" s="3173"/>
      <c r="E29" s="3173" t="s">
        <v>4274</v>
      </c>
      <c r="F29" s="3173" t="s">
        <v>4376</v>
      </c>
      <c r="G29" s="3173">
        <v>39.32</v>
      </c>
      <c r="H29" s="3173" t="s">
        <v>4276</v>
      </c>
      <c r="I29" s="3173"/>
      <c r="J29" s="3174">
        <v>45364</v>
      </c>
      <c r="K29" s="3173" t="s">
        <v>4277</v>
      </c>
      <c r="L29" s="3173" t="s">
        <v>4278</v>
      </c>
      <c r="M29" s="3173" t="s">
        <v>4279</v>
      </c>
      <c r="N29" s="3173" t="s">
        <v>4280</v>
      </c>
      <c r="O29" s="3242"/>
      <c r="P29" s="3242">
        <f ca="1">分套结果!$H$19</f>
        <v>80086</v>
      </c>
      <c r="R29" s="3173">
        <v>28</v>
      </c>
      <c r="S29" s="3173" t="s">
        <v>4282</v>
      </c>
      <c r="T29" s="3173"/>
      <c r="U29" s="3173"/>
      <c r="V29" s="3173" t="s">
        <v>4274</v>
      </c>
      <c r="W29" s="3173" t="s">
        <v>4378</v>
      </c>
      <c r="X29" s="3173">
        <v>42.72</v>
      </c>
      <c r="Y29" s="3173" t="s">
        <v>4296</v>
      </c>
      <c r="Z29" s="3173" t="s">
        <v>4282</v>
      </c>
      <c r="AA29" s="3174">
        <v>45276</v>
      </c>
      <c r="AB29" s="3173" t="s">
        <v>4279</v>
      </c>
      <c r="AC29" s="3173" t="s">
        <v>4297</v>
      </c>
      <c r="AD29" s="3173" t="s">
        <v>4279</v>
      </c>
      <c r="AE29" s="3173" t="s">
        <v>4280</v>
      </c>
      <c r="AF29" s="3242">
        <f ca="1">分套结果!AP29</f>
        <v>5845</v>
      </c>
      <c r="AG29" s="3242">
        <f t="shared" ca="1" si="0"/>
        <v>249698.4</v>
      </c>
      <c r="AI29" s="3173">
        <v>28</v>
      </c>
      <c r="AJ29" s="3173" t="s">
        <v>4273</v>
      </c>
      <c r="AK29" s="3173"/>
      <c r="AL29" s="3173"/>
      <c r="AM29" s="3173" t="s">
        <v>4274</v>
      </c>
      <c r="AN29" s="3173" t="s">
        <v>4374</v>
      </c>
      <c r="AO29" s="3173">
        <v>50.34</v>
      </c>
      <c r="AP29" s="3173" t="s">
        <v>4276</v>
      </c>
      <c r="AQ29" s="3173"/>
      <c r="AR29" s="3174">
        <v>45276</v>
      </c>
      <c r="AS29" s="3173" t="s">
        <v>4277</v>
      </c>
      <c r="AT29" s="3173" t="s">
        <v>4278</v>
      </c>
      <c r="AU29" s="3173" t="s">
        <v>4279</v>
      </c>
      <c r="AV29" s="3173" t="s">
        <v>4280</v>
      </c>
      <c r="AW29" s="3180"/>
      <c r="AX29" s="3224">
        <f t="shared" ca="1" si="1"/>
        <v>80086</v>
      </c>
    </row>
    <row r="30" spans="1:50" ht="54">
      <c r="A30" s="3173">
        <v>29</v>
      </c>
      <c r="B30" s="3173">
        <v>20240070009</v>
      </c>
      <c r="C30" s="3173"/>
      <c r="D30" s="3173"/>
      <c r="E30" s="3173" t="s">
        <v>4274</v>
      </c>
      <c r="F30" s="3173" t="s">
        <v>4379</v>
      </c>
      <c r="G30" s="3173">
        <v>39.32</v>
      </c>
      <c r="H30" s="3173" t="s">
        <v>4276</v>
      </c>
      <c r="I30" s="3173"/>
      <c r="J30" s="3174">
        <v>45364</v>
      </c>
      <c r="K30" s="3173" t="s">
        <v>4277</v>
      </c>
      <c r="L30" s="3173" t="s">
        <v>4278</v>
      </c>
      <c r="M30" s="3173" t="s">
        <v>4279</v>
      </c>
      <c r="N30" s="3173" t="s">
        <v>4280</v>
      </c>
      <c r="O30" s="3242"/>
      <c r="P30" s="3242">
        <f ca="1">分套结果!$H$19</f>
        <v>80086</v>
      </c>
      <c r="R30" s="3173">
        <v>29</v>
      </c>
      <c r="S30" s="3173" t="s">
        <v>4282</v>
      </c>
      <c r="T30" s="3173"/>
      <c r="U30" s="3173"/>
      <c r="V30" s="3173" t="s">
        <v>4274</v>
      </c>
      <c r="W30" s="3173" t="s">
        <v>4381</v>
      </c>
      <c r="X30" s="3173">
        <v>42.72</v>
      </c>
      <c r="Y30" s="3173" t="s">
        <v>4296</v>
      </c>
      <c r="Z30" s="3173" t="s">
        <v>4282</v>
      </c>
      <c r="AA30" s="3174">
        <v>45276</v>
      </c>
      <c r="AB30" s="3173" t="s">
        <v>4279</v>
      </c>
      <c r="AC30" s="3173" t="s">
        <v>4297</v>
      </c>
      <c r="AD30" s="3173" t="s">
        <v>4279</v>
      </c>
      <c r="AE30" s="3173" t="s">
        <v>4280</v>
      </c>
      <c r="AF30" s="3242">
        <f ca="1">分套结果!AP30</f>
        <v>5845</v>
      </c>
      <c r="AG30" s="3242">
        <f t="shared" ca="1" si="0"/>
        <v>249698.4</v>
      </c>
      <c r="AI30" s="3173">
        <v>29</v>
      </c>
      <c r="AJ30" s="3173" t="s">
        <v>4273</v>
      </c>
      <c r="AK30" s="3173"/>
      <c r="AL30" s="3173"/>
      <c r="AM30" s="3173" t="s">
        <v>4274</v>
      </c>
      <c r="AN30" s="3173" t="s">
        <v>4377</v>
      </c>
      <c r="AO30" s="3173">
        <v>50.34</v>
      </c>
      <c r="AP30" s="3173" t="s">
        <v>4276</v>
      </c>
      <c r="AQ30" s="3173"/>
      <c r="AR30" s="3174">
        <v>45276</v>
      </c>
      <c r="AS30" s="3173" t="s">
        <v>4277</v>
      </c>
      <c r="AT30" s="3173" t="s">
        <v>4278</v>
      </c>
      <c r="AU30" s="3173" t="s">
        <v>4279</v>
      </c>
      <c r="AV30" s="3173" t="s">
        <v>4280</v>
      </c>
      <c r="AW30" s="3180"/>
      <c r="AX30" s="3224">
        <f t="shared" ca="1" si="1"/>
        <v>80086</v>
      </c>
    </row>
    <row r="31" spans="1:50" ht="54">
      <c r="A31" s="3173">
        <v>30</v>
      </c>
      <c r="B31" s="3173">
        <v>20240070009</v>
      </c>
      <c r="C31" s="3173"/>
      <c r="D31" s="3173"/>
      <c r="E31" s="3173" t="s">
        <v>4274</v>
      </c>
      <c r="F31" s="3173" t="s">
        <v>4382</v>
      </c>
      <c r="G31" s="3173">
        <v>39.32</v>
      </c>
      <c r="H31" s="3173" t="s">
        <v>4276</v>
      </c>
      <c r="I31" s="3173"/>
      <c r="J31" s="3174">
        <v>45364</v>
      </c>
      <c r="K31" s="3173" t="s">
        <v>4277</v>
      </c>
      <c r="L31" s="3173" t="s">
        <v>4278</v>
      </c>
      <c r="M31" s="3173" t="s">
        <v>4279</v>
      </c>
      <c r="N31" s="3173" t="s">
        <v>4280</v>
      </c>
      <c r="O31" s="3242"/>
      <c r="P31" s="3242">
        <f ca="1">分套结果!$H$19</f>
        <v>80086</v>
      </c>
      <c r="R31" s="3173">
        <v>30</v>
      </c>
      <c r="S31" s="3173" t="s">
        <v>4282</v>
      </c>
      <c r="T31" s="3173"/>
      <c r="U31" s="3173"/>
      <c r="V31" s="3173" t="s">
        <v>4274</v>
      </c>
      <c r="W31" s="3173" t="s">
        <v>4384</v>
      </c>
      <c r="X31" s="3173">
        <v>42.72</v>
      </c>
      <c r="Y31" s="3173" t="s">
        <v>4296</v>
      </c>
      <c r="Z31" s="3173" t="s">
        <v>4282</v>
      </c>
      <c r="AA31" s="3174">
        <v>45276</v>
      </c>
      <c r="AB31" s="3173" t="s">
        <v>4279</v>
      </c>
      <c r="AC31" s="3173" t="s">
        <v>4297</v>
      </c>
      <c r="AD31" s="3173" t="s">
        <v>4279</v>
      </c>
      <c r="AE31" s="3173" t="s">
        <v>4280</v>
      </c>
      <c r="AF31" s="3242">
        <f ca="1">分套结果!AP31</f>
        <v>5845</v>
      </c>
      <c r="AG31" s="3242">
        <f t="shared" ca="1" si="0"/>
        <v>249698.4</v>
      </c>
      <c r="AI31" s="3173">
        <v>30</v>
      </c>
      <c r="AJ31" s="3173" t="s">
        <v>4273</v>
      </c>
      <c r="AK31" s="3173"/>
      <c r="AL31" s="3173"/>
      <c r="AM31" s="3173" t="s">
        <v>4274</v>
      </c>
      <c r="AN31" s="3173" t="s">
        <v>4380</v>
      </c>
      <c r="AO31" s="3173">
        <v>50.34</v>
      </c>
      <c r="AP31" s="3173" t="s">
        <v>4276</v>
      </c>
      <c r="AQ31" s="3173"/>
      <c r="AR31" s="3174">
        <v>45276</v>
      </c>
      <c r="AS31" s="3173" t="s">
        <v>4277</v>
      </c>
      <c r="AT31" s="3173" t="s">
        <v>4278</v>
      </c>
      <c r="AU31" s="3173" t="s">
        <v>4279</v>
      </c>
      <c r="AV31" s="3173" t="s">
        <v>4280</v>
      </c>
      <c r="AW31" s="3180"/>
      <c r="AX31" s="3224">
        <f t="shared" ca="1" si="1"/>
        <v>80086</v>
      </c>
    </row>
    <row r="32" spans="1:50" ht="54">
      <c r="A32" s="3173">
        <v>31</v>
      </c>
      <c r="B32" s="3173">
        <v>20240070009</v>
      </c>
      <c r="C32" s="3173"/>
      <c r="D32" s="3173"/>
      <c r="E32" s="3173" t="s">
        <v>4274</v>
      </c>
      <c r="F32" s="3173" t="s">
        <v>4385</v>
      </c>
      <c r="G32" s="3173">
        <v>39.32</v>
      </c>
      <c r="H32" s="3173" t="s">
        <v>4276</v>
      </c>
      <c r="I32" s="3173"/>
      <c r="J32" s="3174">
        <v>45364</v>
      </c>
      <c r="K32" s="3173" t="s">
        <v>4277</v>
      </c>
      <c r="L32" s="3173" t="s">
        <v>4278</v>
      </c>
      <c r="M32" s="3173" t="s">
        <v>4279</v>
      </c>
      <c r="N32" s="3173" t="s">
        <v>4280</v>
      </c>
      <c r="O32" s="3242"/>
      <c r="P32" s="3242">
        <f ca="1">分套结果!$H$19</f>
        <v>80086</v>
      </c>
      <c r="R32" s="3173">
        <v>31</v>
      </c>
      <c r="S32" s="3173" t="s">
        <v>4282</v>
      </c>
      <c r="T32" s="3173"/>
      <c r="U32" s="3173"/>
      <c r="V32" s="3173" t="s">
        <v>4274</v>
      </c>
      <c r="W32" s="3173" t="s">
        <v>4387</v>
      </c>
      <c r="X32" s="3173">
        <v>42.72</v>
      </c>
      <c r="Y32" s="3173" t="s">
        <v>4296</v>
      </c>
      <c r="Z32" s="3173" t="s">
        <v>4282</v>
      </c>
      <c r="AA32" s="3174">
        <v>45276</v>
      </c>
      <c r="AB32" s="3173" t="s">
        <v>4279</v>
      </c>
      <c r="AC32" s="3173" t="s">
        <v>4297</v>
      </c>
      <c r="AD32" s="3173" t="s">
        <v>4279</v>
      </c>
      <c r="AE32" s="3173" t="s">
        <v>4280</v>
      </c>
      <c r="AF32" s="3242">
        <f ca="1">分套结果!AP32</f>
        <v>5845</v>
      </c>
      <c r="AG32" s="3242">
        <f t="shared" ca="1" si="0"/>
        <v>249698.4</v>
      </c>
      <c r="AI32" s="3173">
        <v>31</v>
      </c>
      <c r="AJ32" s="3173" t="s">
        <v>4273</v>
      </c>
      <c r="AK32" s="3173"/>
      <c r="AL32" s="3173"/>
      <c r="AM32" s="3173" t="s">
        <v>4274</v>
      </c>
      <c r="AN32" s="3173" t="s">
        <v>4383</v>
      </c>
      <c r="AO32" s="3173">
        <v>50.34</v>
      </c>
      <c r="AP32" s="3173" t="s">
        <v>4276</v>
      </c>
      <c r="AQ32" s="3173"/>
      <c r="AR32" s="3174">
        <v>45276</v>
      </c>
      <c r="AS32" s="3173" t="s">
        <v>4277</v>
      </c>
      <c r="AT32" s="3173" t="s">
        <v>4278</v>
      </c>
      <c r="AU32" s="3173" t="s">
        <v>4279</v>
      </c>
      <c r="AV32" s="3173" t="s">
        <v>4280</v>
      </c>
      <c r="AW32" s="3180"/>
      <c r="AX32" s="3224">
        <f t="shared" ca="1" si="1"/>
        <v>80086</v>
      </c>
    </row>
    <row r="33" spans="1:50" ht="54">
      <c r="A33" s="3173">
        <v>32</v>
      </c>
      <c r="B33" s="3173">
        <v>20240070009</v>
      </c>
      <c r="C33" s="3173"/>
      <c r="D33" s="3173"/>
      <c r="E33" s="3173" t="s">
        <v>4274</v>
      </c>
      <c r="F33" s="3173" t="s">
        <v>4388</v>
      </c>
      <c r="G33" s="3173">
        <v>39.32</v>
      </c>
      <c r="H33" s="3173" t="s">
        <v>4276</v>
      </c>
      <c r="I33" s="3173"/>
      <c r="J33" s="3174">
        <v>45364</v>
      </c>
      <c r="K33" s="3173" t="s">
        <v>4277</v>
      </c>
      <c r="L33" s="3173" t="s">
        <v>4278</v>
      </c>
      <c r="M33" s="3173" t="s">
        <v>4279</v>
      </c>
      <c r="N33" s="3173" t="s">
        <v>4280</v>
      </c>
      <c r="O33" s="3242"/>
      <c r="P33" s="3242">
        <f ca="1">分套结果!$H$19</f>
        <v>80086</v>
      </c>
      <c r="R33" s="3173">
        <v>32</v>
      </c>
      <c r="S33" s="3173" t="s">
        <v>4282</v>
      </c>
      <c r="T33" s="3173"/>
      <c r="U33" s="3173"/>
      <c r="V33" s="3173" t="s">
        <v>4274</v>
      </c>
      <c r="W33" s="3173" t="s">
        <v>4390</v>
      </c>
      <c r="X33" s="3173">
        <v>42.72</v>
      </c>
      <c r="Y33" s="3173" t="s">
        <v>4296</v>
      </c>
      <c r="Z33" s="3173" t="s">
        <v>4282</v>
      </c>
      <c r="AA33" s="3174">
        <v>45276</v>
      </c>
      <c r="AB33" s="3173" t="s">
        <v>4279</v>
      </c>
      <c r="AC33" s="3173" t="s">
        <v>4297</v>
      </c>
      <c r="AD33" s="3173" t="s">
        <v>4279</v>
      </c>
      <c r="AE33" s="3173" t="s">
        <v>4280</v>
      </c>
      <c r="AF33" s="3242">
        <f ca="1">分套结果!AP33</f>
        <v>5845</v>
      </c>
      <c r="AG33" s="3242">
        <f t="shared" ca="1" si="0"/>
        <v>249698.4</v>
      </c>
      <c r="AI33" s="3173">
        <v>32</v>
      </c>
      <c r="AJ33" s="3173" t="s">
        <v>4273</v>
      </c>
      <c r="AK33" s="3173"/>
      <c r="AL33" s="3173"/>
      <c r="AM33" s="3173" t="s">
        <v>4274</v>
      </c>
      <c r="AN33" s="3173" t="s">
        <v>4386</v>
      </c>
      <c r="AO33" s="3173">
        <v>50.34</v>
      </c>
      <c r="AP33" s="3173" t="s">
        <v>4276</v>
      </c>
      <c r="AQ33" s="3173"/>
      <c r="AR33" s="3174">
        <v>45276</v>
      </c>
      <c r="AS33" s="3173" t="s">
        <v>4277</v>
      </c>
      <c r="AT33" s="3173" t="s">
        <v>4278</v>
      </c>
      <c r="AU33" s="3173" t="s">
        <v>4279</v>
      </c>
      <c r="AV33" s="3173" t="s">
        <v>4280</v>
      </c>
      <c r="AW33" s="3180"/>
      <c r="AX33" s="3224">
        <f t="shared" ca="1" si="1"/>
        <v>80086</v>
      </c>
    </row>
    <row r="34" spans="1:50" ht="54">
      <c r="A34" s="3173">
        <v>33</v>
      </c>
      <c r="B34" s="3173">
        <v>20240070009</v>
      </c>
      <c r="C34" s="3173"/>
      <c r="D34" s="3173"/>
      <c r="E34" s="3173" t="s">
        <v>4274</v>
      </c>
      <c r="F34" s="3173" t="s">
        <v>4391</v>
      </c>
      <c r="G34" s="3173">
        <v>39.32</v>
      </c>
      <c r="H34" s="3173" t="s">
        <v>4276</v>
      </c>
      <c r="I34" s="3173"/>
      <c r="J34" s="3174">
        <v>45364</v>
      </c>
      <c r="K34" s="3173" t="s">
        <v>4277</v>
      </c>
      <c r="L34" s="3173" t="s">
        <v>4284</v>
      </c>
      <c r="M34" s="3173" t="s">
        <v>4279</v>
      </c>
      <c r="N34" s="3173" t="s">
        <v>4280</v>
      </c>
      <c r="O34" s="3242"/>
      <c r="P34" s="3242">
        <f ca="1">分套结果!$H$19</f>
        <v>80086</v>
      </c>
      <c r="R34" s="3173">
        <v>33</v>
      </c>
      <c r="S34" s="3173" t="s">
        <v>4282</v>
      </c>
      <c r="T34" s="3173"/>
      <c r="U34" s="3173"/>
      <c r="V34" s="3173" t="s">
        <v>4274</v>
      </c>
      <c r="W34" s="3173" t="s">
        <v>4393</v>
      </c>
      <c r="X34" s="3173">
        <v>42.72</v>
      </c>
      <c r="Y34" s="3173" t="s">
        <v>4296</v>
      </c>
      <c r="Z34" s="3173" t="s">
        <v>4282</v>
      </c>
      <c r="AA34" s="3174">
        <v>45276</v>
      </c>
      <c r="AB34" s="3173" t="s">
        <v>4279</v>
      </c>
      <c r="AC34" s="3173" t="s">
        <v>4297</v>
      </c>
      <c r="AD34" s="3173" t="s">
        <v>4279</v>
      </c>
      <c r="AE34" s="3173" t="s">
        <v>4280</v>
      </c>
      <c r="AF34" s="3242">
        <f ca="1">分套结果!AP34</f>
        <v>5845</v>
      </c>
      <c r="AG34" s="3242">
        <f t="shared" ca="1" si="0"/>
        <v>249698.4</v>
      </c>
      <c r="AI34" s="3173">
        <v>33</v>
      </c>
      <c r="AJ34" s="3173" t="s">
        <v>4273</v>
      </c>
      <c r="AK34" s="3173"/>
      <c r="AL34" s="3173"/>
      <c r="AM34" s="3173" t="s">
        <v>4274</v>
      </c>
      <c r="AN34" s="3173" t="s">
        <v>4389</v>
      </c>
      <c r="AO34" s="3173">
        <v>50.34</v>
      </c>
      <c r="AP34" s="3173" t="s">
        <v>4276</v>
      </c>
      <c r="AQ34" s="3173"/>
      <c r="AR34" s="3174">
        <v>45276</v>
      </c>
      <c r="AS34" s="3173" t="s">
        <v>4277</v>
      </c>
      <c r="AT34" s="3173" t="s">
        <v>4278</v>
      </c>
      <c r="AU34" s="3173" t="s">
        <v>4279</v>
      </c>
      <c r="AV34" s="3173" t="s">
        <v>4280</v>
      </c>
      <c r="AW34" s="3180"/>
      <c r="AX34" s="3224">
        <f t="shared" ca="1" si="1"/>
        <v>80086</v>
      </c>
    </row>
    <row r="35" spans="1:50" ht="54">
      <c r="A35" s="3173">
        <v>34</v>
      </c>
      <c r="B35" s="3173">
        <v>20240070009</v>
      </c>
      <c r="C35" s="3173"/>
      <c r="D35" s="3173"/>
      <c r="E35" s="3173" t="s">
        <v>4274</v>
      </c>
      <c r="F35" s="3173" t="s">
        <v>4394</v>
      </c>
      <c r="G35" s="3173">
        <v>39.32</v>
      </c>
      <c r="H35" s="3173" t="s">
        <v>4276</v>
      </c>
      <c r="I35" s="3173"/>
      <c r="J35" s="3174">
        <v>45364</v>
      </c>
      <c r="K35" s="3173" t="s">
        <v>4277</v>
      </c>
      <c r="L35" s="3173" t="s">
        <v>4297</v>
      </c>
      <c r="M35" s="3173" t="s">
        <v>4279</v>
      </c>
      <c r="N35" s="3173" t="s">
        <v>4280</v>
      </c>
      <c r="O35" s="3242"/>
      <c r="P35" s="3242">
        <f ca="1">分套结果!$H$19</f>
        <v>80086</v>
      </c>
      <c r="R35" s="3173">
        <v>34</v>
      </c>
      <c r="S35" s="3173" t="s">
        <v>4282</v>
      </c>
      <c r="T35" s="3173"/>
      <c r="U35" s="3173"/>
      <c r="V35" s="3173" t="s">
        <v>4274</v>
      </c>
      <c r="W35" s="3173" t="s">
        <v>4396</v>
      </c>
      <c r="X35" s="3173">
        <v>42.72</v>
      </c>
      <c r="Y35" s="3173" t="s">
        <v>4296</v>
      </c>
      <c r="Z35" s="3173" t="s">
        <v>4282</v>
      </c>
      <c r="AA35" s="3174">
        <v>45276</v>
      </c>
      <c r="AB35" s="3173" t="s">
        <v>4279</v>
      </c>
      <c r="AC35" s="3173" t="s">
        <v>4297</v>
      </c>
      <c r="AD35" s="3173" t="s">
        <v>4279</v>
      </c>
      <c r="AE35" s="3173" t="s">
        <v>4280</v>
      </c>
      <c r="AF35" s="3242">
        <f ca="1">分套结果!AP35</f>
        <v>5845</v>
      </c>
      <c r="AG35" s="3242">
        <f t="shared" ca="1" si="0"/>
        <v>249698.4</v>
      </c>
      <c r="AI35" s="3173">
        <v>34</v>
      </c>
      <c r="AJ35" s="3173" t="s">
        <v>4273</v>
      </c>
      <c r="AK35" s="3173"/>
      <c r="AL35" s="3173"/>
      <c r="AM35" s="3173" t="s">
        <v>4274</v>
      </c>
      <c r="AN35" s="3173" t="s">
        <v>4392</v>
      </c>
      <c r="AO35" s="3173">
        <v>50.34</v>
      </c>
      <c r="AP35" s="3173" t="s">
        <v>4276</v>
      </c>
      <c r="AQ35" s="3173"/>
      <c r="AR35" s="3174">
        <v>45276</v>
      </c>
      <c r="AS35" s="3173" t="s">
        <v>4277</v>
      </c>
      <c r="AT35" s="3173" t="s">
        <v>4278</v>
      </c>
      <c r="AU35" s="3173" t="s">
        <v>4279</v>
      </c>
      <c r="AV35" s="3173" t="s">
        <v>4280</v>
      </c>
      <c r="AW35" s="3180"/>
      <c r="AX35" s="3224">
        <f t="shared" ca="1" si="1"/>
        <v>80086</v>
      </c>
    </row>
    <row r="36" spans="1:50" ht="54">
      <c r="A36" s="3173">
        <v>35</v>
      </c>
      <c r="B36" s="3173">
        <v>20240070009</v>
      </c>
      <c r="C36" s="3173"/>
      <c r="D36" s="3173"/>
      <c r="E36" s="3173" t="s">
        <v>4274</v>
      </c>
      <c r="F36" s="3173" t="s">
        <v>4397</v>
      </c>
      <c r="G36" s="3173">
        <v>39.32</v>
      </c>
      <c r="H36" s="3173" t="s">
        <v>4276</v>
      </c>
      <c r="I36" s="3173"/>
      <c r="J36" s="3174">
        <v>45364</v>
      </c>
      <c r="K36" s="3173" t="s">
        <v>4277</v>
      </c>
      <c r="L36" s="3173" t="s">
        <v>4284</v>
      </c>
      <c r="M36" s="3173" t="s">
        <v>4279</v>
      </c>
      <c r="N36" s="3173" t="s">
        <v>4280</v>
      </c>
      <c r="O36" s="3242"/>
      <c r="P36" s="3242">
        <f ca="1">分套结果!$H$19</f>
        <v>80086</v>
      </c>
      <c r="R36" s="3173">
        <v>35</v>
      </c>
      <c r="S36" s="3173" t="s">
        <v>4282</v>
      </c>
      <c r="T36" s="3173"/>
      <c r="U36" s="3173"/>
      <c r="V36" s="3173" t="s">
        <v>4274</v>
      </c>
      <c r="W36" s="3173" t="s">
        <v>4399</v>
      </c>
      <c r="X36" s="3173">
        <v>44.57</v>
      </c>
      <c r="Y36" s="3173" t="s">
        <v>4296</v>
      </c>
      <c r="Z36" s="3173" t="s">
        <v>4282</v>
      </c>
      <c r="AA36" s="3174">
        <v>45276</v>
      </c>
      <c r="AB36" s="3173" t="s">
        <v>4279</v>
      </c>
      <c r="AC36" s="3173" t="s">
        <v>4297</v>
      </c>
      <c r="AD36" s="3173" t="s">
        <v>4279</v>
      </c>
      <c r="AE36" s="3173" t="s">
        <v>4280</v>
      </c>
      <c r="AF36" s="3242">
        <f ca="1">分套结果!AP36</f>
        <v>5845</v>
      </c>
      <c r="AG36" s="3242">
        <f t="shared" ca="1" si="0"/>
        <v>260511.65</v>
      </c>
      <c r="AI36" s="3173">
        <v>35</v>
      </c>
      <c r="AJ36" s="3173" t="s">
        <v>4273</v>
      </c>
      <c r="AK36" s="3173"/>
      <c r="AL36" s="3173"/>
      <c r="AM36" s="3173" t="s">
        <v>4274</v>
      </c>
      <c r="AN36" s="3173" t="s">
        <v>4395</v>
      </c>
      <c r="AO36" s="3173">
        <v>50.34</v>
      </c>
      <c r="AP36" s="3173" t="s">
        <v>4276</v>
      </c>
      <c r="AQ36" s="3173"/>
      <c r="AR36" s="3174">
        <v>45276</v>
      </c>
      <c r="AS36" s="3173" t="s">
        <v>4277</v>
      </c>
      <c r="AT36" s="3173" t="s">
        <v>4278</v>
      </c>
      <c r="AU36" s="3173" t="s">
        <v>4279</v>
      </c>
      <c r="AV36" s="3173" t="s">
        <v>4280</v>
      </c>
      <c r="AW36" s="3180"/>
      <c r="AX36" s="3224">
        <f t="shared" ca="1" si="1"/>
        <v>80086</v>
      </c>
    </row>
    <row r="37" spans="1:50" ht="54">
      <c r="A37" s="3173">
        <v>36</v>
      </c>
      <c r="B37" s="3173">
        <v>20240070009</v>
      </c>
      <c r="C37" s="3173"/>
      <c r="D37" s="3173"/>
      <c r="E37" s="3173" t="s">
        <v>4274</v>
      </c>
      <c r="F37" s="3173" t="s">
        <v>4400</v>
      </c>
      <c r="G37" s="3173">
        <v>39.32</v>
      </c>
      <c r="H37" s="3173" t="s">
        <v>4276</v>
      </c>
      <c r="I37" s="3173"/>
      <c r="J37" s="3174">
        <v>45364</v>
      </c>
      <c r="K37" s="3173" t="s">
        <v>4277</v>
      </c>
      <c r="L37" s="3173" t="s">
        <v>4284</v>
      </c>
      <c r="M37" s="3173" t="s">
        <v>4279</v>
      </c>
      <c r="N37" s="3173" t="s">
        <v>4280</v>
      </c>
      <c r="O37" s="3242"/>
      <c r="P37" s="3242">
        <f ca="1">分套结果!$H$19</f>
        <v>80086</v>
      </c>
      <c r="R37" s="3173">
        <v>36</v>
      </c>
      <c r="S37" s="3173" t="s">
        <v>4282</v>
      </c>
      <c r="T37" s="3173"/>
      <c r="U37" s="3173"/>
      <c r="V37" s="3173" t="s">
        <v>4274</v>
      </c>
      <c r="W37" s="3173" t="s">
        <v>4402</v>
      </c>
      <c r="X37" s="3173">
        <v>44.67</v>
      </c>
      <c r="Y37" s="3173" t="s">
        <v>4296</v>
      </c>
      <c r="Z37" s="3173" t="s">
        <v>4282</v>
      </c>
      <c r="AA37" s="3174">
        <v>45276</v>
      </c>
      <c r="AB37" s="3173" t="s">
        <v>4277</v>
      </c>
      <c r="AC37" s="3173" t="s">
        <v>4297</v>
      </c>
      <c r="AD37" s="3173" t="s">
        <v>4279</v>
      </c>
      <c r="AE37" s="3173" t="s">
        <v>4280</v>
      </c>
      <c r="AF37" s="3242">
        <f ca="1">分套结果!AP37</f>
        <v>5845</v>
      </c>
      <c r="AG37" s="3242">
        <f t="shared" ca="1" si="0"/>
        <v>261096.15000000002</v>
      </c>
      <c r="AI37" s="3173">
        <v>36</v>
      </c>
      <c r="AJ37" s="3173" t="s">
        <v>4273</v>
      </c>
      <c r="AK37" s="3173"/>
      <c r="AL37" s="3173"/>
      <c r="AM37" s="3173" t="s">
        <v>4274</v>
      </c>
      <c r="AN37" s="3173" t="s">
        <v>4398</v>
      </c>
      <c r="AO37" s="3173">
        <v>50.34</v>
      </c>
      <c r="AP37" s="3173" t="s">
        <v>4276</v>
      </c>
      <c r="AQ37" s="3173"/>
      <c r="AR37" s="3174">
        <v>45276</v>
      </c>
      <c r="AS37" s="3173" t="s">
        <v>4277</v>
      </c>
      <c r="AT37" s="3173" t="s">
        <v>4278</v>
      </c>
      <c r="AU37" s="3173" t="s">
        <v>4279</v>
      </c>
      <c r="AV37" s="3173" t="s">
        <v>4280</v>
      </c>
      <c r="AW37" s="3180"/>
      <c r="AX37" s="3224">
        <f t="shared" ca="1" si="1"/>
        <v>80086</v>
      </c>
    </row>
    <row r="38" spans="1:50" ht="54">
      <c r="A38" s="3173">
        <v>37</v>
      </c>
      <c r="B38" s="3173">
        <v>20240070009</v>
      </c>
      <c r="C38" s="3173"/>
      <c r="D38" s="3173"/>
      <c r="E38" s="3173" t="s">
        <v>4274</v>
      </c>
      <c r="F38" s="3173" t="s">
        <v>4403</v>
      </c>
      <c r="G38" s="3173">
        <v>39.32</v>
      </c>
      <c r="H38" s="3173" t="s">
        <v>4276</v>
      </c>
      <c r="I38" s="3173"/>
      <c r="J38" s="3174">
        <v>45364</v>
      </c>
      <c r="K38" s="3173" t="s">
        <v>4277</v>
      </c>
      <c r="L38" s="3173" t="s">
        <v>4284</v>
      </c>
      <c r="M38" s="3173" t="s">
        <v>4279</v>
      </c>
      <c r="N38" s="3173" t="s">
        <v>4280</v>
      </c>
      <c r="O38" s="3242"/>
      <c r="P38" s="3242">
        <f ca="1">分套结果!$H$19</f>
        <v>80086</v>
      </c>
      <c r="R38" s="3173">
        <v>37</v>
      </c>
      <c r="S38" s="3173" t="s">
        <v>4282</v>
      </c>
      <c r="T38" s="3173"/>
      <c r="U38" s="3173"/>
      <c r="V38" s="3173" t="s">
        <v>4274</v>
      </c>
      <c r="W38" s="3173" t="s">
        <v>4405</v>
      </c>
      <c r="X38" s="3173">
        <v>42.72</v>
      </c>
      <c r="Y38" s="3173" t="s">
        <v>4296</v>
      </c>
      <c r="Z38" s="3173" t="s">
        <v>4282</v>
      </c>
      <c r="AA38" s="3174">
        <v>45276</v>
      </c>
      <c r="AB38" s="3173" t="s">
        <v>4277</v>
      </c>
      <c r="AC38" s="3173" t="s">
        <v>4297</v>
      </c>
      <c r="AD38" s="3173" t="s">
        <v>4279</v>
      </c>
      <c r="AE38" s="3173" t="s">
        <v>4280</v>
      </c>
      <c r="AF38" s="3242">
        <f ca="1">分套结果!AP38</f>
        <v>5845</v>
      </c>
      <c r="AG38" s="3242">
        <f t="shared" ca="1" si="0"/>
        <v>249698.4</v>
      </c>
      <c r="AI38" s="3173">
        <v>37</v>
      </c>
      <c r="AJ38" s="3173" t="s">
        <v>4273</v>
      </c>
      <c r="AK38" s="3173"/>
      <c r="AL38" s="3173"/>
      <c r="AM38" s="3173" t="s">
        <v>4274</v>
      </c>
      <c r="AN38" s="3173" t="s">
        <v>4401</v>
      </c>
      <c r="AO38" s="3173">
        <v>50.34</v>
      </c>
      <c r="AP38" s="3173" t="s">
        <v>4276</v>
      </c>
      <c r="AQ38" s="3173"/>
      <c r="AR38" s="3174">
        <v>45276</v>
      </c>
      <c r="AS38" s="3173" t="s">
        <v>4277</v>
      </c>
      <c r="AT38" s="3173" t="s">
        <v>4278</v>
      </c>
      <c r="AU38" s="3173" t="s">
        <v>4279</v>
      </c>
      <c r="AV38" s="3173" t="s">
        <v>4280</v>
      </c>
      <c r="AW38" s="3180"/>
      <c r="AX38" s="3224">
        <f t="shared" ca="1" si="1"/>
        <v>80086</v>
      </c>
    </row>
    <row r="39" spans="1:50" ht="54">
      <c r="A39" s="3173">
        <v>38</v>
      </c>
      <c r="B39" s="3173">
        <v>20240070009</v>
      </c>
      <c r="C39" s="3173"/>
      <c r="D39" s="3173"/>
      <c r="E39" s="3173" t="s">
        <v>4274</v>
      </c>
      <c r="F39" s="3173" t="s">
        <v>4406</v>
      </c>
      <c r="G39" s="3173">
        <v>39.32</v>
      </c>
      <c r="H39" s="3173" t="s">
        <v>4276</v>
      </c>
      <c r="I39" s="3173"/>
      <c r="J39" s="3174">
        <v>45364</v>
      </c>
      <c r="K39" s="3173" t="s">
        <v>4277</v>
      </c>
      <c r="L39" s="3173" t="s">
        <v>4284</v>
      </c>
      <c r="M39" s="3173" t="s">
        <v>4279</v>
      </c>
      <c r="N39" s="3173" t="s">
        <v>4280</v>
      </c>
      <c r="O39" s="3242"/>
      <c r="P39" s="3242">
        <f ca="1">分套结果!$H$19</f>
        <v>80086</v>
      </c>
      <c r="R39" s="3173">
        <v>38</v>
      </c>
      <c r="S39" s="3173" t="s">
        <v>4282</v>
      </c>
      <c r="T39" s="3173"/>
      <c r="U39" s="3173"/>
      <c r="V39" s="3173" t="s">
        <v>4274</v>
      </c>
      <c r="W39" s="3173" t="s">
        <v>4408</v>
      </c>
      <c r="X39" s="3173">
        <v>42.72</v>
      </c>
      <c r="Y39" s="3173" t="s">
        <v>4296</v>
      </c>
      <c r="Z39" s="3173" t="s">
        <v>4282</v>
      </c>
      <c r="AA39" s="3174">
        <v>45276</v>
      </c>
      <c r="AB39" s="3173" t="s">
        <v>4279</v>
      </c>
      <c r="AC39" s="3173" t="s">
        <v>4297</v>
      </c>
      <c r="AD39" s="3173" t="s">
        <v>4279</v>
      </c>
      <c r="AE39" s="3173" t="s">
        <v>4280</v>
      </c>
      <c r="AF39" s="3242">
        <f ca="1">分套结果!AP39</f>
        <v>5845</v>
      </c>
      <c r="AG39" s="3242">
        <f t="shared" ca="1" si="0"/>
        <v>249698.4</v>
      </c>
      <c r="AI39" s="3173">
        <v>38</v>
      </c>
      <c r="AJ39" s="3173" t="s">
        <v>4273</v>
      </c>
      <c r="AK39" s="3173"/>
      <c r="AL39" s="3173"/>
      <c r="AM39" s="3173" t="s">
        <v>4274</v>
      </c>
      <c r="AN39" s="3173" t="s">
        <v>4404</v>
      </c>
      <c r="AO39" s="3173">
        <v>50.34</v>
      </c>
      <c r="AP39" s="3173" t="s">
        <v>4276</v>
      </c>
      <c r="AQ39" s="3173"/>
      <c r="AR39" s="3174">
        <v>45276</v>
      </c>
      <c r="AS39" s="3173" t="s">
        <v>4277</v>
      </c>
      <c r="AT39" s="3173" t="s">
        <v>4278</v>
      </c>
      <c r="AU39" s="3173" t="s">
        <v>4279</v>
      </c>
      <c r="AV39" s="3173" t="s">
        <v>4280</v>
      </c>
      <c r="AW39" s="3180"/>
      <c r="AX39" s="3224">
        <f t="shared" ca="1" si="1"/>
        <v>80086</v>
      </c>
    </row>
    <row r="40" spans="1:50" ht="54">
      <c r="A40" s="3173">
        <v>39</v>
      </c>
      <c r="B40" s="3173">
        <v>20240070009</v>
      </c>
      <c r="C40" s="3173"/>
      <c r="D40" s="3173"/>
      <c r="E40" s="3173" t="s">
        <v>4274</v>
      </c>
      <c r="F40" s="3173" t="s">
        <v>4409</v>
      </c>
      <c r="G40" s="3173">
        <v>39.32</v>
      </c>
      <c r="H40" s="3173" t="s">
        <v>4276</v>
      </c>
      <c r="I40" s="3173"/>
      <c r="J40" s="3174">
        <v>45364</v>
      </c>
      <c r="K40" s="3173" t="s">
        <v>4277</v>
      </c>
      <c r="L40" s="3173" t="s">
        <v>4284</v>
      </c>
      <c r="M40" s="3173" t="s">
        <v>4279</v>
      </c>
      <c r="N40" s="3173" t="s">
        <v>4280</v>
      </c>
      <c r="O40" s="3242"/>
      <c r="P40" s="3242">
        <f ca="1">分套结果!$H$19</f>
        <v>80086</v>
      </c>
      <c r="R40" s="3173">
        <v>39</v>
      </c>
      <c r="S40" s="3173" t="s">
        <v>4282</v>
      </c>
      <c r="T40" s="3173"/>
      <c r="U40" s="3173"/>
      <c r="V40" s="3173" t="s">
        <v>4274</v>
      </c>
      <c r="W40" s="3173" t="s">
        <v>4411</v>
      </c>
      <c r="X40" s="3173">
        <v>44.67</v>
      </c>
      <c r="Y40" s="3173" t="s">
        <v>4296</v>
      </c>
      <c r="Z40" s="3173" t="s">
        <v>4282</v>
      </c>
      <c r="AA40" s="3174">
        <v>45276</v>
      </c>
      <c r="AB40" s="3173" t="s">
        <v>4277</v>
      </c>
      <c r="AC40" s="3173" t="s">
        <v>4288</v>
      </c>
      <c r="AD40" s="3173" t="s">
        <v>4279</v>
      </c>
      <c r="AE40" s="3173" t="s">
        <v>4280</v>
      </c>
      <c r="AF40" s="3242">
        <f ca="1">分套结果!AP40</f>
        <v>5845</v>
      </c>
      <c r="AG40" s="3242">
        <f t="shared" ca="1" si="0"/>
        <v>261096.15000000002</v>
      </c>
      <c r="AI40" s="3173">
        <v>39</v>
      </c>
      <c r="AJ40" s="3173" t="s">
        <v>4273</v>
      </c>
      <c r="AK40" s="3173"/>
      <c r="AL40" s="3173"/>
      <c r="AM40" s="3173" t="s">
        <v>4274</v>
      </c>
      <c r="AN40" s="3173" t="s">
        <v>4407</v>
      </c>
      <c r="AO40" s="3173">
        <v>50.34</v>
      </c>
      <c r="AP40" s="3173" t="s">
        <v>4276</v>
      </c>
      <c r="AQ40" s="3173"/>
      <c r="AR40" s="3174">
        <v>45276</v>
      </c>
      <c r="AS40" s="3173" t="s">
        <v>4277</v>
      </c>
      <c r="AT40" s="3173" t="s">
        <v>4278</v>
      </c>
      <c r="AU40" s="3173" t="s">
        <v>4279</v>
      </c>
      <c r="AV40" s="3173" t="s">
        <v>4280</v>
      </c>
      <c r="AW40" s="3180"/>
      <c r="AX40" s="3224">
        <f t="shared" ca="1" si="1"/>
        <v>80086</v>
      </c>
    </row>
    <row r="41" spans="1:50" ht="54">
      <c r="A41" s="3173">
        <v>40</v>
      </c>
      <c r="B41" s="3173">
        <v>20240070009</v>
      </c>
      <c r="C41" s="3173"/>
      <c r="D41" s="3173"/>
      <c r="E41" s="3173" t="s">
        <v>4274</v>
      </c>
      <c r="F41" s="3173" t="s">
        <v>4412</v>
      </c>
      <c r="G41" s="3173">
        <v>39.32</v>
      </c>
      <c r="H41" s="3173" t="s">
        <v>4276</v>
      </c>
      <c r="I41" s="3173"/>
      <c r="J41" s="3174">
        <v>45364</v>
      </c>
      <c r="K41" s="3173" t="s">
        <v>4277</v>
      </c>
      <c r="L41" s="3173" t="s">
        <v>4284</v>
      </c>
      <c r="M41" s="3173" t="s">
        <v>4279</v>
      </c>
      <c r="N41" s="3173" t="s">
        <v>4280</v>
      </c>
      <c r="O41" s="3242"/>
      <c r="P41" s="3242">
        <f ca="1">分套结果!$H$19</f>
        <v>80086</v>
      </c>
      <c r="R41" s="3173">
        <v>40</v>
      </c>
      <c r="S41" s="3173" t="s">
        <v>4282</v>
      </c>
      <c r="T41" s="3173"/>
      <c r="U41" s="3173"/>
      <c r="V41" s="3173" t="s">
        <v>4274</v>
      </c>
      <c r="W41" s="3173" t="s">
        <v>4414</v>
      </c>
      <c r="X41" s="3173">
        <v>44.57</v>
      </c>
      <c r="Y41" s="3173" t="s">
        <v>4296</v>
      </c>
      <c r="Z41" s="3173" t="s">
        <v>4282</v>
      </c>
      <c r="AA41" s="3174">
        <v>45276</v>
      </c>
      <c r="AB41" s="3173" t="s">
        <v>4277</v>
      </c>
      <c r="AC41" s="3173" t="s">
        <v>4288</v>
      </c>
      <c r="AD41" s="3173" t="s">
        <v>4279</v>
      </c>
      <c r="AE41" s="3173" t="s">
        <v>4280</v>
      </c>
      <c r="AF41" s="3242">
        <f ca="1">分套结果!AP41</f>
        <v>5845</v>
      </c>
      <c r="AG41" s="3242">
        <f t="shared" ca="1" si="0"/>
        <v>260511.65</v>
      </c>
      <c r="AI41" s="3173">
        <v>40</v>
      </c>
      <c r="AJ41" s="3173" t="s">
        <v>4273</v>
      </c>
      <c r="AK41" s="3173"/>
      <c r="AL41" s="3173"/>
      <c r="AM41" s="3173" t="s">
        <v>4274</v>
      </c>
      <c r="AN41" s="3173" t="s">
        <v>4410</v>
      </c>
      <c r="AO41" s="3173">
        <v>50.34</v>
      </c>
      <c r="AP41" s="3173" t="s">
        <v>4276</v>
      </c>
      <c r="AQ41" s="3173"/>
      <c r="AR41" s="3174">
        <v>45276</v>
      </c>
      <c r="AS41" s="3173" t="s">
        <v>4277</v>
      </c>
      <c r="AT41" s="3173" t="s">
        <v>4278</v>
      </c>
      <c r="AU41" s="3173" t="s">
        <v>4279</v>
      </c>
      <c r="AV41" s="3173" t="s">
        <v>4280</v>
      </c>
      <c r="AW41" s="3180"/>
      <c r="AX41" s="3224">
        <f t="shared" ca="1" si="1"/>
        <v>80086</v>
      </c>
    </row>
    <row r="42" spans="1:50" ht="54">
      <c r="A42" s="3173">
        <v>41</v>
      </c>
      <c r="B42" s="3173">
        <v>20240070009</v>
      </c>
      <c r="C42" s="3173"/>
      <c r="D42" s="3173"/>
      <c r="E42" s="3173" t="s">
        <v>4274</v>
      </c>
      <c r="F42" s="3173" t="s">
        <v>4415</v>
      </c>
      <c r="G42" s="3173">
        <v>39.32</v>
      </c>
      <c r="H42" s="3173" t="s">
        <v>4276</v>
      </c>
      <c r="I42" s="3173"/>
      <c r="J42" s="3174">
        <v>45364</v>
      </c>
      <c r="K42" s="3173" t="s">
        <v>4277</v>
      </c>
      <c r="L42" s="3173" t="s">
        <v>4284</v>
      </c>
      <c r="M42" s="3173" t="s">
        <v>4279</v>
      </c>
      <c r="N42" s="3173" t="s">
        <v>4280</v>
      </c>
      <c r="O42" s="3242"/>
      <c r="P42" s="3242">
        <f ca="1">分套结果!$H$19</f>
        <v>80086</v>
      </c>
      <c r="R42" s="3173">
        <v>41</v>
      </c>
      <c r="S42" s="3173" t="s">
        <v>4282</v>
      </c>
      <c r="T42" s="3173"/>
      <c r="U42" s="3173"/>
      <c r="V42" s="3173" t="s">
        <v>4274</v>
      </c>
      <c r="W42" s="3173" t="s">
        <v>4417</v>
      </c>
      <c r="X42" s="3173">
        <v>42.72</v>
      </c>
      <c r="Y42" s="3173" t="s">
        <v>4296</v>
      </c>
      <c r="Z42" s="3173" t="s">
        <v>4282</v>
      </c>
      <c r="AA42" s="3174">
        <v>45276</v>
      </c>
      <c r="AB42" s="3173" t="s">
        <v>4277</v>
      </c>
      <c r="AC42" s="3173" t="s">
        <v>4288</v>
      </c>
      <c r="AD42" s="3173" t="s">
        <v>4279</v>
      </c>
      <c r="AE42" s="3173" t="s">
        <v>4280</v>
      </c>
      <c r="AF42" s="3242">
        <f ca="1">分套结果!AP42</f>
        <v>5845</v>
      </c>
      <c r="AG42" s="3242">
        <f t="shared" ca="1" si="0"/>
        <v>249698.4</v>
      </c>
      <c r="AI42" s="3173">
        <v>41</v>
      </c>
      <c r="AJ42" s="3173" t="s">
        <v>4273</v>
      </c>
      <c r="AK42" s="3173"/>
      <c r="AL42" s="3173"/>
      <c r="AM42" s="3173" t="s">
        <v>4274</v>
      </c>
      <c r="AN42" s="3173" t="s">
        <v>4413</v>
      </c>
      <c r="AO42" s="3173">
        <v>50.34</v>
      </c>
      <c r="AP42" s="3173" t="s">
        <v>4276</v>
      </c>
      <c r="AQ42" s="3173"/>
      <c r="AR42" s="3174">
        <v>45276</v>
      </c>
      <c r="AS42" s="3173" t="s">
        <v>4277</v>
      </c>
      <c r="AT42" s="3173" t="s">
        <v>4278</v>
      </c>
      <c r="AU42" s="3173" t="s">
        <v>4279</v>
      </c>
      <c r="AV42" s="3173" t="s">
        <v>4280</v>
      </c>
      <c r="AW42" s="3180"/>
      <c r="AX42" s="3224">
        <f t="shared" ca="1" si="1"/>
        <v>80086</v>
      </c>
    </row>
    <row r="43" spans="1:50" ht="54">
      <c r="A43" s="3173">
        <v>42</v>
      </c>
      <c r="B43" s="3173">
        <v>20240070009</v>
      </c>
      <c r="C43" s="3173"/>
      <c r="D43" s="3173"/>
      <c r="E43" s="3173" t="s">
        <v>4274</v>
      </c>
      <c r="F43" s="3173" t="s">
        <v>4418</v>
      </c>
      <c r="G43" s="3173">
        <v>39.32</v>
      </c>
      <c r="H43" s="3173" t="s">
        <v>4276</v>
      </c>
      <c r="I43" s="3173"/>
      <c r="J43" s="3174">
        <v>45364</v>
      </c>
      <c r="K43" s="3173" t="s">
        <v>4277</v>
      </c>
      <c r="L43" s="3173" t="s">
        <v>4284</v>
      </c>
      <c r="M43" s="3173" t="s">
        <v>4279</v>
      </c>
      <c r="N43" s="3173" t="s">
        <v>4280</v>
      </c>
      <c r="O43" s="3242"/>
      <c r="P43" s="3242">
        <f ca="1">分套结果!$H$19</f>
        <v>80086</v>
      </c>
      <c r="R43" s="3173">
        <v>42</v>
      </c>
      <c r="S43" s="3173" t="s">
        <v>4282</v>
      </c>
      <c r="T43" s="3173"/>
      <c r="U43" s="3173"/>
      <c r="V43" s="3173" t="s">
        <v>4274</v>
      </c>
      <c r="W43" s="3173" t="s">
        <v>4420</v>
      </c>
      <c r="X43" s="3173">
        <v>42.72</v>
      </c>
      <c r="Y43" s="3173" t="s">
        <v>4296</v>
      </c>
      <c r="Z43" s="3173" t="s">
        <v>4282</v>
      </c>
      <c r="AA43" s="3174">
        <v>45276</v>
      </c>
      <c r="AB43" s="3173" t="s">
        <v>4279</v>
      </c>
      <c r="AC43" s="3173" t="s">
        <v>4297</v>
      </c>
      <c r="AD43" s="3173" t="s">
        <v>4279</v>
      </c>
      <c r="AE43" s="3173" t="s">
        <v>4280</v>
      </c>
      <c r="AF43" s="3242">
        <f ca="1">分套结果!AP43</f>
        <v>5845</v>
      </c>
      <c r="AG43" s="3242">
        <f t="shared" ca="1" si="0"/>
        <v>249698.4</v>
      </c>
      <c r="AI43" s="3173">
        <v>42</v>
      </c>
      <c r="AJ43" s="3173" t="s">
        <v>4273</v>
      </c>
      <c r="AK43" s="3173"/>
      <c r="AL43" s="3173"/>
      <c r="AM43" s="3173" t="s">
        <v>4274</v>
      </c>
      <c r="AN43" s="3173" t="s">
        <v>4416</v>
      </c>
      <c r="AO43" s="3173">
        <v>50.34</v>
      </c>
      <c r="AP43" s="3173" t="s">
        <v>4276</v>
      </c>
      <c r="AQ43" s="3173"/>
      <c r="AR43" s="3174">
        <v>45276</v>
      </c>
      <c r="AS43" s="3173" t="s">
        <v>4277</v>
      </c>
      <c r="AT43" s="3173" t="s">
        <v>4278</v>
      </c>
      <c r="AU43" s="3173" t="s">
        <v>4279</v>
      </c>
      <c r="AV43" s="3173" t="s">
        <v>4280</v>
      </c>
      <c r="AW43" s="3180"/>
      <c r="AX43" s="3224">
        <f t="shared" ca="1" si="1"/>
        <v>80086</v>
      </c>
    </row>
    <row r="44" spans="1:50" ht="54">
      <c r="A44" s="3173">
        <v>43</v>
      </c>
      <c r="B44" s="3173">
        <v>20240070009</v>
      </c>
      <c r="C44" s="3173"/>
      <c r="D44" s="3173"/>
      <c r="E44" s="3173" t="s">
        <v>4274</v>
      </c>
      <c r="F44" s="3173" t="s">
        <v>4421</v>
      </c>
      <c r="G44" s="3173">
        <v>39.32</v>
      </c>
      <c r="H44" s="3173" t="s">
        <v>4276</v>
      </c>
      <c r="I44" s="3173"/>
      <c r="J44" s="3174">
        <v>45364</v>
      </c>
      <c r="K44" s="3173" t="s">
        <v>4277</v>
      </c>
      <c r="L44" s="3173" t="s">
        <v>4284</v>
      </c>
      <c r="M44" s="3173" t="s">
        <v>4279</v>
      </c>
      <c r="N44" s="3173" t="s">
        <v>4280</v>
      </c>
      <c r="O44" s="3242"/>
      <c r="P44" s="3242">
        <f ca="1">分套结果!$H$19</f>
        <v>80086</v>
      </c>
      <c r="R44" s="3173">
        <v>43</v>
      </c>
      <c r="S44" s="3173" t="s">
        <v>4282</v>
      </c>
      <c r="T44" s="3173"/>
      <c r="U44" s="3173"/>
      <c r="V44" s="3173" t="s">
        <v>4274</v>
      </c>
      <c r="W44" s="3173" t="s">
        <v>4423</v>
      </c>
      <c r="X44" s="3173">
        <v>42.72</v>
      </c>
      <c r="Y44" s="3173" t="s">
        <v>4296</v>
      </c>
      <c r="Z44" s="3173" t="s">
        <v>4282</v>
      </c>
      <c r="AA44" s="3174">
        <v>45276</v>
      </c>
      <c r="AB44" s="3173" t="s">
        <v>4279</v>
      </c>
      <c r="AC44" s="3173" t="s">
        <v>4297</v>
      </c>
      <c r="AD44" s="3173" t="s">
        <v>4279</v>
      </c>
      <c r="AE44" s="3173" t="s">
        <v>4280</v>
      </c>
      <c r="AF44" s="3242">
        <f ca="1">分套结果!AP44</f>
        <v>5845</v>
      </c>
      <c r="AG44" s="3242">
        <f t="shared" ca="1" si="0"/>
        <v>249698.4</v>
      </c>
      <c r="AI44" s="3173">
        <v>43</v>
      </c>
      <c r="AJ44" s="3173" t="s">
        <v>4273</v>
      </c>
      <c r="AK44" s="3173"/>
      <c r="AL44" s="3173"/>
      <c r="AM44" s="3173" t="s">
        <v>4274</v>
      </c>
      <c r="AN44" s="3173" t="s">
        <v>4419</v>
      </c>
      <c r="AO44" s="3173">
        <v>50.34</v>
      </c>
      <c r="AP44" s="3173" t="s">
        <v>4276</v>
      </c>
      <c r="AQ44" s="3173"/>
      <c r="AR44" s="3174">
        <v>45276</v>
      </c>
      <c r="AS44" s="3173" t="s">
        <v>4277</v>
      </c>
      <c r="AT44" s="3173" t="s">
        <v>4278</v>
      </c>
      <c r="AU44" s="3173" t="s">
        <v>4279</v>
      </c>
      <c r="AV44" s="3173" t="s">
        <v>4280</v>
      </c>
      <c r="AW44" s="3180"/>
      <c r="AX44" s="3224">
        <f t="shared" ca="1" si="1"/>
        <v>80086</v>
      </c>
    </row>
    <row r="45" spans="1:50" ht="54">
      <c r="A45" s="3173">
        <v>44</v>
      </c>
      <c r="B45" s="3173">
        <v>20240070009</v>
      </c>
      <c r="C45" s="3173"/>
      <c r="D45" s="3173"/>
      <c r="E45" s="3173" t="s">
        <v>4274</v>
      </c>
      <c r="F45" s="3173" t="s">
        <v>4424</v>
      </c>
      <c r="G45" s="3173">
        <v>39.32</v>
      </c>
      <c r="H45" s="3173" t="s">
        <v>4276</v>
      </c>
      <c r="I45" s="3173"/>
      <c r="J45" s="3174">
        <v>45364</v>
      </c>
      <c r="K45" s="3173" t="s">
        <v>4277</v>
      </c>
      <c r="L45" s="3173" t="s">
        <v>4284</v>
      </c>
      <c r="M45" s="3173" t="s">
        <v>4279</v>
      </c>
      <c r="N45" s="3173" t="s">
        <v>4280</v>
      </c>
      <c r="O45" s="3242"/>
      <c r="P45" s="3242">
        <f ca="1">分套结果!$H$19</f>
        <v>80086</v>
      </c>
      <c r="R45" s="3173">
        <v>44</v>
      </c>
      <c r="S45" s="3173" t="s">
        <v>4282</v>
      </c>
      <c r="T45" s="3173"/>
      <c r="U45" s="3173"/>
      <c r="V45" s="3173" t="s">
        <v>4274</v>
      </c>
      <c r="W45" s="3173" t="s">
        <v>4426</v>
      </c>
      <c r="X45" s="3173">
        <v>42.72</v>
      </c>
      <c r="Y45" s="3173" t="s">
        <v>4296</v>
      </c>
      <c r="Z45" s="3173" t="s">
        <v>4282</v>
      </c>
      <c r="AA45" s="3174">
        <v>45276</v>
      </c>
      <c r="AB45" s="3173" t="s">
        <v>4279</v>
      </c>
      <c r="AC45" s="3173" t="s">
        <v>4297</v>
      </c>
      <c r="AD45" s="3173" t="s">
        <v>4279</v>
      </c>
      <c r="AE45" s="3173" t="s">
        <v>4280</v>
      </c>
      <c r="AF45" s="3242">
        <f ca="1">分套结果!AP45</f>
        <v>5845</v>
      </c>
      <c r="AG45" s="3242">
        <f t="shared" ca="1" si="0"/>
        <v>249698.4</v>
      </c>
      <c r="AI45" s="3173">
        <v>44</v>
      </c>
      <c r="AJ45" s="3173" t="s">
        <v>4273</v>
      </c>
      <c r="AK45" s="3173"/>
      <c r="AL45" s="3173"/>
      <c r="AM45" s="3173" t="s">
        <v>4274</v>
      </c>
      <c r="AN45" s="3173" t="s">
        <v>4422</v>
      </c>
      <c r="AO45" s="3173">
        <v>50.34</v>
      </c>
      <c r="AP45" s="3173" t="s">
        <v>4276</v>
      </c>
      <c r="AQ45" s="3173"/>
      <c r="AR45" s="3174">
        <v>45276</v>
      </c>
      <c r="AS45" s="3173" t="s">
        <v>4277</v>
      </c>
      <c r="AT45" s="3173" t="s">
        <v>4278</v>
      </c>
      <c r="AU45" s="3173" t="s">
        <v>4279</v>
      </c>
      <c r="AV45" s="3173" t="s">
        <v>4280</v>
      </c>
      <c r="AW45" s="3180"/>
      <c r="AX45" s="3224">
        <f t="shared" ca="1" si="1"/>
        <v>80086</v>
      </c>
    </row>
    <row r="46" spans="1:50" ht="54">
      <c r="A46" s="3173">
        <v>45</v>
      </c>
      <c r="B46" s="3173">
        <v>20240070009</v>
      </c>
      <c r="C46" s="3173"/>
      <c r="D46" s="3173"/>
      <c r="E46" s="3173" t="s">
        <v>4274</v>
      </c>
      <c r="F46" s="3173" t="s">
        <v>4427</v>
      </c>
      <c r="G46" s="3173">
        <v>39.32</v>
      </c>
      <c r="H46" s="3173" t="s">
        <v>4276</v>
      </c>
      <c r="I46" s="3173"/>
      <c r="J46" s="3174">
        <v>45364</v>
      </c>
      <c r="K46" s="3173" t="s">
        <v>4277</v>
      </c>
      <c r="L46" s="3173" t="s">
        <v>4284</v>
      </c>
      <c r="M46" s="3173" t="s">
        <v>4279</v>
      </c>
      <c r="N46" s="3173" t="s">
        <v>4280</v>
      </c>
      <c r="O46" s="3242"/>
      <c r="P46" s="3242">
        <f ca="1">分套结果!$H$19</f>
        <v>80086</v>
      </c>
      <c r="R46" s="3173">
        <v>45</v>
      </c>
      <c r="S46" s="3173" t="s">
        <v>4282</v>
      </c>
      <c r="T46" s="3173"/>
      <c r="U46" s="3173"/>
      <c r="V46" s="3173" t="s">
        <v>4274</v>
      </c>
      <c r="W46" s="3173" t="s">
        <v>4429</v>
      </c>
      <c r="X46" s="3173">
        <v>44.57</v>
      </c>
      <c r="Y46" s="3173" t="s">
        <v>4296</v>
      </c>
      <c r="Z46" s="3173" t="s">
        <v>4282</v>
      </c>
      <c r="AA46" s="3174">
        <v>45276</v>
      </c>
      <c r="AB46" s="3173" t="s">
        <v>4277</v>
      </c>
      <c r="AC46" s="3173" t="s">
        <v>4297</v>
      </c>
      <c r="AD46" s="3173" t="s">
        <v>4279</v>
      </c>
      <c r="AE46" s="3173" t="s">
        <v>4280</v>
      </c>
      <c r="AF46" s="3242">
        <f ca="1">分套结果!AP46</f>
        <v>5845</v>
      </c>
      <c r="AG46" s="3242">
        <f t="shared" ca="1" si="0"/>
        <v>260511.65</v>
      </c>
      <c r="AI46" s="3173">
        <v>45</v>
      </c>
      <c r="AJ46" s="3173" t="s">
        <v>4273</v>
      </c>
      <c r="AK46" s="3173"/>
      <c r="AL46" s="3173"/>
      <c r="AM46" s="3173" t="s">
        <v>4274</v>
      </c>
      <c r="AN46" s="3173" t="s">
        <v>4425</v>
      </c>
      <c r="AO46" s="3173">
        <v>50.34</v>
      </c>
      <c r="AP46" s="3173" t="s">
        <v>4276</v>
      </c>
      <c r="AQ46" s="3173"/>
      <c r="AR46" s="3174">
        <v>45276</v>
      </c>
      <c r="AS46" s="3173" t="s">
        <v>4277</v>
      </c>
      <c r="AT46" s="3173" t="s">
        <v>4278</v>
      </c>
      <c r="AU46" s="3173" t="s">
        <v>4279</v>
      </c>
      <c r="AV46" s="3173" t="s">
        <v>4280</v>
      </c>
      <c r="AW46" s="3180"/>
      <c r="AX46" s="3224">
        <f t="shared" ca="1" si="1"/>
        <v>80086</v>
      </c>
    </row>
    <row r="47" spans="1:50" ht="54">
      <c r="A47" s="3173">
        <v>46</v>
      </c>
      <c r="B47" s="3173">
        <v>20240070009</v>
      </c>
      <c r="C47" s="3173"/>
      <c r="D47" s="3173"/>
      <c r="E47" s="3173" t="s">
        <v>4274</v>
      </c>
      <c r="F47" s="3173" t="s">
        <v>4430</v>
      </c>
      <c r="G47" s="3173">
        <v>39.32</v>
      </c>
      <c r="H47" s="3173" t="s">
        <v>4276</v>
      </c>
      <c r="I47" s="3173"/>
      <c r="J47" s="3174">
        <v>45364</v>
      </c>
      <c r="K47" s="3173" t="s">
        <v>4277</v>
      </c>
      <c r="L47" s="3173" t="s">
        <v>4284</v>
      </c>
      <c r="M47" s="3173" t="s">
        <v>4279</v>
      </c>
      <c r="N47" s="3173" t="s">
        <v>4280</v>
      </c>
      <c r="O47" s="3242"/>
      <c r="P47" s="3242">
        <f ca="1">分套结果!$H$19</f>
        <v>80086</v>
      </c>
      <c r="R47" s="3173">
        <v>46</v>
      </c>
      <c r="S47" s="3173" t="s">
        <v>4282</v>
      </c>
      <c r="T47" s="3173"/>
      <c r="U47" s="3173"/>
      <c r="V47" s="3173" t="s">
        <v>4274</v>
      </c>
      <c r="W47" s="3173" t="s">
        <v>4432</v>
      </c>
      <c r="X47" s="3173">
        <v>44.67</v>
      </c>
      <c r="Y47" s="3173" t="s">
        <v>4296</v>
      </c>
      <c r="Z47" s="3173" t="s">
        <v>4282</v>
      </c>
      <c r="AA47" s="3174">
        <v>45276</v>
      </c>
      <c r="AB47" s="3173" t="s">
        <v>4279</v>
      </c>
      <c r="AC47" s="3173" t="s">
        <v>4297</v>
      </c>
      <c r="AD47" s="3173" t="s">
        <v>4279</v>
      </c>
      <c r="AE47" s="3173" t="s">
        <v>4280</v>
      </c>
      <c r="AF47" s="3242">
        <f ca="1">分套结果!AP47</f>
        <v>5845</v>
      </c>
      <c r="AG47" s="3242">
        <f t="shared" ca="1" si="0"/>
        <v>261096.15000000002</v>
      </c>
      <c r="AI47" s="3173">
        <v>46</v>
      </c>
      <c r="AJ47" s="3173" t="s">
        <v>4273</v>
      </c>
      <c r="AK47" s="3173"/>
      <c r="AL47" s="3173"/>
      <c r="AM47" s="3173" t="s">
        <v>4274</v>
      </c>
      <c r="AN47" s="3173" t="s">
        <v>4428</v>
      </c>
      <c r="AO47" s="3173">
        <v>50.34</v>
      </c>
      <c r="AP47" s="3173" t="s">
        <v>4276</v>
      </c>
      <c r="AQ47" s="3173"/>
      <c r="AR47" s="3174">
        <v>45276</v>
      </c>
      <c r="AS47" s="3173" t="s">
        <v>4277</v>
      </c>
      <c r="AT47" s="3173" t="s">
        <v>4278</v>
      </c>
      <c r="AU47" s="3173" t="s">
        <v>4279</v>
      </c>
      <c r="AV47" s="3173" t="s">
        <v>4280</v>
      </c>
      <c r="AW47" s="3180"/>
      <c r="AX47" s="3224">
        <f t="shared" ca="1" si="1"/>
        <v>80086</v>
      </c>
    </row>
    <row r="48" spans="1:50" ht="54">
      <c r="A48" s="3173">
        <v>47</v>
      </c>
      <c r="B48" s="3173">
        <v>20240070009</v>
      </c>
      <c r="C48" s="3173"/>
      <c r="D48" s="3173"/>
      <c r="E48" s="3173" t="s">
        <v>4274</v>
      </c>
      <c r="F48" s="3173" t="s">
        <v>4433</v>
      </c>
      <c r="G48" s="3173">
        <v>39.32</v>
      </c>
      <c r="H48" s="3173" t="s">
        <v>4276</v>
      </c>
      <c r="I48" s="3173"/>
      <c r="J48" s="3174">
        <v>45364</v>
      </c>
      <c r="K48" s="3173" t="s">
        <v>4277</v>
      </c>
      <c r="L48" s="3173" t="s">
        <v>4284</v>
      </c>
      <c r="M48" s="3173" t="s">
        <v>4279</v>
      </c>
      <c r="N48" s="3173" t="s">
        <v>4280</v>
      </c>
      <c r="O48" s="3242"/>
      <c r="P48" s="3242">
        <f ca="1">分套结果!$H$19</f>
        <v>80086</v>
      </c>
      <c r="R48" s="3173">
        <v>47</v>
      </c>
      <c r="S48" s="3173" t="s">
        <v>4282</v>
      </c>
      <c r="T48" s="3173"/>
      <c r="U48" s="3173"/>
      <c r="V48" s="3173" t="s">
        <v>4274</v>
      </c>
      <c r="W48" s="3173" t="s">
        <v>4435</v>
      </c>
      <c r="X48" s="3173">
        <v>42.72</v>
      </c>
      <c r="Y48" s="3173" t="s">
        <v>4296</v>
      </c>
      <c r="Z48" s="3173" t="s">
        <v>4282</v>
      </c>
      <c r="AA48" s="3174">
        <v>45276</v>
      </c>
      <c r="AB48" s="3173" t="s">
        <v>4279</v>
      </c>
      <c r="AC48" s="3173" t="s">
        <v>4297</v>
      </c>
      <c r="AD48" s="3173" t="s">
        <v>4279</v>
      </c>
      <c r="AE48" s="3173" t="s">
        <v>4280</v>
      </c>
      <c r="AF48" s="3242">
        <f ca="1">分套结果!AP48</f>
        <v>5845</v>
      </c>
      <c r="AG48" s="3242">
        <f t="shared" ca="1" si="0"/>
        <v>249698.4</v>
      </c>
      <c r="AI48" s="3173">
        <v>47</v>
      </c>
      <c r="AJ48" s="3173" t="s">
        <v>4273</v>
      </c>
      <c r="AK48" s="3173"/>
      <c r="AL48" s="3173"/>
      <c r="AM48" s="3173" t="s">
        <v>4274</v>
      </c>
      <c r="AN48" s="3173" t="s">
        <v>4431</v>
      </c>
      <c r="AO48" s="3173">
        <v>49.3</v>
      </c>
      <c r="AP48" s="3173" t="s">
        <v>4276</v>
      </c>
      <c r="AQ48" s="3173"/>
      <c r="AR48" s="3174">
        <v>45276</v>
      </c>
      <c r="AS48" s="3173" t="s">
        <v>4277</v>
      </c>
      <c r="AT48" s="3173" t="s">
        <v>4278</v>
      </c>
      <c r="AU48" s="3173" t="s">
        <v>4279</v>
      </c>
      <c r="AV48" s="3173" t="s">
        <v>4280</v>
      </c>
      <c r="AW48" s="3180"/>
      <c r="AX48" s="3224">
        <f t="shared" ca="1" si="1"/>
        <v>80086</v>
      </c>
    </row>
    <row r="49" spans="1:50" ht="54">
      <c r="A49" s="3173">
        <v>48</v>
      </c>
      <c r="B49" s="3173">
        <v>20240070009</v>
      </c>
      <c r="C49" s="3173"/>
      <c r="D49" s="3173"/>
      <c r="E49" s="3173" t="s">
        <v>4274</v>
      </c>
      <c r="F49" s="3173" t="s">
        <v>4436</v>
      </c>
      <c r="G49" s="3173">
        <v>39.32</v>
      </c>
      <c r="H49" s="3173" t="s">
        <v>4276</v>
      </c>
      <c r="I49" s="3173"/>
      <c r="J49" s="3174">
        <v>45364</v>
      </c>
      <c r="K49" s="3173" t="s">
        <v>4277</v>
      </c>
      <c r="L49" s="3173" t="s">
        <v>4284</v>
      </c>
      <c r="M49" s="3173" t="s">
        <v>4279</v>
      </c>
      <c r="N49" s="3173" t="s">
        <v>4280</v>
      </c>
      <c r="O49" s="3242"/>
      <c r="P49" s="3242">
        <f ca="1">分套结果!$H$19</f>
        <v>80086</v>
      </c>
      <c r="R49" s="3173">
        <v>48</v>
      </c>
      <c r="S49" s="3173" t="s">
        <v>4282</v>
      </c>
      <c r="T49" s="3173"/>
      <c r="U49" s="3173"/>
      <c r="V49" s="3173" t="s">
        <v>4274</v>
      </c>
      <c r="W49" s="3173" t="s">
        <v>4438</v>
      </c>
      <c r="X49" s="3173">
        <v>42.72</v>
      </c>
      <c r="Y49" s="3173" t="s">
        <v>4296</v>
      </c>
      <c r="Z49" s="3173" t="s">
        <v>4282</v>
      </c>
      <c r="AA49" s="3174">
        <v>45276</v>
      </c>
      <c r="AB49" s="3173" t="s">
        <v>4277</v>
      </c>
      <c r="AC49" s="3173" t="s">
        <v>4288</v>
      </c>
      <c r="AD49" s="3173" t="s">
        <v>4279</v>
      </c>
      <c r="AE49" s="3173" t="s">
        <v>4280</v>
      </c>
      <c r="AF49" s="3242">
        <f ca="1">分套结果!AP49</f>
        <v>5845</v>
      </c>
      <c r="AG49" s="3242">
        <f t="shared" ca="1" si="0"/>
        <v>249698.4</v>
      </c>
      <c r="AI49" s="3173">
        <v>48</v>
      </c>
      <c r="AJ49" s="3173" t="s">
        <v>4273</v>
      </c>
      <c r="AK49" s="3173"/>
      <c r="AL49" s="3173"/>
      <c r="AM49" s="3173" t="s">
        <v>4274</v>
      </c>
      <c r="AN49" s="3173" t="s">
        <v>4434</v>
      </c>
      <c r="AO49" s="3173">
        <v>50.34</v>
      </c>
      <c r="AP49" s="3173" t="s">
        <v>4276</v>
      </c>
      <c r="AQ49" s="3173"/>
      <c r="AR49" s="3174">
        <v>45276</v>
      </c>
      <c r="AS49" s="3173" t="s">
        <v>4277</v>
      </c>
      <c r="AT49" s="3173" t="s">
        <v>4278</v>
      </c>
      <c r="AU49" s="3173" t="s">
        <v>4279</v>
      </c>
      <c r="AV49" s="3173" t="s">
        <v>4280</v>
      </c>
      <c r="AW49" s="3180"/>
      <c r="AX49" s="3224">
        <f t="shared" ca="1" si="1"/>
        <v>80086</v>
      </c>
    </row>
    <row r="50" spans="1:50" ht="54">
      <c r="A50" s="3173">
        <v>49</v>
      </c>
      <c r="B50" s="3173">
        <v>20240070009</v>
      </c>
      <c r="C50" s="3173"/>
      <c r="D50" s="3173"/>
      <c r="E50" s="3173" t="s">
        <v>4274</v>
      </c>
      <c r="F50" s="3173" t="s">
        <v>4439</v>
      </c>
      <c r="G50" s="3173">
        <v>39.32</v>
      </c>
      <c r="H50" s="3173" t="s">
        <v>4276</v>
      </c>
      <c r="I50" s="3173"/>
      <c r="J50" s="3174">
        <v>45364</v>
      </c>
      <c r="K50" s="3173" t="s">
        <v>4277</v>
      </c>
      <c r="L50" s="3173" t="s">
        <v>4284</v>
      </c>
      <c r="M50" s="3173" t="s">
        <v>4279</v>
      </c>
      <c r="N50" s="3173" t="s">
        <v>4280</v>
      </c>
      <c r="O50" s="3242"/>
      <c r="P50" s="3242">
        <f ca="1">分套结果!$H$19</f>
        <v>80086</v>
      </c>
      <c r="R50" s="3173">
        <v>49</v>
      </c>
      <c r="S50" s="3173" t="s">
        <v>4282</v>
      </c>
      <c r="T50" s="3173"/>
      <c r="U50" s="3173"/>
      <c r="V50" s="3173" t="s">
        <v>4274</v>
      </c>
      <c r="W50" s="3173" t="s">
        <v>4441</v>
      </c>
      <c r="X50" s="3173">
        <v>42.72</v>
      </c>
      <c r="Y50" s="3173" t="s">
        <v>4296</v>
      </c>
      <c r="Z50" s="3173" t="s">
        <v>4282</v>
      </c>
      <c r="AA50" s="3174">
        <v>45276</v>
      </c>
      <c r="AB50" s="3173" t="s">
        <v>4277</v>
      </c>
      <c r="AC50" s="3173" t="s">
        <v>4288</v>
      </c>
      <c r="AD50" s="3173" t="s">
        <v>4279</v>
      </c>
      <c r="AE50" s="3173" t="s">
        <v>4280</v>
      </c>
      <c r="AF50" s="3242">
        <f ca="1">分套结果!AP50</f>
        <v>5845</v>
      </c>
      <c r="AG50" s="3242">
        <f t="shared" ca="1" si="0"/>
        <v>249698.4</v>
      </c>
      <c r="AI50" s="3173">
        <v>49</v>
      </c>
      <c r="AJ50" s="3173" t="s">
        <v>4273</v>
      </c>
      <c r="AK50" s="3173"/>
      <c r="AL50" s="3173"/>
      <c r="AM50" s="3173" t="s">
        <v>4274</v>
      </c>
      <c r="AN50" s="3173" t="s">
        <v>4437</v>
      </c>
      <c r="AO50" s="3173">
        <v>49.3</v>
      </c>
      <c r="AP50" s="3173" t="s">
        <v>4276</v>
      </c>
      <c r="AQ50" s="3173"/>
      <c r="AR50" s="3174">
        <v>45276</v>
      </c>
      <c r="AS50" s="3173" t="s">
        <v>4277</v>
      </c>
      <c r="AT50" s="3173" t="s">
        <v>4278</v>
      </c>
      <c r="AU50" s="3173" t="s">
        <v>4279</v>
      </c>
      <c r="AV50" s="3173" t="s">
        <v>4280</v>
      </c>
      <c r="AW50" s="3180"/>
      <c r="AX50" s="3224">
        <f t="shared" ca="1" si="1"/>
        <v>80086</v>
      </c>
    </row>
    <row r="51" spans="1:50" ht="54">
      <c r="A51" s="3173">
        <v>50</v>
      </c>
      <c r="B51" s="3173">
        <v>20240070009</v>
      </c>
      <c r="C51" s="3173"/>
      <c r="D51" s="3173"/>
      <c r="E51" s="3173" t="s">
        <v>4274</v>
      </c>
      <c r="F51" s="3173" t="s">
        <v>4442</v>
      </c>
      <c r="G51" s="3173">
        <v>39.32</v>
      </c>
      <c r="H51" s="3173" t="s">
        <v>4276</v>
      </c>
      <c r="I51" s="3173"/>
      <c r="J51" s="3174">
        <v>45364</v>
      </c>
      <c r="K51" s="3173" t="s">
        <v>4277</v>
      </c>
      <c r="L51" s="3173" t="s">
        <v>4278</v>
      </c>
      <c r="M51" s="3173" t="s">
        <v>4279</v>
      </c>
      <c r="N51" s="3173" t="s">
        <v>4280</v>
      </c>
      <c r="O51" s="3242"/>
      <c r="P51" s="3242">
        <f ca="1">分套结果!$H$19</f>
        <v>80086</v>
      </c>
      <c r="R51" s="3173">
        <v>50</v>
      </c>
      <c r="S51" s="3173" t="s">
        <v>4282</v>
      </c>
      <c r="T51" s="3173"/>
      <c r="U51" s="3173"/>
      <c r="V51" s="3173" t="s">
        <v>4274</v>
      </c>
      <c r="W51" s="3173" t="s">
        <v>4444</v>
      </c>
      <c r="X51" s="3173">
        <v>42.72</v>
      </c>
      <c r="Y51" s="3173" t="s">
        <v>4296</v>
      </c>
      <c r="Z51" s="3173" t="s">
        <v>4282</v>
      </c>
      <c r="AA51" s="3174">
        <v>45276</v>
      </c>
      <c r="AB51" s="3173" t="s">
        <v>4279</v>
      </c>
      <c r="AC51" s="3173" t="s">
        <v>4297</v>
      </c>
      <c r="AD51" s="3173" t="s">
        <v>4279</v>
      </c>
      <c r="AE51" s="3173" t="s">
        <v>4280</v>
      </c>
      <c r="AF51" s="3242">
        <f ca="1">分套结果!AP51</f>
        <v>5845</v>
      </c>
      <c r="AG51" s="3242">
        <f t="shared" ca="1" si="0"/>
        <v>249698.4</v>
      </c>
      <c r="AI51" s="3173">
        <v>50</v>
      </c>
      <c r="AJ51" s="3173" t="s">
        <v>4273</v>
      </c>
      <c r="AK51" s="3173"/>
      <c r="AL51" s="3173"/>
      <c r="AM51" s="3173" t="s">
        <v>4274</v>
      </c>
      <c r="AN51" s="3173" t="s">
        <v>4440</v>
      </c>
      <c r="AO51" s="3173">
        <v>50.34</v>
      </c>
      <c r="AP51" s="3173" t="s">
        <v>4276</v>
      </c>
      <c r="AQ51" s="3173"/>
      <c r="AR51" s="3174">
        <v>45276</v>
      </c>
      <c r="AS51" s="3173" t="s">
        <v>4277</v>
      </c>
      <c r="AT51" s="3173" t="s">
        <v>4278</v>
      </c>
      <c r="AU51" s="3173" t="s">
        <v>4279</v>
      </c>
      <c r="AV51" s="3173" t="s">
        <v>4280</v>
      </c>
      <c r="AW51" s="3180"/>
      <c r="AX51" s="3224">
        <f t="shared" ca="1" si="1"/>
        <v>80086</v>
      </c>
    </row>
    <row r="52" spans="1:50" ht="54">
      <c r="A52" s="3173">
        <v>51</v>
      </c>
      <c r="B52" s="3173">
        <v>20240070009</v>
      </c>
      <c r="C52" s="3173"/>
      <c r="D52" s="3173"/>
      <c r="E52" s="3173" t="s">
        <v>4274</v>
      </c>
      <c r="F52" s="3173" t="s">
        <v>4445</v>
      </c>
      <c r="G52" s="3173">
        <v>39.32</v>
      </c>
      <c r="H52" s="3173" t="s">
        <v>4276</v>
      </c>
      <c r="I52" s="3173"/>
      <c r="J52" s="3174">
        <v>45364</v>
      </c>
      <c r="K52" s="3173" t="s">
        <v>4277</v>
      </c>
      <c r="L52" s="3173" t="s">
        <v>4278</v>
      </c>
      <c r="M52" s="3173" t="s">
        <v>4279</v>
      </c>
      <c r="N52" s="3173" t="s">
        <v>4280</v>
      </c>
      <c r="O52" s="3242"/>
      <c r="P52" s="3242">
        <f ca="1">分套结果!$H$19</f>
        <v>80086</v>
      </c>
      <c r="R52" s="3173">
        <v>51</v>
      </c>
      <c r="S52" s="3173" t="s">
        <v>4282</v>
      </c>
      <c r="T52" s="3173"/>
      <c r="U52" s="3173"/>
      <c r="V52" s="3173" t="s">
        <v>4274</v>
      </c>
      <c r="W52" s="3173" t="s">
        <v>4447</v>
      </c>
      <c r="X52" s="3173">
        <v>42.72</v>
      </c>
      <c r="Y52" s="3173" t="s">
        <v>4296</v>
      </c>
      <c r="Z52" s="3173" t="s">
        <v>4282</v>
      </c>
      <c r="AA52" s="3174">
        <v>45276</v>
      </c>
      <c r="AB52" s="3173" t="s">
        <v>4279</v>
      </c>
      <c r="AC52" s="3173" t="s">
        <v>4297</v>
      </c>
      <c r="AD52" s="3173" t="s">
        <v>4279</v>
      </c>
      <c r="AE52" s="3173" t="s">
        <v>4280</v>
      </c>
      <c r="AF52" s="3242">
        <f ca="1">分套结果!AP52</f>
        <v>5845</v>
      </c>
      <c r="AG52" s="3242">
        <f t="shared" ca="1" si="0"/>
        <v>249698.4</v>
      </c>
      <c r="AI52" s="3173">
        <v>51</v>
      </c>
      <c r="AJ52" s="3173" t="s">
        <v>4273</v>
      </c>
      <c r="AK52" s="3173"/>
      <c r="AL52" s="3173"/>
      <c r="AM52" s="3173" t="s">
        <v>4274</v>
      </c>
      <c r="AN52" s="3173" t="s">
        <v>4443</v>
      </c>
      <c r="AO52" s="3173">
        <v>50.34</v>
      </c>
      <c r="AP52" s="3173" t="s">
        <v>4276</v>
      </c>
      <c r="AQ52" s="3173"/>
      <c r="AR52" s="3174">
        <v>45276</v>
      </c>
      <c r="AS52" s="3173" t="s">
        <v>4277</v>
      </c>
      <c r="AT52" s="3173" t="s">
        <v>4278</v>
      </c>
      <c r="AU52" s="3173" t="s">
        <v>4279</v>
      </c>
      <c r="AV52" s="3173" t="s">
        <v>4280</v>
      </c>
      <c r="AW52" s="3180"/>
      <c r="AX52" s="3224">
        <f t="shared" ca="1" si="1"/>
        <v>80086</v>
      </c>
    </row>
    <row r="53" spans="1:50" ht="54">
      <c r="A53" s="3173">
        <v>52</v>
      </c>
      <c r="B53" s="3173">
        <v>20240070009</v>
      </c>
      <c r="C53" s="3173"/>
      <c r="D53" s="3173"/>
      <c r="E53" s="3173" t="s">
        <v>4274</v>
      </c>
      <c r="F53" s="3173" t="s">
        <v>4448</v>
      </c>
      <c r="G53" s="3173">
        <v>39.32</v>
      </c>
      <c r="H53" s="3173" t="s">
        <v>4276</v>
      </c>
      <c r="I53" s="3173"/>
      <c r="J53" s="3174">
        <v>45364</v>
      </c>
      <c r="K53" s="3173" t="s">
        <v>4277</v>
      </c>
      <c r="L53" s="3173" t="s">
        <v>4278</v>
      </c>
      <c r="M53" s="3173" t="s">
        <v>4279</v>
      </c>
      <c r="N53" s="3173" t="s">
        <v>4280</v>
      </c>
      <c r="O53" s="3242"/>
      <c r="P53" s="3242">
        <f ca="1">分套结果!$H$19</f>
        <v>80086</v>
      </c>
      <c r="R53" s="3173">
        <v>52</v>
      </c>
      <c r="S53" s="3173" t="s">
        <v>4282</v>
      </c>
      <c r="T53" s="3173"/>
      <c r="U53" s="3173"/>
      <c r="V53" s="3173" t="s">
        <v>4274</v>
      </c>
      <c r="W53" s="3173" t="s">
        <v>4450</v>
      </c>
      <c r="X53" s="3173">
        <v>66.12</v>
      </c>
      <c r="Y53" s="3173" t="s">
        <v>4296</v>
      </c>
      <c r="Z53" s="3173" t="s">
        <v>4282</v>
      </c>
      <c r="AA53" s="3174">
        <v>45276</v>
      </c>
      <c r="AB53" s="3173" t="s">
        <v>4279</v>
      </c>
      <c r="AC53" s="3173" t="s">
        <v>4297</v>
      </c>
      <c r="AD53" s="3173" t="s">
        <v>4279</v>
      </c>
      <c r="AE53" s="3173" t="s">
        <v>4280</v>
      </c>
      <c r="AF53" s="3242">
        <f ca="1">分套结果!AP53</f>
        <v>5845</v>
      </c>
      <c r="AG53" s="3242">
        <f t="shared" ca="1" si="0"/>
        <v>386471.4</v>
      </c>
      <c r="AI53" s="3173">
        <v>52</v>
      </c>
      <c r="AJ53" s="3173" t="s">
        <v>4273</v>
      </c>
      <c r="AK53" s="3173"/>
      <c r="AL53" s="3173"/>
      <c r="AM53" s="3173" t="s">
        <v>4274</v>
      </c>
      <c r="AN53" s="3173" t="s">
        <v>4446</v>
      </c>
      <c r="AO53" s="3173">
        <v>50.34</v>
      </c>
      <c r="AP53" s="3173" t="s">
        <v>4276</v>
      </c>
      <c r="AQ53" s="3173"/>
      <c r="AR53" s="3174">
        <v>45276</v>
      </c>
      <c r="AS53" s="3173" t="s">
        <v>4277</v>
      </c>
      <c r="AT53" s="3173" t="s">
        <v>4278</v>
      </c>
      <c r="AU53" s="3173" t="s">
        <v>4279</v>
      </c>
      <c r="AV53" s="3173" t="s">
        <v>4280</v>
      </c>
      <c r="AW53" s="3180"/>
      <c r="AX53" s="3224">
        <f t="shared" ca="1" si="1"/>
        <v>80086</v>
      </c>
    </row>
    <row r="54" spans="1:50" ht="54">
      <c r="A54" s="3173">
        <v>53</v>
      </c>
      <c r="B54" s="3173">
        <v>20240070009</v>
      </c>
      <c r="C54" s="3173"/>
      <c r="D54" s="3173"/>
      <c r="E54" s="3173" t="s">
        <v>4274</v>
      </c>
      <c r="F54" s="3173" t="s">
        <v>4451</v>
      </c>
      <c r="G54" s="3173">
        <v>39.32</v>
      </c>
      <c r="H54" s="3173" t="s">
        <v>4276</v>
      </c>
      <c r="I54" s="3173"/>
      <c r="J54" s="3174">
        <v>45364</v>
      </c>
      <c r="K54" s="3173" t="s">
        <v>4277</v>
      </c>
      <c r="L54" s="3173" t="s">
        <v>4284</v>
      </c>
      <c r="M54" s="3173" t="s">
        <v>4279</v>
      </c>
      <c r="N54" s="3173" t="s">
        <v>4280</v>
      </c>
      <c r="O54" s="3242"/>
      <c r="P54" s="3242">
        <f ca="1">分套结果!$H$19</f>
        <v>80086</v>
      </c>
      <c r="R54" s="3173">
        <v>53</v>
      </c>
      <c r="S54" s="3173" t="s">
        <v>4282</v>
      </c>
      <c r="T54" s="3173"/>
      <c r="U54" s="3173"/>
      <c r="V54" s="3173" t="s">
        <v>4274</v>
      </c>
      <c r="W54" s="3173" t="s">
        <v>4453</v>
      </c>
      <c r="X54" s="3173">
        <v>44.67</v>
      </c>
      <c r="Y54" s="3173" t="s">
        <v>4296</v>
      </c>
      <c r="Z54" s="3173" t="s">
        <v>4282</v>
      </c>
      <c r="AA54" s="3174">
        <v>45276</v>
      </c>
      <c r="AB54" s="3173" t="s">
        <v>4279</v>
      </c>
      <c r="AC54" s="3173" t="s">
        <v>4297</v>
      </c>
      <c r="AD54" s="3173" t="s">
        <v>4279</v>
      </c>
      <c r="AE54" s="3173" t="s">
        <v>4280</v>
      </c>
      <c r="AF54" s="3242">
        <f ca="1">分套结果!AP54</f>
        <v>5845</v>
      </c>
      <c r="AG54" s="3242">
        <f t="shared" ca="1" si="0"/>
        <v>261096.15000000002</v>
      </c>
      <c r="AI54" s="3173">
        <v>53</v>
      </c>
      <c r="AJ54" s="3173" t="s">
        <v>4273</v>
      </c>
      <c r="AK54" s="3173"/>
      <c r="AL54" s="3173"/>
      <c r="AM54" s="3173" t="s">
        <v>4274</v>
      </c>
      <c r="AN54" s="3173" t="s">
        <v>4449</v>
      </c>
      <c r="AO54" s="3173">
        <v>50.34</v>
      </c>
      <c r="AP54" s="3173" t="s">
        <v>4276</v>
      </c>
      <c r="AQ54" s="3173"/>
      <c r="AR54" s="3174">
        <v>45276</v>
      </c>
      <c r="AS54" s="3173" t="s">
        <v>4277</v>
      </c>
      <c r="AT54" s="3173" t="s">
        <v>4278</v>
      </c>
      <c r="AU54" s="3173" t="s">
        <v>4279</v>
      </c>
      <c r="AV54" s="3173" t="s">
        <v>4280</v>
      </c>
      <c r="AW54" s="3180"/>
      <c r="AX54" s="3224">
        <f t="shared" ca="1" si="1"/>
        <v>80086</v>
      </c>
    </row>
    <row r="55" spans="1:50" ht="54">
      <c r="A55" s="3173">
        <v>54</v>
      </c>
      <c r="B55" s="3173">
        <v>20240070009</v>
      </c>
      <c r="C55" s="3173"/>
      <c r="D55" s="3173"/>
      <c r="E55" s="3173" t="s">
        <v>4274</v>
      </c>
      <c r="F55" s="3173" t="s">
        <v>4454</v>
      </c>
      <c r="G55" s="3173">
        <v>39.32</v>
      </c>
      <c r="H55" s="3173" t="s">
        <v>4276</v>
      </c>
      <c r="I55" s="3173"/>
      <c r="J55" s="3174">
        <v>45364</v>
      </c>
      <c r="K55" s="3173" t="s">
        <v>4277</v>
      </c>
      <c r="L55" s="3173" t="s">
        <v>4284</v>
      </c>
      <c r="M55" s="3173" t="s">
        <v>4279</v>
      </c>
      <c r="N55" s="3173" t="s">
        <v>4280</v>
      </c>
      <c r="O55" s="3242"/>
      <c r="P55" s="3242">
        <f ca="1">分套结果!$H$19</f>
        <v>80086</v>
      </c>
      <c r="R55" s="3173">
        <v>54</v>
      </c>
      <c r="S55" s="3173" t="s">
        <v>4282</v>
      </c>
      <c r="T55" s="3173"/>
      <c r="U55" s="3173"/>
      <c r="V55" s="3173" t="s">
        <v>4274</v>
      </c>
      <c r="W55" s="3173" t="s">
        <v>4456</v>
      </c>
      <c r="X55" s="3173">
        <v>44.57</v>
      </c>
      <c r="Y55" s="3173" t="s">
        <v>4296</v>
      </c>
      <c r="Z55" s="3173" t="s">
        <v>4282</v>
      </c>
      <c r="AA55" s="3174">
        <v>45276</v>
      </c>
      <c r="AB55" s="3173" t="s">
        <v>4279</v>
      </c>
      <c r="AC55" s="3173" t="s">
        <v>4297</v>
      </c>
      <c r="AD55" s="3173" t="s">
        <v>4279</v>
      </c>
      <c r="AE55" s="3173" t="s">
        <v>4280</v>
      </c>
      <c r="AF55" s="3242">
        <f ca="1">分套结果!AP55</f>
        <v>5845</v>
      </c>
      <c r="AG55" s="3242">
        <f t="shared" ca="1" si="0"/>
        <v>260511.65</v>
      </c>
      <c r="AI55" s="3173">
        <v>54</v>
      </c>
      <c r="AJ55" s="3173" t="s">
        <v>4273</v>
      </c>
      <c r="AK55" s="3173"/>
      <c r="AL55" s="3173"/>
      <c r="AM55" s="3173" t="s">
        <v>4274</v>
      </c>
      <c r="AN55" s="3173" t="s">
        <v>4452</v>
      </c>
      <c r="AO55" s="3173">
        <v>50.34</v>
      </c>
      <c r="AP55" s="3173" t="s">
        <v>4276</v>
      </c>
      <c r="AQ55" s="3173"/>
      <c r="AR55" s="3174">
        <v>45276</v>
      </c>
      <c r="AS55" s="3173" t="s">
        <v>4277</v>
      </c>
      <c r="AT55" s="3173" t="s">
        <v>4278</v>
      </c>
      <c r="AU55" s="3173" t="s">
        <v>4279</v>
      </c>
      <c r="AV55" s="3173" t="s">
        <v>4280</v>
      </c>
      <c r="AW55" s="3180"/>
      <c r="AX55" s="3224">
        <f t="shared" ca="1" si="1"/>
        <v>80086</v>
      </c>
    </row>
    <row r="56" spans="1:50" ht="54">
      <c r="A56" s="3173">
        <v>55</v>
      </c>
      <c r="B56" s="3173">
        <v>20240070009</v>
      </c>
      <c r="C56" s="3173"/>
      <c r="D56" s="3173"/>
      <c r="E56" s="3173" t="s">
        <v>4274</v>
      </c>
      <c r="F56" s="3173" t="s">
        <v>4457</v>
      </c>
      <c r="G56" s="3173">
        <v>37.68</v>
      </c>
      <c r="H56" s="3173" t="s">
        <v>4276</v>
      </c>
      <c r="I56" s="3173"/>
      <c r="J56" s="3174">
        <v>45364</v>
      </c>
      <c r="K56" s="3173" t="s">
        <v>4277</v>
      </c>
      <c r="L56" s="3173" t="s">
        <v>4284</v>
      </c>
      <c r="M56" s="3173" t="s">
        <v>4279</v>
      </c>
      <c r="N56" s="3173" t="s">
        <v>4280</v>
      </c>
      <c r="O56" s="3242"/>
      <c r="P56" s="3242">
        <f ca="1">分套结果!$H$19</f>
        <v>80086</v>
      </c>
      <c r="R56" s="3173">
        <v>55</v>
      </c>
      <c r="S56" s="3173" t="s">
        <v>4282</v>
      </c>
      <c r="T56" s="3173"/>
      <c r="U56" s="3173"/>
      <c r="V56" s="3173" t="s">
        <v>4274</v>
      </c>
      <c r="W56" s="3173" t="s">
        <v>4459</v>
      </c>
      <c r="X56" s="3173">
        <v>42.72</v>
      </c>
      <c r="Y56" s="3173" t="s">
        <v>4296</v>
      </c>
      <c r="Z56" s="3173" t="s">
        <v>4282</v>
      </c>
      <c r="AA56" s="3174">
        <v>45276</v>
      </c>
      <c r="AB56" s="3173" t="s">
        <v>4279</v>
      </c>
      <c r="AC56" s="3173" t="s">
        <v>4297</v>
      </c>
      <c r="AD56" s="3173" t="s">
        <v>4279</v>
      </c>
      <c r="AE56" s="3173" t="s">
        <v>4280</v>
      </c>
      <c r="AF56" s="3242">
        <f ca="1">分套结果!AP56</f>
        <v>5845</v>
      </c>
      <c r="AG56" s="3242">
        <f t="shared" ca="1" si="0"/>
        <v>249698.4</v>
      </c>
      <c r="AI56" s="3173">
        <v>55</v>
      </c>
      <c r="AJ56" s="3173" t="s">
        <v>4273</v>
      </c>
      <c r="AK56" s="3173"/>
      <c r="AL56" s="3173"/>
      <c r="AM56" s="3173" t="s">
        <v>4274</v>
      </c>
      <c r="AN56" s="3173" t="s">
        <v>4455</v>
      </c>
      <c r="AO56" s="3173">
        <v>50.34</v>
      </c>
      <c r="AP56" s="3173" t="s">
        <v>4276</v>
      </c>
      <c r="AQ56" s="3173"/>
      <c r="AR56" s="3174">
        <v>45276</v>
      </c>
      <c r="AS56" s="3173" t="s">
        <v>4277</v>
      </c>
      <c r="AT56" s="3173" t="s">
        <v>4278</v>
      </c>
      <c r="AU56" s="3173" t="s">
        <v>4279</v>
      </c>
      <c r="AV56" s="3173" t="s">
        <v>4280</v>
      </c>
      <c r="AW56" s="3180"/>
      <c r="AX56" s="3224">
        <f t="shared" ca="1" si="1"/>
        <v>80086</v>
      </c>
    </row>
    <row r="57" spans="1:50" ht="54">
      <c r="A57" s="3173">
        <v>56</v>
      </c>
      <c r="B57" s="3173">
        <v>20240070009</v>
      </c>
      <c r="C57" s="3173"/>
      <c r="D57" s="3173"/>
      <c r="E57" s="3173" t="s">
        <v>4274</v>
      </c>
      <c r="F57" s="3173" t="s">
        <v>4460</v>
      </c>
      <c r="G57" s="3173">
        <v>39.32</v>
      </c>
      <c r="H57" s="3173" t="s">
        <v>4276</v>
      </c>
      <c r="I57" s="3173"/>
      <c r="J57" s="3174">
        <v>45364</v>
      </c>
      <c r="K57" s="3173" t="s">
        <v>4277</v>
      </c>
      <c r="L57" s="3173" t="s">
        <v>4284</v>
      </c>
      <c r="M57" s="3173" t="s">
        <v>4279</v>
      </c>
      <c r="N57" s="3173" t="s">
        <v>4280</v>
      </c>
      <c r="O57" s="3242"/>
      <c r="P57" s="3242">
        <f ca="1">分套结果!$H$19</f>
        <v>80086</v>
      </c>
      <c r="R57" s="3173">
        <v>56</v>
      </c>
      <c r="S57" s="3173" t="s">
        <v>4282</v>
      </c>
      <c r="T57" s="3173"/>
      <c r="U57" s="3173"/>
      <c r="V57" s="3173" t="s">
        <v>4274</v>
      </c>
      <c r="W57" s="3173" t="s">
        <v>4461</v>
      </c>
      <c r="X57" s="3173">
        <v>42.72</v>
      </c>
      <c r="Y57" s="3173" t="s">
        <v>4296</v>
      </c>
      <c r="Z57" s="3173" t="s">
        <v>4282</v>
      </c>
      <c r="AA57" s="3174">
        <v>45276</v>
      </c>
      <c r="AB57" s="3173" t="s">
        <v>4277</v>
      </c>
      <c r="AC57" s="3173" t="s">
        <v>4284</v>
      </c>
      <c r="AD57" s="3173" t="s">
        <v>4279</v>
      </c>
      <c r="AE57" s="3173" t="s">
        <v>4280</v>
      </c>
      <c r="AF57" s="3242">
        <f ca="1">分套结果!AP57</f>
        <v>5845</v>
      </c>
      <c r="AG57" s="3242">
        <f t="shared" ca="1" si="0"/>
        <v>249698.4</v>
      </c>
      <c r="AI57" s="3173">
        <v>56</v>
      </c>
      <c r="AJ57" s="3173" t="s">
        <v>4273</v>
      </c>
      <c r="AK57" s="3173"/>
      <c r="AL57" s="3173"/>
      <c r="AM57" s="3173" t="s">
        <v>4274</v>
      </c>
      <c r="AN57" s="3173" t="s">
        <v>4458</v>
      </c>
      <c r="AO57" s="3173">
        <v>50.34</v>
      </c>
      <c r="AP57" s="3173" t="s">
        <v>4276</v>
      </c>
      <c r="AQ57" s="3173"/>
      <c r="AR57" s="3174">
        <v>45276</v>
      </c>
      <c r="AS57" s="3173" t="s">
        <v>4277</v>
      </c>
      <c r="AT57" s="3173" t="s">
        <v>4278</v>
      </c>
      <c r="AU57" s="3173" t="s">
        <v>4279</v>
      </c>
      <c r="AV57" s="3173" t="s">
        <v>4280</v>
      </c>
      <c r="AW57" s="3180"/>
      <c r="AX57" s="3224">
        <f t="shared" ca="1" si="1"/>
        <v>80086</v>
      </c>
    </row>
    <row r="58" spans="1:50" ht="54">
      <c r="A58" s="3173">
        <v>57</v>
      </c>
      <c r="B58" s="3173">
        <v>20240070009</v>
      </c>
      <c r="C58" s="3173"/>
      <c r="D58" s="3173"/>
      <c r="E58" s="3173" t="s">
        <v>4274</v>
      </c>
      <c r="F58" s="3173" t="s">
        <v>4462</v>
      </c>
      <c r="G58" s="3173">
        <v>39.32</v>
      </c>
      <c r="H58" s="3173" t="s">
        <v>4276</v>
      </c>
      <c r="I58" s="3173"/>
      <c r="J58" s="3174">
        <v>45364</v>
      </c>
      <c r="K58" s="3173" t="s">
        <v>4277</v>
      </c>
      <c r="L58" s="3173" t="s">
        <v>4284</v>
      </c>
      <c r="M58" s="3173" t="s">
        <v>4279</v>
      </c>
      <c r="N58" s="3173" t="s">
        <v>4280</v>
      </c>
      <c r="O58" s="3242"/>
      <c r="P58" s="3242">
        <f ca="1">分套结果!$H$19</f>
        <v>80086</v>
      </c>
      <c r="R58" s="3173">
        <v>57</v>
      </c>
      <c r="S58" s="3173" t="s">
        <v>4282</v>
      </c>
      <c r="T58" s="3173"/>
      <c r="U58" s="3173"/>
      <c r="V58" s="3173" t="s">
        <v>4274</v>
      </c>
      <c r="W58" s="3173" t="s">
        <v>4463</v>
      </c>
      <c r="X58" s="3173">
        <v>51.35</v>
      </c>
      <c r="Y58" s="3173" t="s">
        <v>4296</v>
      </c>
      <c r="Z58" s="3173" t="s">
        <v>4282</v>
      </c>
      <c r="AA58" s="3174">
        <v>45276</v>
      </c>
      <c r="AB58" s="3173" t="s">
        <v>4277</v>
      </c>
      <c r="AC58" s="3173" t="s">
        <v>4297</v>
      </c>
      <c r="AD58" s="3173" t="s">
        <v>4279</v>
      </c>
      <c r="AE58" s="3173" t="s">
        <v>4280</v>
      </c>
      <c r="AF58" s="3242">
        <f ca="1">分套结果!AP58</f>
        <v>5845</v>
      </c>
      <c r="AG58" s="3242">
        <f t="shared" ca="1" si="0"/>
        <v>300140.75</v>
      </c>
      <c r="AI58" s="3173">
        <v>57</v>
      </c>
      <c r="AJ58" s="3173" t="s">
        <v>4273</v>
      </c>
      <c r="AK58" s="3173"/>
      <c r="AL58" s="3173"/>
      <c r="AM58" s="3173" t="s">
        <v>4274</v>
      </c>
      <c r="AN58" s="3173" t="s">
        <v>4383</v>
      </c>
      <c r="AO58" s="3173">
        <v>104.3</v>
      </c>
      <c r="AP58" s="3173" t="s">
        <v>672</v>
      </c>
      <c r="AQ58" s="3173"/>
      <c r="AR58" s="3174">
        <v>45276</v>
      </c>
      <c r="AS58" s="3173" t="s">
        <v>4279</v>
      </c>
      <c r="AT58" s="3173" t="s">
        <v>4278</v>
      </c>
      <c r="AU58" s="3173" t="s">
        <v>4279</v>
      </c>
      <c r="AV58" s="3173" t="s">
        <v>4280</v>
      </c>
      <c r="AW58" s="3180">
        <f ca="1">分套结果!BH58</f>
        <v>11071</v>
      </c>
      <c r="AX58" s="3224">
        <f ca="1">AO58*AW58</f>
        <v>1154705.3</v>
      </c>
    </row>
    <row r="59" spans="1:50" ht="54">
      <c r="A59" s="3173">
        <v>58</v>
      </c>
      <c r="B59" s="3173">
        <v>20240070009</v>
      </c>
      <c r="C59" s="3173"/>
      <c r="D59" s="3173"/>
      <c r="E59" s="3173" t="s">
        <v>4274</v>
      </c>
      <c r="F59" s="3173" t="s">
        <v>4464</v>
      </c>
      <c r="G59" s="3173">
        <v>39.32</v>
      </c>
      <c r="H59" s="3173" t="s">
        <v>4276</v>
      </c>
      <c r="I59" s="3173"/>
      <c r="J59" s="3174">
        <v>45364</v>
      </c>
      <c r="K59" s="3173" t="s">
        <v>4277</v>
      </c>
      <c r="L59" s="3173" t="s">
        <v>4284</v>
      </c>
      <c r="M59" s="3173" t="s">
        <v>4279</v>
      </c>
      <c r="N59" s="3173" t="s">
        <v>4280</v>
      </c>
      <c r="O59" s="3242"/>
      <c r="P59" s="3242">
        <f ca="1">分套结果!$H$19</f>
        <v>80086</v>
      </c>
      <c r="R59" s="3173">
        <v>58</v>
      </c>
      <c r="S59" s="3173" t="s">
        <v>4282</v>
      </c>
      <c r="T59" s="3173"/>
      <c r="U59" s="3173"/>
      <c r="V59" s="3173" t="s">
        <v>4274</v>
      </c>
      <c r="W59" s="3173" t="s">
        <v>4465</v>
      </c>
      <c r="X59" s="3173">
        <v>44.57</v>
      </c>
      <c r="Y59" s="3173" t="s">
        <v>4296</v>
      </c>
      <c r="Z59" s="3173" t="s">
        <v>4282</v>
      </c>
      <c r="AA59" s="3174">
        <v>45276</v>
      </c>
      <c r="AB59" s="3173" t="s">
        <v>4277</v>
      </c>
      <c r="AC59" s="3173" t="s">
        <v>4288</v>
      </c>
      <c r="AD59" s="3173" t="s">
        <v>4279</v>
      </c>
      <c r="AE59" s="3173" t="s">
        <v>4280</v>
      </c>
      <c r="AF59" s="3242">
        <f ca="1">分套结果!AP59</f>
        <v>5845</v>
      </c>
      <c r="AG59" s="3242">
        <f t="shared" ca="1" si="0"/>
        <v>260511.65</v>
      </c>
      <c r="AI59" s="3173">
        <v>58</v>
      </c>
      <c r="AJ59" s="3173" t="s">
        <v>4273</v>
      </c>
      <c r="AK59" s="3173"/>
      <c r="AL59" s="3173"/>
      <c r="AM59" s="3173" t="s">
        <v>4274</v>
      </c>
      <c r="AN59" s="3173" t="s">
        <v>4404</v>
      </c>
      <c r="AO59" s="3173">
        <v>69.05</v>
      </c>
      <c r="AP59" s="3173" t="s">
        <v>672</v>
      </c>
      <c r="AQ59" s="3173"/>
      <c r="AR59" s="3174">
        <v>45276</v>
      </c>
      <c r="AS59" s="3173" t="s">
        <v>4279</v>
      </c>
      <c r="AT59" s="3173" t="s">
        <v>4297</v>
      </c>
      <c r="AU59" s="3173" t="s">
        <v>4279</v>
      </c>
      <c r="AV59" s="3173" t="s">
        <v>4280</v>
      </c>
      <c r="AW59" s="3180">
        <f ca="1">分套结果!BH59</f>
        <v>11071</v>
      </c>
      <c r="AX59" s="3224">
        <f t="shared" ref="AX59:AX107" ca="1" si="2">AO59*AW59</f>
        <v>764452.54999999993</v>
      </c>
    </row>
    <row r="60" spans="1:50" ht="54">
      <c r="A60" s="3173">
        <v>59</v>
      </c>
      <c r="B60" s="3173">
        <v>20240070009</v>
      </c>
      <c r="C60" s="3173"/>
      <c r="D60" s="3173"/>
      <c r="E60" s="3173" t="s">
        <v>4274</v>
      </c>
      <c r="F60" s="3173" t="s">
        <v>4466</v>
      </c>
      <c r="G60" s="3173">
        <v>39.32</v>
      </c>
      <c r="H60" s="3173" t="s">
        <v>4276</v>
      </c>
      <c r="I60" s="3173"/>
      <c r="J60" s="3174">
        <v>45364</v>
      </c>
      <c r="K60" s="3173" t="s">
        <v>4277</v>
      </c>
      <c r="L60" s="3173" t="s">
        <v>4284</v>
      </c>
      <c r="M60" s="3173" t="s">
        <v>4279</v>
      </c>
      <c r="N60" s="3173" t="s">
        <v>4280</v>
      </c>
      <c r="O60" s="3242"/>
      <c r="P60" s="3242">
        <f ca="1">分套结果!$H$19</f>
        <v>80086</v>
      </c>
      <c r="R60" s="3173">
        <v>59</v>
      </c>
      <c r="S60" s="3173" t="s">
        <v>4282</v>
      </c>
      <c r="T60" s="3173"/>
      <c r="U60" s="3173"/>
      <c r="V60" s="3173" t="s">
        <v>4274</v>
      </c>
      <c r="W60" s="3173" t="s">
        <v>4467</v>
      </c>
      <c r="X60" s="3173">
        <v>44.57</v>
      </c>
      <c r="Y60" s="3173" t="s">
        <v>4296</v>
      </c>
      <c r="Z60" s="3173" t="s">
        <v>4282</v>
      </c>
      <c r="AA60" s="3174">
        <v>45276</v>
      </c>
      <c r="AB60" s="3173" t="s">
        <v>4277</v>
      </c>
      <c r="AC60" s="3173" t="s">
        <v>4288</v>
      </c>
      <c r="AD60" s="3173" t="s">
        <v>4279</v>
      </c>
      <c r="AE60" s="3173" t="s">
        <v>4280</v>
      </c>
      <c r="AF60" s="3242">
        <f ca="1">分套结果!AP60</f>
        <v>5845</v>
      </c>
      <c r="AG60" s="3242">
        <f t="shared" ca="1" si="0"/>
        <v>260511.65</v>
      </c>
      <c r="AI60" s="3173">
        <v>59</v>
      </c>
      <c r="AJ60" s="3173" t="s">
        <v>4273</v>
      </c>
      <c r="AK60" s="3173"/>
      <c r="AL60" s="3173"/>
      <c r="AM60" s="3173" t="s">
        <v>4274</v>
      </c>
      <c r="AN60" s="3173" t="s">
        <v>4275</v>
      </c>
      <c r="AO60" s="3173">
        <v>25.26</v>
      </c>
      <c r="AP60" s="3173" t="s">
        <v>672</v>
      </c>
      <c r="AQ60" s="3173"/>
      <c r="AR60" s="3174">
        <v>45276</v>
      </c>
      <c r="AS60" s="3173" t="s">
        <v>4277</v>
      </c>
      <c r="AT60" s="3173" t="s">
        <v>4278</v>
      </c>
      <c r="AU60" s="3173" t="s">
        <v>4279</v>
      </c>
      <c r="AV60" s="3173" t="s">
        <v>4280</v>
      </c>
      <c r="AW60" s="3180">
        <f ca="1">分套结果!BH60</f>
        <v>5536</v>
      </c>
      <c r="AX60" s="3224">
        <f t="shared" ca="1" si="2"/>
        <v>139839.36000000002</v>
      </c>
    </row>
    <row r="61" spans="1:50" ht="54">
      <c r="A61" s="3173">
        <v>60</v>
      </c>
      <c r="B61" s="3173">
        <v>20240070009</v>
      </c>
      <c r="C61" s="3173"/>
      <c r="D61" s="3173"/>
      <c r="E61" s="3173" t="s">
        <v>4274</v>
      </c>
      <c r="F61" s="3173" t="s">
        <v>4468</v>
      </c>
      <c r="G61" s="3173">
        <v>39.32</v>
      </c>
      <c r="H61" s="3173" t="s">
        <v>4276</v>
      </c>
      <c r="I61" s="3173"/>
      <c r="J61" s="3174">
        <v>45364</v>
      </c>
      <c r="K61" s="3173" t="s">
        <v>4277</v>
      </c>
      <c r="L61" s="3173" t="s">
        <v>4284</v>
      </c>
      <c r="M61" s="3173" t="s">
        <v>4279</v>
      </c>
      <c r="N61" s="3173" t="s">
        <v>4280</v>
      </c>
      <c r="O61" s="3242"/>
      <c r="P61" s="3242">
        <f ca="1">分套结果!$H$19</f>
        <v>80086</v>
      </c>
      <c r="R61" s="3173">
        <v>60</v>
      </c>
      <c r="S61" s="3173" t="s">
        <v>4282</v>
      </c>
      <c r="T61" s="3173"/>
      <c r="U61" s="3173"/>
      <c r="V61" s="3173" t="s">
        <v>4274</v>
      </c>
      <c r="W61" s="3173" t="s">
        <v>4469</v>
      </c>
      <c r="X61" s="3173">
        <v>42.72</v>
      </c>
      <c r="Y61" s="3173" t="s">
        <v>4296</v>
      </c>
      <c r="Z61" s="3173" t="s">
        <v>4282</v>
      </c>
      <c r="AA61" s="3174">
        <v>45276</v>
      </c>
      <c r="AB61" s="3173" t="s">
        <v>4279</v>
      </c>
      <c r="AC61" s="3173" t="s">
        <v>4297</v>
      </c>
      <c r="AD61" s="3173" t="s">
        <v>4279</v>
      </c>
      <c r="AE61" s="3173" t="s">
        <v>4280</v>
      </c>
      <c r="AF61" s="3242">
        <f ca="1">分套结果!AP61</f>
        <v>5845</v>
      </c>
      <c r="AG61" s="3242">
        <f t="shared" ca="1" si="0"/>
        <v>249698.4</v>
      </c>
      <c r="AI61" s="3173">
        <v>60</v>
      </c>
      <c r="AJ61" s="3173" t="s">
        <v>4273</v>
      </c>
      <c r="AK61" s="3173"/>
      <c r="AL61" s="3173"/>
      <c r="AM61" s="3173" t="s">
        <v>4274</v>
      </c>
      <c r="AN61" s="3173" t="s">
        <v>4285</v>
      </c>
      <c r="AO61" s="3173">
        <v>30.85</v>
      </c>
      <c r="AP61" s="3173" t="s">
        <v>672</v>
      </c>
      <c r="AQ61" s="3173"/>
      <c r="AR61" s="3174">
        <v>45276</v>
      </c>
      <c r="AS61" s="3173" t="s">
        <v>4277</v>
      </c>
      <c r="AT61" s="3173" t="s">
        <v>4278</v>
      </c>
      <c r="AU61" s="3173" t="s">
        <v>4279</v>
      </c>
      <c r="AV61" s="3173" t="s">
        <v>4280</v>
      </c>
      <c r="AW61" s="3180">
        <f ca="1">分套结果!BH61</f>
        <v>5536</v>
      </c>
      <c r="AX61" s="3224">
        <f t="shared" ca="1" si="2"/>
        <v>170785.6</v>
      </c>
    </row>
    <row r="62" spans="1:50" ht="54">
      <c r="A62" s="3173">
        <v>61</v>
      </c>
      <c r="B62" s="3173">
        <v>20240070009</v>
      </c>
      <c r="C62" s="3173"/>
      <c r="D62" s="3173"/>
      <c r="E62" s="3173" t="s">
        <v>4274</v>
      </c>
      <c r="F62" s="3173" t="s">
        <v>4470</v>
      </c>
      <c r="G62" s="3173">
        <v>39.32</v>
      </c>
      <c r="H62" s="3173" t="s">
        <v>4276</v>
      </c>
      <c r="I62" s="3173"/>
      <c r="J62" s="3174">
        <v>45364</v>
      </c>
      <c r="K62" s="3173" t="s">
        <v>4277</v>
      </c>
      <c r="L62" s="3173" t="s">
        <v>4297</v>
      </c>
      <c r="M62" s="3173" t="s">
        <v>4279</v>
      </c>
      <c r="N62" s="3173" t="s">
        <v>4280</v>
      </c>
      <c r="O62" s="3242"/>
      <c r="P62" s="3242">
        <f ca="1">分套结果!$H$19</f>
        <v>80086</v>
      </c>
      <c r="R62" s="3173">
        <v>61</v>
      </c>
      <c r="S62" s="3173" t="s">
        <v>4282</v>
      </c>
      <c r="T62" s="3173"/>
      <c r="U62" s="3173"/>
      <c r="V62" s="3173" t="s">
        <v>4274</v>
      </c>
      <c r="W62" s="3173" t="s">
        <v>4471</v>
      </c>
      <c r="X62" s="3173">
        <v>42.72</v>
      </c>
      <c r="Y62" s="3173" t="s">
        <v>4296</v>
      </c>
      <c r="Z62" s="3173" t="s">
        <v>4282</v>
      </c>
      <c r="AA62" s="3174">
        <v>45276</v>
      </c>
      <c r="AB62" s="3173" t="s">
        <v>4277</v>
      </c>
      <c r="AC62" s="3173" t="s">
        <v>4288</v>
      </c>
      <c r="AD62" s="3173" t="s">
        <v>4279</v>
      </c>
      <c r="AE62" s="3173" t="s">
        <v>4280</v>
      </c>
      <c r="AF62" s="3242">
        <f ca="1">分套结果!AP62</f>
        <v>5845</v>
      </c>
      <c r="AG62" s="3242">
        <f t="shared" ca="1" si="0"/>
        <v>249698.4</v>
      </c>
      <c r="AI62" s="3173">
        <v>61</v>
      </c>
      <c r="AJ62" s="3173" t="s">
        <v>4273</v>
      </c>
      <c r="AK62" s="3173"/>
      <c r="AL62" s="3173"/>
      <c r="AM62" s="3173" t="s">
        <v>4274</v>
      </c>
      <c r="AN62" s="3173" t="s">
        <v>4290</v>
      </c>
      <c r="AO62" s="3173">
        <v>33.31</v>
      </c>
      <c r="AP62" s="3173" t="s">
        <v>672</v>
      </c>
      <c r="AQ62" s="3173"/>
      <c r="AR62" s="3174">
        <v>45276</v>
      </c>
      <c r="AS62" s="3173" t="s">
        <v>4277</v>
      </c>
      <c r="AT62" s="3173" t="s">
        <v>4278</v>
      </c>
      <c r="AU62" s="3173" t="s">
        <v>4279</v>
      </c>
      <c r="AV62" s="3173" t="s">
        <v>4280</v>
      </c>
      <c r="AW62" s="3180">
        <f ca="1">分套结果!BH62</f>
        <v>5536</v>
      </c>
      <c r="AX62" s="3224">
        <f t="shared" ca="1" si="2"/>
        <v>184404.16</v>
      </c>
    </row>
    <row r="63" spans="1:50" ht="54">
      <c r="A63" s="3173">
        <v>62</v>
      </c>
      <c r="B63" s="3173">
        <v>20240070009</v>
      </c>
      <c r="C63" s="3173"/>
      <c r="D63" s="3173"/>
      <c r="E63" s="3173" t="s">
        <v>4274</v>
      </c>
      <c r="F63" s="3173" t="s">
        <v>4472</v>
      </c>
      <c r="G63" s="3173">
        <v>39.32</v>
      </c>
      <c r="H63" s="3173" t="s">
        <v>4276</v>
      </c>
      <c r="I63" s="3173"/>
      <c r="J63" s="3174">
        <v>45364</v>
      </c>
      <c r="K63" s="3173" t="s">
        <v>4277</v>
      </c>
      <c r="L63" s="3173" t="s">
        <v>4284</v>
      </c>
      <c r="M63" s="3173" t="s">
        <v>4279</v>
      </c>
      <c r="N63" s="3173" t="s">
        <v>4280</v>
      </c>
      <c r="O63" s="3242"/>
      <c r="P63" s="3242">
        <f ca="1">分套结果!$H$19</f>
        <v>80086</v>
      </c>
      <c r="R63" s="3173">
        <v>62</v>
      </c>
      <c r="S63" s="3173" t="s">
        <v>4282</v>
      </c>
      <c r="T63" s="3173"/>
      <c r="U63" s="3173"/>
      <c r="V63" s="3173" t="s">
        <v>4274</v>
      </c>
      <c r="W63" s="3173" t="s">
        <v>4473</v>
      </c>
      <c r="X63" s="3173">
        <v>42.72</v>
      </c>
      <c r="Y63" s="3173" t="s">
        <v>4296</v>
      </c>
      <c r="Z63" s="3173" t="s">
        <v>4282</v>
      </c>
      <c r="AA63" s="3174">
        <v>45276</v>
      </c>
      <c r="AB63" s="3173" t="s">
        <v>4277</v>
      </c>
      <c r="AC63" s="3173" t="s">
        <v>4288</v>
      </c>
      <c r="AD63" s="3173" t="s">
        <v>4279</v>
      </c>
      <c r="AE63" s="3173" t="s">
        <v>4280</v>
      </c>
      <c r="AF63" s="3242">
        <f ca="1">分套结果!AP63</f>
        <v>5845</v>
      </c>
      <c r="AG63" s="3242">
        <f t="shared" ca="1" si="0"/>
        <v>249698.4</v>
      </c>
      <c r="AI63" s="3173">
        <v>62</v>
      </c>
      <c r="AJ63" s="3173" t="s">
        <v>4273</v>
      </c>
      <c r="AK63" s="3173"/>
      <c r="AL63" s="3173"/>
      <c r="AM63" s="3173" t="s">
        <v>4274</v>
      </c>
      <c r="AN63" s="3173" t="s">
        <v>4294</v>
      </c>
      <c r="AO63" s="3173">
        <v>33.99</v>
      </c>
      <c r="AP63" s="3173" t="s">
        <v>672</v>
      </c>
      <c r="AQ63" s="3173"/>
      <c r="AR63" s="3174">
        <v>45276</v>
      </c>
      <c r="AS63" s="3173" t="s">
        <v>4277</v>
      </c>
      <c r="AT63" s="3173" t="s">
        <v>4278</v>
      </c>
      <c r="AU63" s="3173" t="s">
        <v>4279</v>
      </c>
      <c r="AV63" s="3173" t="s">
        <v>4280</v>
      </c>
      <c r="AW63" s="3180">
        <f ca="1">分套结果!BH63</f>
        <v>5536</v>
      </c>
      <c r="AX63" s="3224">
        <f t="shared" ca="1" si="2"/>
        <v>188168.64</v>
      </c>
    </row>
    <row r="64" spans="1:50" ht="54">
      <c r="A64" s="3173">
        <v>63</v>
      </c>
      <c r="B64" s="3173">
        <v>20240070009</v>
      </c>
      <c r="C64" s="3173"/>
      <c r="D64" s="3173"/>
      <c r="E64" s="3173" t="s">
        <v>4274</v>
      </c>
      <c r="F64" s="3173" t="s">
        <v>4474</v>
      </c>
      <c r="G64" s="3173">
        <v>39.32</v>
      </c>
      <c r="H64" s="3173" t="s">
        <v>4276</v>
      </c>
      <c r="I64" s="3173"/>
      <c r="J64" s="3174">
        <v>45364</v>
      </c>
      <c r="K64" s="3173" t="s">
        <v>4277</v>
      </c>
      <c r="L64" s="3173" t="s">
        <v>4284</v>
      </c>
      <c r="M64" s="3173" t="s">
        <v>4279</v>
      </c>
      <c r="N64" s="3173" t="s">
        <v>4280</v>
      </c>
      <c r="O64" s="3242"/>
      <c r="P64" s="3242">
        <f ca="1">分套结果!$H$19</f>
        <v>80086</v>
      </c>
      <c r="R64" s="3173">
        <v>63</v>
      </c>
      <c r="S64" s="3173" t="s">
        <v>4282</v>
      </c>
      <c r="T64" s="3173"/>
      <c r="U64" s="3173"/>
      <c r="V64" s="3173" t="s">
        <v>4274</v>
      </c>
      <c r="W64" s="3173" t="s">
        <v>4475</v>
      </c>
      <c r="X64" s="3173">
        <v>44.57</v>
      </c>
      <c r="Y64" s="3173" t="s">
        <v>4296</v>
      </c>
      <c r="Z64" s="3173" t="s">
        <v>4282</v>
      </c>
      <c r="AA64" s="3174">
        <v>45276</v>
      </c>
      <c r="AB64" s="3173" t="s">
        <v>4277</v>
      </c>
      <c r="AC64" s="3173" t="s">
        <v>4288</v>
      </c>
      <c r="AD64" s="3173" t="s">
        <v>4279</v>
      </c>
      <c r="AE64" s="3173" t="s">
        <v>4280</v>
      </c>
      <c r="AF64" s="3242">
        <f ca="1">分套结果!AP64</f>
        <v>5845</v>
      </c>
      <c r="AG64" s="3242">
        <f t="shared" ca="1" si="0"/>
        <v>260511.65</v>
      </c>
      <c r="AI64" s="3173">
        <v>63</v>
      </c>
      <c r="AJ64" s="3173" t="s">
        <v>4273</v>
      </c>
      <c r="AK64" s="3173"/>
      <c r="AL64" s="3173"/>
      <c r="AM64" s="3173" t="s">
        <v>4274</v>
      </c>
      <c r="AN64" s="3173" t="s">
        <v>4299</v>
      </c>
      <c r="AO64" s="3173">
        <v>35.99</v>
      </c>
      <c r="AP64" s="3173" t="s">
        <v>672</v>
      </c>
      <c r="AQ64" s="3173"/>
      <c r="AR64" s="3174">
        <v>45276</v>
      </c>
      <c r="AS64" s="3173" t="s">
        <v>4277</v>
      </c>
      <c r="AT64" s="3173" t="s">
        <v>4278</v>
      </c>
      <c r="AU64" s="3173" t="s">
        <v>4279</v>
      </c>
      <c r="AV64" s="3173" t="s">
        <v>4280</v>
      </c>
      <c r="AW64" s="3180">
        <f ca="1">分套结果!BH64</f>
        <v>5536</v>
      </c>
      <c r="AX64" s="3224">
        <f t="shared" ca="1" si="2"/>
        <v>199240.64</v>
      </c>
    </row>
    <row r="65" spans="1:50" ht="54">
      <c r="A65" s="3173">
        <v>64</v>
      </c>
      <c r="B65" s="3173">
        <v>20240070009</v>
      </c>
      <c r="C65" s="3173"/>
      <c r="D65" s="3173"/>
      <c r="E65" s="3173" t="s">
        <v>4274</v>
      </c>
      <c r="F65" s="3173" t="s">
        <v>4476</v>
      </c>
      <c r="G65" s="3173">
        <v>39.32</v>
      </c>
      <c r="H65" s="3173" t="s">
        <v>4276</v>
      </c>
      <c r="I65" s="3173"/>
      <c r="J65" s="3174">
        <v>45364</v>
      </c>
      <c r="K65" s="3173" t="s">
        <v>4277</v>
      </c>
      <c r="L65" s="3173" t="s">
        <v>4284</v>
      </c>
      <c r="M65" s="3173" t="s">
        <v>4279</v>
      </c>
      <c r="N65" s="3173" t="s">
        <v>4280</v>
      </c>
      <c r="O65" s="3242"/>
      <c r="P65" s="3242">
        <f ca="1">分套结果!$H$19</f>
        <v>80086</v>
      </c>
      <c r="R65" s="3173">
        <v>64</v>
      </c>
      <c r="S65" s="3173" t="s">
        <v>4282</v>
      </c>
      <c r="T65" s="3173"/>
      <c r="U65" s="3173"/>
      <c r="V65" s="3173" t="s">
        <v>4274</v>
      </c>
      <c r="W65" s="3173" t="s">
        <v>4477</v>
      </c>
      <c r="X65" s="3173">
        <v>42.72</v>
      </c>
      <c r="Y65" s="3173" t="s">
        <v>4296</v>
      </c>
      <c r="Z65" s="3173" t="s">
        <v>4282</v>
      </c>
      <c r="AA65" s="3174">
        <v>45276</v>
      </c>
      <c r="AB65" s="3173" t="s">
        <v>4277</v>
      </c>
      <c r="AC65" s="3173" t="s">
        <v>4297</v>
      </c>
      <c r="AD65" s="3173" t="s">
        <v>4279</v>
      </c>
      <c r="AE65" s="3173" t="s">
        <v>4280</v>
      </c>
      <c r="AF65" s="3242">
        <f ca="1">分套结果!AP65</f>
        <v>5845</v>
      </c>
      <c r="AG65" s="3242">
        <f t="shared" ca="1" si="0"/>
        <v>249698.4</v>
      </c>
      <c r="AI65" s="3173">
        <v>64</v>
      </c>
      <c r="AJ65" s="3173" t="s">
        <v>4273</v>
      </c>
      <c r="AK65" s="3173"/>
      <c r="AL65" s="3173"/>
      <c r="AM65" s="3173" t="s">
        <v>4274</v>
      </c>
      <c r="AN65" s="3173" t="s">
        <v>4303</v>
      </c>
      <c r="AO65" s="3173">
        <v>36.92</v>
      </c>
      <c r="AP65" s="3173" t="s">
        <v>672</v>
      </c>
      <c r="AQ65" s="3173"/>
      <c r="AR65" s="3174">
        <v>45276</v>
      </c>
      <c r="AS65" s="3173" t="s">
        <v>4277</v>
      </c>
      <c r="AT65" s="3173" t="s">
        <v>4278</v>
      </c>
      <c r="AU65" s="3173" t="s">
        <v>4279</v>
      </c>
      <c r="AV65" s="3173" t="s">
        <v>4280</v>
      </c>
      <c r="AW65" s="3180">
        <f ca="1">分套结果!BH65</f>
        <v>5536</v>
      </c>
      <c r="AX65" s="3224">
        <f t="shared" ca="1" si="2"/>
        <v>204389.12</v>
      </c>
    </row>
    <row r="66" spans="1:50" ht="54">
      <c r="A66" s="3173">
        <v>65</v>
      </c>
      <c r="B66" s="3173">
        <v>20240070009</v>
      </c>
      <c r="C66" s="3173"/>
      <c r="D66" s="3173"/>
      <c r="E66" s="3173" t="s">
        <v>4274</v>
      </c>
      <c r="F66" s="3173" t="s">
        <v>4478</v>
      </c>
      <c r="G66" s="3173">
        <v>39.32</v>
      </c>
      <c r="H66" s="3173" t="s">
        <v>4276</v>
      </c>
      <c r="I66" s="3173"/>
      <c r="J66" s="3174">
        <v>45364</v>
      </c>
      <c r="K66" s="3173" t="s">
        <v>4277</v>
      </c>
      <c r="L66" s="3173" t="s">
        <v>4284</v>
      </c>
      <c r="M66" s="3173" t="s">
        <v>4279</v>
      </c>
      <c r="N66" s="3173" t="s">
        <v>4280</v>
      </c>
      <c r="O66" s="3242"/>
      <c r="P66" s="3242">
        <f ca="1">分套结果!$H$19</f>
        <v>80086</v>
      </c>
      <c r="R66" s="3173">
        <v>65</v>
      </c>
      <c r="S66" s="3173" t="s">
        <v>4282</v>
      </c>
      <c r="T66" s="3173"/>
      <c r="U66" s="3173"/>
      <c r="V66" s="3173" t="s">
        <v>4274</v>
      </c>
      <c r="W66" s="3173" t="s">
        <v>4479</v>
      </c>
      <c r="X66" s="3173">
        <v>42.72</v>
      </c>
      <c r="Y66" s="3173" t="s">
        <v>4296</v>
      </c>
      <c r="Z66" s="3173" t="s">
        <v>4282</v>
      </c>
      <c r="AA66" s="3174">
        <v>45276</v>
      </c>
      <c r="AB66" s="3173" t="s">
        <v>4277</v>
      </c>
      <c r="AC66" s="3173" t="s">
        <v>4288</v>
      </c>
      <c r="AD66" s="3173" t="s">
        <v>4279</v>
      </c>
      <c r="AE66" s="3173" t="s">
        <v>4280</v>
      </c>
      <c r="AF66" s="3242">
        <f ca="1">分套结果!AP66</f>
        <v>5845</v>
      </c>
      <c r="AG66" s="3242">
        <f t="shared" ca="1" si="0"/>
        <v>249698.4</v>
      </c>
      <c r="AI66" s="3173">
        <v>65</v>
      </c>
      <c r="AJ66" s="3173" t="s">
        <v>4273</v>
      </c>
      <c r="AK66" s="3173"/>
      <c r="AL66" s="3173"/>
      <c r="AM66" s="3173" t="s">
        <v>4274</v>
      </c>
      <c r="AN66" s="3173" t="s">
        <v>4307</v>
      </c>
      <c r="AO66" s="3173">
        <v>36.17</v>
      </c>
      <c r="AP66" s="3173" t="s">
        <v>672</v>
      </c>
      <c r="AQ66" s="3173"/>
      <c r="AR66" s="3174">
        <v>45276</v>
      </c>
      <c r="AS66" s="3173" t="s">
        <v>4277</v>
      </c>
      <c r="AT66" s="3173" t="s">
        <v>4278</v>
      </c>
      <c r="AU66" s="3173" t="s">
        <v>4279</v>
      </c>
      <c r="AV66" s="3173" t="s">
        <v>4280</v>
      </c>
      <c r="AW66" s="3180">
        <f ca="1">分套结果!BH66</f>
        <v>5536</v>
      </c>
      <c r="AX66" s="3224">
        <f t="shared" ca="1" si="2"/>
        <v>200237.12</v>
      </c>
    </row>
    <row r="67" spans="1:50" ht="54">
      <c r="A67" s="3173">
        <v>66</v>
      </c>
      <c r="B67" s="3173">
        <v>20240070009</v>
      </c>
      <c r="C67" s="3173"/>
      <c r="D67" s="3173"/>
      <c r="E67" s="3173" t="s">
        <v>4274</v>
      </c>
      <c r="F67" s="3173" t="s">
        <v>4480</v>
      </c>
      <c r="G67" s="3173">
        <v>39.32</v>
      </c>
      <c r="H67" s="3173" t="s">
        <v>4276</v>
      </c>
      <c r="I67" s="3173"/>
      <c r="J67" s="3174">
        <v>45364</v>
      </c>
      <c r="K67" s="3173" t="s">
        <v>4277</v>
      </c>
      <c r="L67" s="3173" t="s">
        <v>4284</v>
      </c>
      <c r="M67" s="3173" t="s">
        <v>4279</v>
      </c>
      <c r="N67" s="3173" t="s">
        <v>4280</v>
      </c>
      <c r="O67" s="3242"/>
      <c r="P67" s="3242">
        <f ca="1">分套结果!$H$19</f>
        <v>80086</v>
      </c>
      <c r="R67" s="3173">
        <v>66</v>
      </c>
      <c r="S67" s="3173" t="s">
        <v>4282</v>
      </c>
      <c r="T67" s="3173"/>
      <c r="U67" s="3173"/>
      <c r="V67" s="3173" t="s">
        <v>4274</v>
      </c>
      <c r="W67" s="3173" t="s">
        <v>4481</v>
      </c>
      <c r="X67" s="3173">
        <v>42.72</v>
      </c>
      <c r="Y67" s="3173" t="s">
        <v>4296</v>
      </c>
      <c r="Z67" s="3173" t="s">
        <v>4282</v>
      </c>
      <c r="AA67" s="3174">
        <v>45276</v>
      </c>
      <c r="AB67" s="3173" t="s">
        <v>4277</v>
      </c>
      <c r="AC67" s="3173" t="s">
        <v>4288</v>
      </c>
      <c r="AD67" s="3173" t="s">
        <v>4279</v>
      </c>
      <c r="AE67" s="3173" t="s">
        <v>4280</v>
      </c>
      <c r="AF67" s="3242">
        <f ca="1">分套结果!AP67</f>
        <v>5845</v>
      </c>
      <c r="AG67" s="3242">
        <f t="shared" ref="AG67:AG73" ca="1" si="3">AF67*X67</f>
        <v>249698.4</v>
      </c>
      <c r="AI67" s="3173">
        <v>66</v>
      </c>
      <c r="AJ67" s="3173" t="s">
        <v>4273</v>
      </c>
      <c r="AK67" s="3173"/>
      <c r="AL67" s="3173"/>
      <c r="AM67" s="3173" t="s">
        <v>4274</v>
      </c>
      <c r="AN67" s="3173" t="s">
        <v>4311</v>
      </c>
      <c r="AO67" s="3173">
        <v>22.28</v>
      </c>
      <c r="AP67" s="3173" t="s">
        <v>672</v>
      </c>
      <c r="AQ67" s="3173"/>
      <c r="AR67" s="3174">
        <v>45276</v>
      </c>
      <c r="AS67" s="3173" t="s">
        <v>4277</v>
      </c>
      <c r="AT67" s="3173" t="s">
        <v>4278</v>
      </c>
      <c r="AU67" s="3173" t="s">
        <v>4279</v>
      </c>
      <c r="AV67" s="3173" t="s">
        <v>4280</v>
      </c>
      <c r="AW67" s="3180">
        <f ca="1">分套结果!BH67</f>
        <v>5536</v>
      </c>
      <c r="AX67" s="3224">
        <f t="shared" ca="1" si="2"/>
        <v>123342.08</v>
      </c>
    </row>
    <row r="68" spans="1:50" ht="54">
      <c r="A68" s="3173">
        <v>67</v>
      </c>
      <c r="B68" s="3173">
        <v>20240070009</v>
      </c>
      <c r="C68" s="3173"/>
      <c r="D68" s="3173"/>
      <c r="E68" s="3173" t="s">
        <v>4274</v>
      </c>
      <c r="F68" s="3173" t="s">
        <v>4482</v>
      </c>
      <c r="G68" s="3173">
        <v>39.32</v>
      </c>
      <c r="H68" s="3173" t="s">
        <v>4276</v>
      </c>
      <c r="I68" s="3173"/>
      <c r="J68" s="3174">
        <v>45364</v>
      </c>
      <c r="K68" s="3173" t="s">
        <v>4277</v>
      </c>
      <c r="L68" s="3173" t="s">
        <v>4284</v>
      </c>
      <c r="M68" s="3173" t="s">
        <v>4279</v>
      </c>
      <c r="N68" s="3173" t="s">
        <v>4280</v>
      </c>
      <c r="O68" s="3242"/>
      <c r="P68" s="3242">
        <f ca="1">分套结果!$H$19</f>
        <v>80086</v>
      </c>
      <c r="R68" s="3173">
        <v>67</v>
      </c>
      <c r="S68" s="3173" t="s">
        <v>4282</v>
      </c>
      <c r="T68" s="3173"/>
      <c r="U68" s="3173"/>
      <c r="V68" s="3173" t="s">
        <v>4274</v>
      </c>
      <c r="W68" s="3173" t="s">
        <v>4483</v>
      </c>
      <c r="X68" s="3173">
        <v>42.72</v>
      </c>
      <c r="Y68" s="3173" t="s">
        <v>4296</v>
      </c>
      <c r="Z68" s="3173" t="s">
        <v>4282</v>
      </c>
      <c r="AA68" s="3174">
        <v>45276</v>
      </c>
      <c r="AB68" s="3173" t="s">
        <v>4277</v>
      </c>
      <c r="AC68" s="3173" t="s">
        <v>4288</v>
      </c>
      <c r="AD68" s="3173" t="s">
        <v>4279</v>
      </c>
      <c r="AE68" s="3173" t="s">
        <v>4280</v>
      </c>
      <c r="AF68" s="3242">
        <f ca="1">分套结果!AP68</f>
        <v>5845</v>
      </c>
      <c r="AG68" s="3242">
        <f t="shared" ca="1" si="3"/>
        <v>249698.4</v>
      </c>
      <c r="AI68" s="3173">
        <v>67</v>
      </c>
      <c r="AJ68" s="3173" t="s">
        <v>4273</v>
      </c>
      <c r="AK68" s="3173"/>
      <c r="AL68" s="3173"/>
      <c r="AM68" s="3173" t="s">
        <v>4274</v>
      </c>
      <c r="AN68" s="3173" t="s">
        <v>4314</v>
      </c>
      <c r="AO68" s="3173">
        <v>36.630000000000003</v>
      </c>
      <c r="AP68" s="3173" t="s">
        <v>672</v>
      </c>
      <c r="AQ68" s="3173"/>
      <c r="AR68" s="3174">
        <v>45276</v>
      </c>
      <c r="AS68" s="3173" t="s">
        <v>4277</v>
      </c>
      <c r="AT68" s="3173" t="s">
        <v>4278</v>
      </c>
      <c r="AU68" s="3173" t="s">
        <v>4279</v>
      </c>
      <c r="AV68" s="3173" t="s">
        <v>4280</v>
      </c>
      <c r="AW68" s="3180">
        <f ca="1">分套结果!BH68</f>
        <v>5536</v>
      </c>
      <c r="AX68" s="3224">
        <f t="shared" ca="1" si="2"/>
        <v>202783.68000000002</v>
      </c>
    </row>
    <row r="69" spans="1:50" ht="54">
      <c r="A69" s="3173">
        <v>68</v>
      </c>
      <c r="B69" s="3173">
        <v>20240070009</v>
      </c>
      <c r="C69" s="3173"/>
      <c r="D69" s="3173"/>
      <c r="E69" s="3173" t="s">
        <v>4274</v>
      </c>
      <c r="F69" s="3173" t="s">
        <v>4484</v>
      </c>
      <c r="G69" s="3173">
        <v>39.32</v>
      </c>
      <c r="H69" s="3173" t="s">
        <v>4276</v>
      </c>
      <c r="I69" s="3173"/>
      <c r="J69" s="3174">
        <v>45364</v>
      </c>
      <c r="K69" s="3173" t="s">
        <v>4277</v>
      </c>
      <c r="L69" s="3173" t="s">
        <v>4297</v>
      </c>
      <c r="M69" s="3173" t="s">
        <v>4279</v>
      </c>
      <c r="N69" s="3173" t="s">
        <v>4280</v>
      </c>
      <c r="O69" s="3242"/>
      <c r="P69" s="3242">
        <f ca="1">分套结果!$H$19</f>
        <v>80086</v>
      </c>
      <c r="R69" s="3173">
        <v>68</v>
      </c>
      <c r="S69" s="3173" t="s">
        <v>4282</v>
      </c>
      <c r="T69" s="3173"/>
      <c r="U69" s="3173"/>
      <c r="V69" s="3173" t="s">
        <v>4274</v>
      </c>
      <c r="W69" s="3173" t="s">
        <v>4485</v>
      </c>
      <c r="X69" s="3173">
        <v>42.72</v>
      </c>
      <c r="Y69" s="3173" t="s">
        <v>4296</v>
      </c>
      <c r="Z69" s="3173" t="s">
        <v>4282</v>
      </c>
      <c r="AA69" s="3174">
        <v>45276</v>
      </c>
      <c r="AB69" s="3173" t="s">
        <v>4277</v>
      </c>
      <c r="AC69" s="3173" t="s">
        <v>4288</v>
      </c>
      <c r="AD69" s="3173" t="s">
        <v>4279</v>
      </c>
      <c r="AE69" s="3173" t="s">
        <v>4280</v>
      </c>
      <c r="AF69" s="3242">
        <f ca="1">分套结果!AP69</f>
        <v>5845</v>
      </c>
      <c r="AG69" s="3242">
        <f t="shared" ca="1" si="3"/>
        <v>249698.4</v>
      </c>
      <c r="AI69" s="3173">
        <v>68</v>
      </c>
      <c r="AJ69" s="3173" t="s">
        <v>4273</v>
      </c>
      <c r="AK69" s="3173"/>
      <c r="AL69" s="3173"/>
      <c r="AM69" s="3173" t="s">
        <v>4274</v>
      </c>
      <c r="AN69" s="3173" t="s">
        <v>4317</v>
      </c>
      <c r="AO69" s="3173">
        <v>37.590000000000003</v>
      </c>
      <c r="AP69" s="3173" t="s">
        <v>672</v>
      </c>
      <c r="AQ69" s="3173"/>
      <c r="AR69" s="3174">
        <v>45276</v>
      </c>
      <c r="AS69" s="3173" t="s">
        <v>4277</v>
      </c>
      <c r="AT69" s="3173" t="s">
        <v>4278</v>
      </c>
      <c r="AU69" s="3173" t="s">
        <v>4279</v>
      </c>
      <c r="AV69" s="3173" t="s">
        <v>4280</v>
      </c>
      <c r="AW69" s="3180">
        <f ca="1">分套结果!BH69</f>
        <v>5536</v>
      </c>
      <c r="AX69" s="3224">
        <f t="shared" ca="1" si="2"/>
        <v>208098.24000000002</v>
      </c>
    </row>
    <row r="70" spans="1:50" ht="54">
      <c r="A70" s="3173">
        <v>69</v>
      </c>
      <c r="B70" s="3173">
        <v>20240070009</v>
      </c>
      <c r="C70" s="3173"/>
      <c r="D70" s="3173"/>
      <c r="E70" s="3173" t="s">
        <v>4274</v>
      </c>
      <c r="F70" s="3173" t="s">
        <v>4486</v>
      </c>
      <c r="G70" s="3173">
        <v>39.32</v>
      </c>
      <c r="H70" s="3173" t="s">
        <v>4276</v>
      </c>
      <c r="I70" s="3173"/>
      <c r="J70" s="3174">
        <v>45364</v>
      </c>
      <c r="K70" s="3173" t="s">
        <v>4277</v>
      </c>
      <c r="L70" s="3173" t="s">
        <v>4297</v>
      </c>
      <c r="M70" s="3173" t="s">
        <v>4279</v>
      </c>
      <c r="N70" s="3173" t="s">
        <v>4280</v>
      </c>
      <c r="O70" s="3242"/>
      <c r="P70" s="3242">
        <f ca="1">分套结果!$H$19</f>
        <v>80086</v>
      </c>
      <c r="R70" s="3173">
        <v>69</v>
      </c>
      <c r="S70" s="3173" t="s">
        <v>4282</v>
      </c>
      <c r="T70" s="3173"/>
      <c r="U70" s="3173"/>
      <c r="V70" s="3173" t="s">
        <v>4274</v>
      </c>
      <c r="W70" s="3173" t="s">
        <v>4487</v>
      </c>
      <c r="X70" s="3173">
        <v>42.72</v>
      </c>
      <c r="Y70" s="3173" t="s">
        <v>4296</v>
      </c>
      <c r="Z70" s="3173" t="s">
        <v>4282</v>
      </c>
      <c r="AA70" s="3174">
        <v>45276</v>
      </c>
      <c r="AB70" s="3173" t="s">
        <v>4277</v>
      </c>
      <c r="AC70" s="3173" t="s">
        <v>4288</v>
      </c>
      <c r="AD70" s="3173" t="s">
        <v>4279</v>
      </c>
      <c r="AE70" s="3173" t="s">
        <v>4280</v>
      </c>
      <c r="AF70" s="3242">
        <f ca="1">分套结果!AP70</f>
        <v>5845</v>
      </c>
      <c r="AG70" s="3242">
        <f t="shared" ca="1" si="3"/>
        <v>249698.4</v>
      </c>
      <c r="AI70" s="3173">
        <v>69</v>
      </c>
      <c r="AJ70" s="3173" t="s">
        <v>4273</v>
      </c>
      <c r="AK70" s="3173"/>
      <c r="AL70" s="3173"/>
      <c r="AM70" s="3173" t="s">
        <v>4274</v>
      </c>
      <c r="AN70" s="3173" t="s">
        <v>4322</v>
      </c>
      <c r="AO70" s="3173">
        <v>12.43</v>
      </c>
      <c r="AP70" s="3173" t="s">
        <v>672</v>
      </c>
      <c r="AQ70" s="3173"/>
      <c r="AR70" s="3174">
        <v>45276</v>
      </c>
      <c r="AS70" s="3173" t="s">
        <v>4277</v>
      </c>
      <c r="AT70" s="3173" t="s">
        <v>4278</v>
      </c>
      <c r="AU70" s="3173" t="s">
        <v>4279</v>
      </c>
      <c r="AV70" s="3173" t="s">
        <v>4280</v>
      </c>
      <c r="AW70" s="3180">
        <f ca="1">分套结果!BH70</f>
        <v>5536</v>
      </c>
      <c r="AX70" s="3224">
        <f t="shared" ca="1" si="2"/>
        <v>68812.479999999996</v>
      </c>
    </row>
    <row r="71" spans="1:50" ht="54">
      <c r="A71" s="3173">
        <v>70</v>
      </c>
      <c r="B71" s="3173">
        <v>20240070009</v>
      </c>
      <c r="C71" s="3173"/>
      <c r="D71" s="3173"/>
      <c r="E71" s="3173" t="s">
        <v>4274</v>
      </c>
      <c r="F71" s="3173" t="s">
        <v>4488</v>
      </c>
      <c r="G71" s="3173">
        <v>39.32</v>
      </c>
      <c r="H71" s="3173" t="s">
        <v>4276</v>
      </c>
      <c r="I71" s="3173"/>
      <c r="J71" s="3174">
        <v>45364</v>
      </c>
      <c r="K71" s="3173" t="s">
        <v>4277</v>
      </c>
      <c r="L71" s="3173" t="s">
        <v>4297</v>
      </c>
      <c r="M71" s="3173" t="s">
        <v>4279</v>
      </c>
      <c r="N71" s="3173" t="s">
        <v>4280</v>
      </c>
      <c r="O71" s="3242"/>
      <c r="P71" s="3242">
        <f ca="1">分套结果!$H$19</f>
        <v>80086</v>
      </c>
      <c r="R71" s="3173">
        <v>70</v>
      </c>
      <c r="S71" s="3173" t="s">
        <v>4282</v>
      </c>
      <c r="T71" s="3173"/>
      <c r="U71" s="3173"/>
      <c r="V71" s="3173" t="s">
        <v>4274</v>
      </c>
      <c r="W71" s="3173" t="s">
        <v>4489</v>
      </c>
      <c r="X71" s="3173">
        <v>42.72</v>
      </c>
      <c r="Y71" s="3173" t="s">
        <v>4296</v>
      </c>
      <c r="Z71" s="3173" t="s">
        <v>4282</v>
      </c>
      <c r="AA71" s="3174">
        <v>45276</v>
      </c>
      <c r="AB71" s="3173" t="s">
        <v>4277</v>
      </c>
      <c r="AC71" s="3173" t="s">
        <v>4288</v>
      </c>
      <c r="AD71" s="3173" t="s">
        <v>4279</v>
      </c>
      <c r="AE71" s="3173" t="s">
        <v>4280</v>
      </c>
      <c r="AF71" s="3242">
        <f ca="1">分套结果!AP71</f>
        <v>5845</v>
      </c>
      <c r="AG71" s="3242">
        <f t="shared" ca="1" si="3"/>
        <v>249698.4</v>
      </c>
      <c r="AI71" s="3173">
        <v>70</v>
      </c>
      <c r="AJ71" s="3173" t="s">
        <v>4273</v>
      </c>
      <c r="AK71" s="3173"/>
      <c r="AL71" s="3173"/>
      <c r="AM71" s="3173" t="s">
        <v>4274</v>
      </c>
      <c r="AN71" s="3173" t="s">
        <v>4326</v>
      </c>
      <c r="AO71" s="3173">
        <v>33.549999999999997</v>
      </c>
      <c r="AP71" s="3173" t="s">
        <v>672</v>
      </c>
      <c r="AQ71" s="3173"/>
      <c r="AR71" s="3174">
        <v>45276</v>
      </c>
      <c r="AS71" s="3173" t="s">
        <v>4277</v>
      </c>
      <c r="AT71" s="3173" t="s">
        <v>4278</v>
      </c>
      <c r="AU71" s="3173" t="s">
        <v>4279</v>
      </c>
      <c r="AV71" s="3173" t="s">
        <v>4280</v>
      </c>
      <c r="AW71" s="3180">
        <f ca="1">分套结果!BH71</f>
        <v>5536</v>
      </c>
      <c r="AX71" s="3224">
        <f t="shared" ca="1" si="2"/>
        <v>185732.8</v>
      </c>
    </row>
    <row r="72" spans="1:50" ht="54">
      <c r="A72" s="3173">
        <v>71</v>
      </c>
      <c r="B72" s="3173">
        <v>20240070009</v>
      </c>
      <c r="C72" s="3173"/>
      <c r="D72" s="3173"/>
      <c r="E72" s="3173" t="s">
        <v>4274</v>
      </c>
      <c r="F72" s="3173" t="s">
        <v>4490</v>
      </c>
      <c r="G72" s="3173">
        <v>39.32</v>
      </c>
      <c r="H72" s="3173" t="s">
        <v>4276</v>
      </c>
      <c r="I72" s="3173"/>
      <c r="J72" s="3174">
        <v>45364</v>
      </c>
      <c r="K72" s="3173" t="s">
        <v>4277</v>
      </c>
      <c r="L72" s="3173" t="s">
        <v>4297</v>
      </c>
      <c r="M72" s="3173" t="s">
        <v>4279</v>
      </c>
      <c r="N72" s="3173" t="s">
        <v>4280</v>
      </c>
      <c r="O72" s="3242"/>
      <c r="P72" s="3242">
        <f ca="1">分套结果!$H$19</f>
        <v>80086</v>
      </c>
      <c r="R72" s="3173">
        <v>71</v>
      </c>
      <c r="S72" s="3173" t="s">
        <v>4282</v>
      </c>
      <c r="T72" s="3173"/>
      <c r="U72" s="3173"/>
      <c r="V72" s="3173" t="s">
        <v>4274</v>
      </c>
      <c r="W72" s="3173" t="s">
        <v>4491</v>
      </c>
      <c r="X72" s="3173">
        <v>42.72</v>
      </c>
      <c r="Y72" s="3173" t="s">
        <v>4296</v>
      </c>
      <c r="Z72" s="3173" t="s">
        <v>4282</v>
      </c>
      <c r="AA72" s="3174">
        <v>45276</v>
      </c>
      <c r="AB72" s="3173" t="s">
        <v>4277</v>
      </c>
      <c r="AC72" s="3173" t="s">
        <v>4288</v>
      </c>
      <c r="AD72" s="3173" t="s">
        <v>4279</v>
      </c>
      <c r="AE72" s="3173" t="s">
        <v>4280</v>
      </c>
      <c r="AF72" s="3242">
        <f ca="1">分套结果!AP72</f>
        <v>5845</v>
      </c>
      <c r="AG72" s="3242">
        <f t="shared" ca="1" si="3"/>
        <v>249698.4</v>
      </c>
      <c r="AI72" s="3173">
        <v>71</v>
      </c>
      <c r="AJ72" s="3173" t="s">
        <v>4273</v>
      </c>
      <c r="AK72" s="3173"/>
      <c r="AL72" s="3173"/>
      <c r="AM72" s="3173" t="s">
        <v>4274</v>
      </c>
      <c r="AN72" s="3173" t="s">
        <v>4329</v>
      </c>
      <c r="AO72" s="3173">
        <v>33.51</v>
      </c>
      <c r="AP72" s="3173" t="s">
        <v>672</v>
      </c>
      <c r="AQ72" s="3173"/>
      <c r="AR72" s="3174">
        <v>45276</v>
      </c>
      <c r="AS72" s="3173" t="s">
        <v>4277</v>
      </c>
      <c r="AT72" s="3173" t="s">
        <v>4278</v>
      </c>
      <c r="AU72" s="3173" t="s">
        <v>4279</v>
      </c>
      <c r="AV72" s="3173" t="s">
        <v>4280</v>
      </c>
      <c r="AW72" s="3180">
        <f ca="1">分套结果!BH72</f>
        <v>5536</v>
      </c>
      <c r="AX72" s="3224">
        <f t="shared" ca="1" si="2"/>
        <v>185511.36</v>
      </c>
    </row>
    <row r="73" spans="1:50" ht="54">
      <c r="A73" s="3173">
        <v>72</v>
      </c>
      <c r="B73" s="3173">
        <v>20240070009</v>
      </c>
      <c r="C73" s="3173"/>
      <c r="D73" s="3173"/>
      <c r="E73" s="3173" t="s">
        <v>4274</v>
      </c>
      <c r="F73" s="3173" t="s">
        <v>4492</v>
      </c>
      <c r="G73" s="3173">
        <v>39.32</v>
      </c>
      <c r="H73" s="3173" t="s">
        <v>4276</v>
      </c>
      <c r="I73" s="3173"/>
      <c r="J73" s="3174">
        <v>45364</v>
      </c>
      <c r="K73" s="3173" t="s">
        <v>4277</v>
      </c>
      <c r="L73" s="3173" t="s">
        <v>4284</v>
      </c>
      <c r="M73" s="3173" t="s">
        <v>4279</v>
      </c>
      <c r="N73" s="3173" t="s">
        <v>4280</v>
      </c>
      <c r="O73" s="3242"/>
      <c r="P73" s="3242">
        <f ca="1">分套结果!$H$19</f>
        <v>80086</v>
      </c>
      <c r="R73" s="3173">
        <v>72</v>
      </c>
      <c r="S73" s="3173" t="s">
        <v>4282</v>
      </c>
      <c r="T73" s="3173"/>
      <c r="U73" s="3173"/>
      <c r="V73" s="3173" t="s">
        <v>4274</v>
      </c>
      <c r="W73" s="3173" t="s">
        <v>4493</v>
      </c>
      <c r="X73" s="3173">
        <v>51.35</v>
      </c>
      <c r="Y73" s="3173" t="s">
        <v>4296</v>
      </c>
      <c r="Z73" s="3173" t="s">
        <v>4282</v>
      </c>
      <c r="AA73" s="3174">
        <v>45276</v>
      </c>
      <c r="AB73" s="3173" t="s">
        <v>4277</v>
      </c>
      <c r="AC73" s="3173" t="s">
        <v>4288</v>
      </c>
      <c r="AD73" s="3173" t="s">
        <v>4279</v>
      </c>
      <c r="AE73" s="3173" t="s">
        <v>4280</v>
      </c>
      <c r="AF73" s="3242">
        <f ca="1">分套结果!AP73</f>
        <v>5845</v>
      </c>
      <c r="AG73" s="3242">
        <f t="shared" ca="1" si="3"/>
        <v>300140.75</v>
      </c>
      <c r="AI73" s="3173">
        <v>72</v>
      </c>
      <c r="AJ73" s="3173" t="s">
        <v>4273</v>
      </c>
      <c r="AK73" s="3173"/>
      <c r="AL73" s="3173"/>
      <c r="AM73" s="3173" t="s">
        <v>4274</v>
      </c>
      <c r="AN73" s="3173" t="s">
        <v>4332</v>
      </c>
      <c r="AO73" s="3173">
        <v>61.2</v>
      </c>
      <c r="AP73" s="3173" t="s">
        <v>672</v>
      </c>
      <c r="AQ73" s="3173"/>
      <c r="AR73" s="3174">
        <v>45276</v>
      </c>
      <c r="AS73" s="3173" t="s">
        <v>4277</v>
      </c>
      <c r="AT73" s="3173" t="s">
        <v>4278</v>
      </c>
      <c r="AU73" s="3173" t="s">
        <v>4279</v>
      </c>
      <c r="AV73" s="3173" t="s">
        <v>4280</v>
      </c>
      <c r="AW73" s="3180">
        <f ca="1">分套结果!BH73</f>
        <v>5536</v>
      </c>
      <c r="AX73" s="3224">
        <f t="shared" ca="1" si="2"/>
        <v>338803.20000000001</v>
      </c>
    </row>
    <row r="74" spans="1:50" ht="54">
      <c r="A74" s="3173">
        <v>73</v>
      </c>
      <c r="B74" s="3173">
        <v>20240070009</v>
      </c>
      <c r="C74" s="3173"/>
      <c r="D74" s="3173"/>
      <c r="E74" s="3173" t="s">
        <v>4274</v>
      </c>
      <c r="F74" s="3173" t="s">
        <v>4494</v>
      </c>
      <c r="G74" s="3173">
        <v>39.32</v>
      </c>
      <c r="H74" s="3173" t="s">
        <v>4276</v>
      </c>
      <c r="I74" s="3173"/>
      <c r="J74" s="3174">
        <v>45364</v>
      </c>
      <c r="K74" s="3173" t="s">
        <v>4277</v>
      </c>
      <c r="L74" s="3173" t="s">
        <v>4297</v>
      </c>
      <c r="M74" s="3173" t="s">
        <v>4279</v>
      </c>
      <c r="N74" s="3173" t="s">
        <v>4280</v>
      </c>
      <c r="O74" s="3242"/>
      <c r="P74" s="3242">
        <f ca="1">分套结果!$H$19</f>
        <v>80086</v>
      </c>
      <c r="X74" s="3228">
        <f>SUM(X2:X73)</f>
        <v>3283.5699999999979</v>
      </c>
      <c r="Z74" s="3173" t="s">
        <v>4282</v>
      </c>
      <c r="AA74" s="3174">
        <v>45276</v>
      </c>
      <c r="AB74" s="3173" t="s">
        <v>4277</v>
      </c>
      <c r="AC74" s="3173" t="s">
        <v>4297</v>
      </c>
      <c r="AD74" s="3173" t="s">
        <v>4279</v>
      </c>
      <c r="AE74" s="3173" t="s">
        <v>4280</v>
      </c>
      <c r="AG74" s="3242">
        <f ca="1">SUM(AG2:AG73)</f>
        <v>20335717.09</v>
      </c>
      <c r="AI74" s="3173">
        <v>73</v>
      </c>
      <c r="AJ74" s="3173" t="s">
        <v>4273</v>
      </c>
      <c r="AK74" s="3173"/>
      <c r="AL74" s="3173"/>
      <c r="AM74" s="3173" t="s">
        <v>4274</v>
      </c>
      <c r="AN74" s="3173" t="s">
        <v>4335</v>
      </c>
      <c r="AO74" s="3173">
        <v>52.44</v>
      </c>
      <c r="AP74" s="3173" t="s">
        <v>672</v>
      </c>
      <c r="AQ74" s="3173"/>
      <c r="AR74" s="3174">
        <v>45276</v>
      </c>
      <c r="AS74" s="3173" t="s">
        <v>4277</v>
      </c>
      <c r="AT74" s="3173" t="s">
        <v>4278</v>
      </c>
      <c r="AU74" s="3173" t="s">
        <v>4279</v>
      </c>
      <c r="AV74" s="3173" t="s">
        <v>4280</v>
      </c>
      <c r="AW74" s="3180">
        <f ca="1">分套结果!BH74</f>
        <v>5536</v>
      </c>
      <c r="AX74" s="3224">
        <f t="shared" ca="1" si="2"/>
        <v>290307.83999999997</v>
      </c>
    </row>
    <row r="75" spans="1:50" ht="54">
      <c r="A75" s="3173">
        <v>74</v>
      </c>
      <c r="B75" s="3173">
        <v>20240070009</v>
      </c>
      <c r="C75" s="3173"/>
      <c r="D75" s="3173"/>
      <c r="E75" s="3173" t="s">
        <v>4274</v>
      </c>
      <c r="F75" s="3173" t="s">
        <v>4495</v>
      </c>
      <c r="G75" s="3173">
        <v>39.32</v>
      </c>
      <c r="H75" s="3173" t="s">
        <v>4276</v>
      </c>
      <c r="I75" s="3173"/>
      <c r="J75" s="3174">
        <v>45364</v>
      </c>
      <c r="K75" s="3173" t="s">
        <v>4277</v>
      </c>
      <c r="L75" s="3173" t="s">
        <v>4297</v>
      </c>
      <c r="M75" s="3173" t="s">
        <v>4279</v>
      </c>
      <c r="N75" s="3173" t="s">
        <v>4280</v>
      </c>
      <c r="O75" s="3242"/>
      <c r="P75" s="3242">
        <f ca="1">分套结果!$H$19</f>
        <v>80086</v>
      </c>
      <c r="AI75" s="3173">
        <v>74</v>
      </c>
      <c r="AJ75" s="3173" t="s">
        <v>4273</v>
      </c>
      <c r="AK75" s="3173"/>
      <c r="AL75" s="3173"/>
      <c r="AM75" s="3173" t="s">
        <v>4274</v>
      </c>
      <c r="AN75" s="3173" t="s">
        <v>4338</v>
      </c>
      <c r="AO75" s="3173">
        <v>47.89</v>
      </c>
      <c r="AP75" s="3173" t="s">
        <v>672</v>
      </c>
      <c r="AQ75" s="3173"/>
      <c r="AR75" s="3174">
        <v>45276</v>
      </c>
      <c r="AS75" s="3173" t="s">
        <v>4277</v>
      </c>
      <c r="AT75" s="3173" t="s">
        <v>4278</v>
      </c>
      <c r="AU75" s="3173" t="s">
        <v>4279</v>
      </c>
      <c r="AV75" s="3173" t="s">
        <v>4280</v>
      </c>
      <c r="AW75" s="3180">
        <f ca="1">分套结果!BH75</f>
        <v>5536</v>
      </c>
      <c r="AX75" s="3224">
        <f t="shared" ca="1" si="2"/>
        <v>265119.03999999998</v>
      </c>
    </row>
    <row r="76" spans="1:50" ht="54">
      <c r="A76" s="3173">
        <v>75</v>
      </c>
      <c r="B76" s="3173">
        <v>20240070009</v>
      </c>
      <c r="C76" s="3173"/>
      <c r="D76" s="3173"/>
      <c r="E76" s="3173" t="s">
        <v>4274</v>
      </c>
      <c r="F76" s="3173" t="s">
        <v>4496</v>
      </c>
      <c r="G76" s="3173">
        <v>39.32</v>
      </c>
      <c r="H76" s="3173" t="s">
        <v>4276</v>
      </c>
      <c r="I76" s="3173"/>
      <c r="J76" s="3174">
        <v>45364</v>
      </c>
      <c r="K76" s="3173" t="s">
        <v>4277</v>
      </c>
      <c r="L76" s="3173" t="s">
        <v>4297</v>
      </c>
      <c r="M76" s="3173" t="s">
        <v>4279</v>
      </c>
      <c r="N76" s="3173" t="s">
        <v>4280</v>
      </c>
      <c r="O76" s="3242"/>
      <c r="P76" s="3242">
        <f ca="1">分套结果!$H$19</f>
        <v>80086</v>
      </c>
      <c r="AI76" s="3173">
        <v>75</v>
      </c>
      <c r="AJ76" s="3173" t="s">
        <v>4273</v>
      </c>
      <c r="AK76" s="3173"/>
      <c r="AL76" s="3173"/>
      <c r="AM76" s="3173" t="s">
        <v>4274</v>
      </c>
      <c r="AN76" s="3173" t="s">
        <v>4341</v>
      </c>
      <c r="AO76" s="3173">
        <v>18.7</v>
      </c>
      <c r="AP76" s="3173" t="s">
        <v>672</v>
      </c>
      <c r="AQ76" s="3173"/>
      <c r="AR76" s="3174">
        <v>45276</v>
      </c>
      <c r="AS76" s="3173" t="s">
        <v>4277</v>
      </c>
      <c r="AT76" s="3173" t="s">
        <v>4278</v>
      </c>
      <c r="AU76" s="3173" t="s">
        <v>4279</v>
      </c>
      <c r="AV76" s="3173" t="s">
        <v>4280</v>
      </c>
      <c r="AW76" s="3180">
        <f ca="1">分套结果!BH76</f>
        <v>5536</v>
      </c>
      <c r="AX76" s="3224">
        <f t="shared" ca="1" si="2"/>
        <v>103523.2</v>
      </c>
    </row>
    <row r="77" spans="1:50" ht="54">
      <c r="A77" s="3173">
        <v>76</v>
      </c>
      <c r="B77" s="3173">
        <v>20240070009</v>
      </c>
      <c r="C77" s="3173"/>
      <c r="D77" s="3173"/>
      <c r="E77" s="3173" t="s">
        <v>4274</v>
      </c>
      <c r="F77" s="3173" t="s">
        <v>4497</v>
      </c>
      <c r="G77" s="3173">
        <v>39.32</v>
      </c>
      <c r="H77" s="3173" t="s">
        <v>4276</v>
      </c>
      <c r="I77" s="3173"/>
      <c r="J77" s="3174">
        <v>45364</v>
      </c>
      <c r="K77" s="3173" t="s">
        <v>4277</v>
      </c>
      <c r="L77" s="3173" t="s">
        <v>4297</v>
      </c>
      <c r="M77" s="3173" t="s">
        <v>4279</v>
      </c>
      <c r="N77" s="3173" t="s">
        <v>4280</v>
      </c>
      <c r="O77" s="3242"/>
      <c r="P77" s="3242">
        <f ca="1">分套结果!$H$19</f>
        <v>80086</v>
      </c>
      <c r="AI77" s="3173">
        <v>76</v>
      </c>
      <c r="AJ77" s="3173" t="s">
        <v>4273</v>
      </c>
      <c r="AK77" s="3173"/>
      <c r="AL77" s="3173"/>
      <c r="AM77" s="3173" t="s">
        <v>4274</v>
      </c>
      <c r="AN77" s="3173" t="s">
        <v>4344</v>
      </c>
      <c r="AO77" s="3173">
        <v>33.51</v>
      </c>
      <c r="AP77" s="3173" t="s">
        <v>672</v>
      </c>
      <c r="AQ77" s="3173"/>
      <c r="AR77" s="3174">
        <v>45276</v>
      </c>
      <c r="AS77" s="3173" t="s">
        <v>4277</v>
      </c>
      <c r="AT77" s="3173" t="s">
        <v>4278</v>
      </c>
      <c r="AU77" s="3173" t="s">
        <v>4279</v>
      </c>
      <c r="AV77" s="3173" t="s">
        <v>4280</v>
      </c>
      <c r="AW77" s="3180">
        <f ca="1">分套结果!BH77</f>
        <v>5536</v>
      </c>
      <c r="AX77" s="3224">
        <f t="shared" ca="1" si="2"/>
        <v>185511.36</v>
      </c>
    </row>
    <row r="78" spans="1:50" ht="54">
      <c r="A78" s="3173">
        <v>77</v>
      </c>
      <c r="B78" s="3173">
        <v>20240070009</v>
      </c>
      <c r="C78" s="3173"/>
      <c r="D78" s="3173"/>
      <c r="E78" s="3173" t="s">
        <v>4274</v>
      </c>
      <c r="F78" s="3173" t="s">
        <v>4498</v>
      </c>
      <c r="G78" s="3173">
        <v>39.32</v>
      </c>
      <c r="H78" s="3173" t="s">
        <v>4276</v>
      </c>
      <c r="I78" s="3173"/>
      <c r="J78" s="3174">
        <v>45364</v>
      </c>
      <c r="K78" s="3173" t="s">
        <v>4277</v>
      </c>
      <c r="L78" s="3173" t="s">
        <v>4297</v>
      </c>
      <c r="M78" s="3173" t="s">
        <v>4279</v>
      </c>
      <c r="N78" s="3173" t="s">
        <v>4280</v>
      </c>
      <c r="O78" s="3242"/>
      <c r="P78" s="3242">
        <f ca="1">分套结果!$H$19</f>
        <v>80086</v>
      </c>
      <c r="AI78" s="3173">
        <v>77</v>
      </c>
      <c r="AJ78" s="3173" t="s">
        <v>4273</v>
      </c>
      <c r="AK78" s="3173"/>
      <c r="AL78" s="3173"/>
      <c r="AM78" s="3173" t="s">
        <v>4274</v>
      </c>
      <c r="AN78" s="3173" t="s">
        <v>4347</v>
      </c>
      <c r="AO78" s="3173">
        <v>33.26</v>
      </c>
      <c r="AP78" s="3173" t="s">
        <v>672</v>
      </c>
      <c r="AQ78" s="3173"/>
      <c r="AR78" s="3174">
        <v>45276</v>
      </c>
      <c r="AS78" s="3173" t="s">
        <v>4277</v>
      </c>
      <c r="AT78" s="3173" t="s">
        <v>4278</v>
      </c>
      <c r="AU78" s="3173" t="s">
        <v>4279</v>
      </c>
      <c r="AV78" s="3173" t="s">
        <v>4280</v>
      </c>
      <c r="AW78" s="3180">
        <f ca="1">分套结果!BH78</f>
        <v>5536</v>
      </c>
      <c r="AX78" s="3224">
        <f t="shared" ca="1" si="2"/>
        <v>184127.35999999999</v>
      </c>
    </row>
    <row r="79" spans="1:50" ht="54">
      <c r="A79" s="3173">
        <v>78</v>
      </c>
      <c r="B79" s="3173">
        <v>20240070009</v>
      </c>
      <c r="C79" s="3173"/>
      <c r="D79" s="3173"/>
      <c r="E79" s="3173" t="s">
        <v>4274</v>
      </c>
      <c r="F79" s="3173" t="s">
        <v>4499</v>
      </c>
      <c r="G79" s="3173">
        <v>39.32</v>
      </c>
      <c r="H79" s="3173" t="s">
        <v>4276</v>
      </c>
      <c r="I79" s="3173"/>
      <c r="J79" s="3174">
        <v>45364</v>
      </c>
      <c r="K79" s="3173" t="s">
        <v>4277</v>
      </c>
      <c r="L79" s="3173" t="s">
        <v>4297</v>
      </c>
      <c r="M79" s="3173" t="s">
        <v>4279</v>
      </c>
      <c r="N79" s="3173" t="s">
        <v>4280</v>
      </c>
      <c r="O79" s="3242"/>
      <c r="P79" s="3242">
        <f ca="1">分套结果!$H$19</f>
        <v>80086</v>
      </c>
      <c r="AI79" s="3173">
        <v>78</v>
      </c>
      <c r="AJ79" s="3173" t="s">
        <v>4273</v>
      </c>
      <c r="AK79" s="3173"/>
      <c r="AL79" s="3173"/>
      <c r="AM79" s="3173" t="s">
        <v>4274</v>
      </c>
      <c r="AN79" s="3173" t="s">
        <v>4350</v>
      </c>
      <c r="AO79" s="3173">
        <v>33.93</v>
      </c>
      <c r="AP79" s="3173" t="s">
        <v>672</v>
      </c>
      <c r="AQ79" s="3173"/>
      <c r="AR79" s="3174">
        <v>45276</v>
      </c>
      <c r="AS79" s="3173" t="s">
        <v>4277</v>
      </c>
      <c r="AT79" s="3173" t="s">
        <v>4278</v>
      </c>
      <c r="AU79" s="3173" t="s">
        <v>4279</v>
      </c>
      <c r="AV79" s="3173" t="s">
        <v>4280</v>
      </c>
      <c r="AW79" s="3180">
        <f ca="1">分套结果!BH79</f>
        <v>5536</v>
      </c>
      <c r="AX79" s="3224">
        <f t="shared" ca="1" si="2"/>
        <v>187836.48</v>
      </c>
    </row>
    <row r="80" spans="1:50" ht="54">
      <c r="A80" s="3173">
        <v>79</v>
      </c>
      <c r="B80" s="3173">
        <v>20240070009</v>
      </c>
      <c r="C80" s="3173"/>
      <c r="D80" s="3173"/>
      <c r="E80" s="3173" t="s">
        <v>4274</v>
      </c>
      <c r="F80" s="3173" t="s">
        <v>4500</v>
      </c>
      <c r="G80" s="3173">
        <v>39.32</v>
      </c>
      <c r="H80" s="3173" t="s">
        <v>4276</v>
      </c>
      <c r="I80" s="3173"/>
      <c r="J80" s="3174">
        <v>45364</v>
      </c>
      <c r="K80" s="3173" t="s">
        <v>4277</v>
      </c>
      <c r="L80" s="3173" t="s">
        <v>4297</v>
      </c>
      <c r="M80" s="3173" t="s">
        <v>4279</v>
      </c>
      <c r="N80" s="3173" t="s">
        <v>4280</v>
      </c>
      <c r="O80" s="3242"/>
      <c r="P80" s="3242">
        <f ca="1">分套结果!$H$19</f>
        <v>80086</v>
      </c>
      <c r="AI80" s="3173">
        <v>79</v>
      </c>
      <c r="AJ80" s="3173" t="s">
        <v>4273</v>
      </c>
      <c r="AK80" s="3173"/>
      <c r="AL80" s="3173"/>
      <c r="AM80" s="3173" t="s">
        <v>4274</v>
      </c>
      <c r="AN80" s="3173" t="s">
        <v>4353</v>
      </c>
      <c r="AO80" s="3173">
        <v>33.31</v>
      </c>
      <c r="AP80" s="3173" t="s">
        <v>672</v>
      </c>
      <c r="AQ80" s="3173"/>
      <c r="AR80" s="3174">
        <v>45276</v>
      </c>
      <c r="AS80" s="3173" t="s">
        <v>4277</v>
      </c>
      <c r="AT80" s="3173" t="s">
        <v>4278</v>
      </c>
      <c r="AU80" s="3173" t="s">
        <v>4279</v>
      </c>
      <c r="AV80" s="3173" t="s">
        <v>4280</v>
      </c>
      <c r="AW80" s="3180">
        <f ca="1">分套结果!BH80</f>
        <v>5536</v>
      </c>
      <c r="AX80" s="3224">
        <f t="shared" ca="1" si="2"/>
        <v>184404.16</v>
      </c>
    </row>
    <row r="81" spans="1:50" ht="54">
      <c r="A81" s="3173">
        <v>80</v>
      </c>
      <c r="B81" s="3173">
        <v>20240070009</v>
      </c>
      <c r="C81" s="3173"/>
      <c r="D81" s="3173"/>
      <c r="E81" s="3173" t="s">
        <v>4274</v>
      </c>
      <c r="F81" s="3173" t="s">
        <v>4501</v>
      </c>
      <c r="G81" s="3173">
        <v>39.32</v>
      </c>
      <c r="H81" s="3173" t="s">
        <v>4276</v>
      </c>
      <c r="I81" s="3173"/>
      <c r="J81" s="3174">
        <v>45364</v>
      </c>
      <c r="K81" s="3173" t="s">
        <v>4277</v>
      </c>
      <c r="L81" s="3173" t="s">
        <v>4297</v>
      </c>
      <c r="M81" s="3173" t="s">
        <v>4279</v>
      </c>
      <c r="N81" s="3173" t="s">
        <v>4280</v>
      </c>
      <c r="O81" s="3242"/>
      <c r="P81" s="3242">
        <f ca="1">分套结果!$H$19</f>
        <v>80086</v>
      </c>
      <c r="AI81" s="3173">
        <v>80</v>
      </c>
      <c r="AJ81" s="3173" t="s">
        <v>4273</v>
      </c>
      <c r="AK81" s="3173"/>
      <c r="AL81" s="3173"/>
      <c r="AM81" s="3173" t="s">
        <v>4274</v>
      </c>
      <c r="AN81" s="3173" t="s">
        <v>4356</v>
      </c>
      <c r="AO81" s="3173">
        <v>29.91</v>
      </c>
      <c r="AP81" s="3173" t="s">
        <v>672</v>
      </c>
      <c r="AQ81" s="3173"/>
      <c r="AR81" s="3174">
        <v>45276</v>
      </c>
      <c r="AS81" s="3173" t="s">
        <v>4277</v>
      </c>
      <c r="AT81" s="3173" t="s">
        <v>4278</v>
      </c>
      <c r="AU81" s="3173" t="s">
        <v>4279</v>
      </c>
      <c r="AV81" s="3173" t="s">
        <v>4280</v>
      </c>
      <c r="AW81" s="3180">
        <f ca="1">分套结果!BH81</f>
        <v>5536</v>
      </c>
      <c r="AX81" s="3224">
        <f t="shared" ca="1" si="2"/>
        <v>165581.76000000001</v>
      </c>
    </row>
    <row r="82" spans="1:50" ht="54">
      <c r="A82" s="3173">
        <v>81</v>
      </c>
      <c r="B82" s="3173">
        <v>20240070009</v>
      </c>
      <c r="C82" s="3173"/>
      <c r="D82" s="3173"/>
      <c r="E82" s="3173" t="s">
        <v>4274</v>
      </c>
      <c r="F82" s="3173" t="s">
        <v>4502</v>
      </c>
      <c r="G82" s="3173">
        <v>39.32</v>
      </c>
      <c r="H82" s="3173" t="s">
        <v>4276</v>
      </c>
      <c r="I82" s="3173"/>
      <c r="J82" s="3174">
        <v>45364</v>
      </c>
      <c r="K82" s="3173" t="s">
        <v>4277</v>
      </c>
      <c r="L82" s="3173" t="s">
        <v>4297</v>
      </c>
      <c r="M82" s="3173" t="s">
        <v>4279</v>
      </c>
      <c r="N82" s="3173" t="s">
        <v>4280</v>
      </c>
      <c r="O82" s="3242"/>
      <c r="P82" s="3242">
        <f ca="1">分套结果!$H$19</f>
        <v>80086</v>
      </c>
      <c r="AI82" s="3173">
        <v>81</v>
      </c>
      <c r="AJ82" s="3173" t="s">
        <v>4273</v>
      </c>
      <c r="AK82" s="3173"/>
      <c r="AL82" s="3173"/>
      <c r="AM82" s="3173" t="s">
        <v>4274</v>
      </c>
      <c r="AN82" s="3173" t="s">
        <v>4359</v>
      </c>
      <c r="AO82" s="3173">
        <v>26.2</v>
      </c>
      <c r="AP82" s="3173" t="s">
        <v>672</v>
      </c>
      <c r="AQ82" s="3173"/>
      <c r="AR82" s="3174">
        <v>45276</v>
      </c>
      <c r="AS82" s="3173" t="s">
        <v>4277</v>
      </c>
      <c r="AT82" s="3173" t="s">
        <v>4278</v>
      </c>
      <c r="AU82" s="3173" t="s">
        <v>4279</v>
      </c>
      <c r="AV82" s="3173" t="s">
        <v>4280</v>
      </c>
      <c r="AW82" s="3180">
        <f ca="1">分套结果!BH82</f>
        <v>5536</v>
      </c>
      <c r="AX82" s="3224">
        <f t="shared" ca="1" si="2"/>
        <v>145043.19999999998</v>
      </c>
    </row>
    <row r="83" spans="1:50" ht="54">
      <c r="A83" s="3173">
        <v>82</v>
      </c>
      <c r="B83" s="3173">
        <v>20240070009</v>
      </c>
      <c r="C83" s="3173"/>
      <c r="D83" s="3173"/>
      <c r="E83" s="3173" t="s">
        <v>4274</v>
      </c>
      <c r="F83" s="3173" t="s">
        <v>4504</v>
      </c>
      <c r="G83" s="3173">
        <v>39.32</v>
      </c>
      <c r="H83" s="3173" t="s">
        <v>4276</v>
      </c>
      <c r="I83" s="3173"/>
      <c r="J83" s="3174">
        <v>45364</v>
      </c>
      <c r="K83" s="3173" t="s">
        <v>4277</v>
      </c>
      <c r="L83" s="3173" t="s">
        <v>4297</v>
      </c>
      <c r="M83" s="3173" t="s">
        <v>4279</v>
      </c>
      <c r="N83" s="3173" t="s">
        <v>4280</v>
      </c>
      <c r="O83" s="3242"/>
      <c r="P83" s="3242">
        <f ca="1">分套结果!$H$19</f>
        <v>80086</v>
      </c>
      <c r="AI83" s="3173">
        <v>82</v>
      </c>
      <c r="AJ83" s="3173" t="s">
        <v>4273</v>
      </c>
      <c r="AK83" s="3173"/>
      <c r="AL83" s="3173"/>
      <c r="AM83" s="3173" t="s">
        <v>4274</v>
      </c>
      <c r="AN83" s="3173" t="s">
        <v>4503</v>
      </c>
      <c r="AO83" s="3173">
        <v>25.26</v>
      </c>
      <c r="AP83" s="3173" t="s">
        <v>672</v>
      </c>
      <c r="AQ83" s="3173"/>
      <c r="AR83" s="3174">
        <v>45276</v>
      </c>
      <c r="AS83" s="3173" t="s">
        <v>4277</v>
      </c>
      <c r="AT83" s="3173" t="s">
        <v>4278</v>
      </c>
      <c r="AU83" s="3173" t="s">
        <v>4279</v>
      </c>
      <c r="AV83" s="3173" t="s">
        <v>4280</v>
      </c>
      <c r="AW83" s="3180">
        <f ca="1">分套结果!BH83</f>
        <v>5536</v>
      </c>
      <c r="AX83" s="3224">
        <f t="shared" ca="1" si="2"/>
        <v>139839.36000000002</v>
      </c>
    </row>
    <row r="84" spans="1:50" ht="54">
      <c r="A84" s="3173">
        <v>83</v>
      </c>
      <c r="B84" s="3173">
        <v>20240070009</v>
      </c>
      <c r="C84" s="3173"/>
      <c r="D84" s="3173"/>
      <c r="E84" s="3173" t="s">
        <v>4274</v>
      </c>
      <c r="F84" s="3173" t="s">
        <v>4506</v>
      </c>
      <c r="G84" s="3173">
        <v>39.32</v>
      </c>
      <c r="H84" s="3173" t="s">
        <v>4276</v>
      </c>
      <c r="I84" s="3173"/>
      <c r="J84" s="3174">
        <v>45364</v>
      </c>
      <c r="K84" s="3173" t="s">
        <v>4277</v>
      </c>
      <c r="L84" s="3173" t="s">
        <v>4284</v>
      </c>
      <c r="M84" s="3173" t="s">
        <v>4279</v>
      </c>
      <c r="N84" s="3173" t="s">
        <v>4280</v>
      </c>
      <c r="O84" s="3242"/>
      <c r="P84" s="3242">
        <f ca="1">分套结果!$H$19</f>
        <v>80086</v>
      </c>
      <c r="AI84" s="3173">
        <v>83</v>
      </c>
      <c r="AJ84" s="3173" t="s">
        <v>4273</v>
      </c>
      <c r="AK84" s="3173"/>
      <c r="AL84" s="3173"/>
      <c r="AM84" s="3173" t="s">
        <v>4274</v>
      </c>
      <c r="AN84" s="3173" t="s">
        <v>4505</v>
      </c>
      <c r="AO84" s="3173">
        <v>30.85</v>
      </c>
      <c r="AP84" s="3173" t="s">
        <v>672</v>
      </c>
      <c r="AQ84" s="3173"/>
      <c r="AR84" s="3174">
        <v>45276</v>
      </c>
      <c r="AS84" s="3173" t="s">
        <v>4277</v>
      </c>
      <c r="AT84" s="3173" t="s">
        <v>4278</v>
      </c>
      <c r="AU84" s="3173" t="s">
        <v>4279</v>
      </c>
      <c r="AV84" s="3173" t="s">
        <v>4280</v>
      </c>
      <c r="AW84" s="3180">
        <f ca="1">分套结果!BH84</f>
        <v>5536</v>
      </c>
      <c r="AX84" s="3224">
        <f t="shared" ca="1" si="2"/>
        <v>170785.6</v>
      </c>
    </row>
    <row r="85" spans="1:50" ht="54">
      <c r="A85" s="3173">
        <v>84</v>
      </c>
      <c r="B85" s="3173">
        <v>20240070009</v>
      </c>
      <c r="C85" s="3173"/>
      <c r="D85" s="3173"/>
      <c r="E85" s="3173" t="s">
        <v>4274</v>
      </c>
      <c r="F85" s="3173" t="s">
        <v>4508</v>
      </c>
      <c r="G85" s="3173">
        <v>39.32</v>
      </c>
      <c r="H85" s="3173" t="s">
        <v>4276</v>
      </c>
      <c r="I85" s="3173"/>
      <c r="J85" s="3174">
        <v>45364</v>
      </c>
      <c r="K85" s="3173" t="s">
        <v>4277</v>
      </c>
      <c r="L85" s="3173" t="s">
        <v>4284</v>
      </c>
      <c r="M85" s="3173" t="s">
        <v>4279</v>
      </c>
      <c r="N85" s="3173" t="s">
        <v>4280</v>
      </c>
      <c r="O85" s="3242"/>
      <c r="P85" s="3242">
        <f ca="1">分套结果!$H$19</f>
        <v>80086</v>
      </c>
      <c r="AI85" s="3173">
        <v>84</v>
      </c>
      <c r="AJ85" s="3173" t="s">
        <v>4273</v>
      </c>
      <c r="AK85" s="3173"/>
      <c r="AL85" s="3173"/>
      <c r="AM85" s="3173" t="s">
        <v>4274</v>
      </c>
      <c r="AN85" s="3173" t="s">
        <v>4507</v>
      </c>
      <c r="AO85" s="3173">
        <v>34.159999999999997</v>
      </c>
      <c r="AP85" s="3173" t="s">
        <v>672</v>
      </c>
      <c r="AQ85" s="3173"/>
      <c r="AR85" s="3174">
        <v>45276</v>
      </c>
      <c r="AS85" s="3173" t="s">
        <v>4277</v>
      </c>
      <c r="AT85" s="3173" t="s">
        <v>4278</v>
      </c>
      <c r="AU85" s="3173" t="s">
        <v>4279</v>
      </c>
      <c r="AV85" s="3173" t="s">
        <v>4280</v>
      </c>
      <c r="AW85" s="3180">
        <f ca="1">分套结果!BH85</f>
        <v>5536</v>
      </c>
      <c r="AX85" s="3224">
        <f t="shared" ca="1" si="2"/>
        <v>189109.75999999998</v>
      </c>
    </row>
    <row r="86" spans="1:50" ht="54">
      <c r="A86" s="3173">
        <v>85</v>
      </c>
      <c r="B86" s="3173">
        <v>20240070009</v>
      </c>
      <c r="C86" s="3173"/>
      <c r="D86" s="3173"/>
      <c r="E86" s="3173" t="s">
        <v>4274</v>
      </c>
      <c r="F86" s="3173" t="s">
        <v>4510</v>
      </c>
      <c r="G86" s="3173">
        <v>39.32</v>
      </c>
      <c r="H86" s="3173" t="s">
        <v>4276</v>
      </c>
      <c r="I86" s="3173"/>
      <c r="J86" s="3174">
        <v>45364</v>
      </c>
      <c r="K86" s="3173" t="s">
        <v>4277</v>
      </c>
      <c r="L86" s="3173" t="s">
        <v>4284</v>
      </c>
      <c r="M86" s="3173" t="s">
        <v>4279</v>
      </c>
      <c r="N86" s="3173" t="s">
        <v>4280</v>
      </c>
      <c r="O86" s="3242"/>
      <c r="P86" s="3242">
        <f ca="1">分套结果!$H$19</f>
        <v>80086</v>
      </c>
      <c r="AI86" s="3173">
        <v>85</v>
      </c>
      <c r="AJ86" s="3173" t="s">
        <v>4273</v>
      </c>
      <c r="AK86" s="3173"/>
      <c r="AL86" s="3173"/>
      <c r="AM86" s="3173" t="s">
        <v>4274</v>
      </c>
      <c r="AN86" s="3173" t="s">
        <v>4509</v>
      </c>
      <c r="AO86" s="3173">
        <v>33.14</v>
      </c>
      <c r="AP86" s="3173" t="s">
        <v>672</v>
      </c>
      <c r="AQ86" s="3173"/>
      <c r="AR86" s="3174">
        <v>45276</v>
      </c>
      <c r="AS86" s="3173" t="s">
        <v>4277</v>
      </c>
      <c r="AT86" s="3173" t="s">
        <v>4278</v>
      </c>
      <c r="AU86" s="3173" t="s">
        <v>4279</v>
      </c>
      <c r="AV86" s="3173" t="s">
        <v>4280</v>
      </c>
      <c r="AW86" s="3180">
        <f ca="1">分套结果!BH86</f>
        <v>5536</v>
      </c>
      <c r="AX86" s="3224">
        <f t="shared" ca="1" si="2"/>
        <v>183463.04000000001</v>
      </c>
    </row>
    <row r="87" spans="1:50" ht="54">
      <c r="A87" s="3173">
        <v>86</v>
      </c>
      <c r="B87" s="3173">
        <v>20240070009</v>
      </c>
      <c r="C87" s="3173"/>
      <c r="D87" s="3173"/>
      <c r="E87" s="3173" t="s">
        <v>4274</v>
      </c>
      <c r="F87" s="3173" t="s">
        <v>4512</v>
      </c>
      <c r="G87" s="3173">
        <v>39.32</v>
      </c>
      <c r="H87" s="3173" t="s">
        <v>4276</v>
      </c>
      <c r="I87" s="3173"/>
      <c r="J87" s="3174">
        <v>45364</v>
      </c>
      <c r="K87" s="3173" t="s">
        <v>4277</v>
      </c>
      <c r="L87" s="3173" t="s">
        <v>4297</v>
      </c>
      <c r="M87" s="3173" t="s">
        <v>4279</v>
      </c>
      <c r="N87" s="3173" t="s">
        <v>4280</v>
      </c>
      <c r="O87" s="3242"/>
      <c r="P87" s="3242">
        <f ca="1">分套结果!$H$19</f>
        <v>80086</v>
      </c>
      <c r="AI87" s="3173">
        <v>86</v>
      </c>
      <c r="AJ87" s="3173" t="s">
        <v>4273</v>
      </c>
      <c r="AK87" s="3173"/>
      <c r="AL87" s="3173"/>
      <c r="AM87" s="3173" t="s">
        <v>4274</v>
      </c>
      <c r="AN87" s="3173" t="s">
        <v>4511</v>
      </c>
      <c r="AO87" s="3173">
        <v>22.28</v>
      </c>
      <c r="AP87" s="3173" t="s">
        <v>672</v>
      </c>
      <c r="AQ87" s="3173"/>
      <c r="AR87" s="3174">
        <v>45276</v>
      </c>
      <c r="AS87" s="3173" t="s">
        <v>4277</v>
      </c>
      <c r="AT87" s="3173" t="s">
        <v>4278</v>
      </c>
      <c r="AU87" s="3173" t="s">
        <v>4279</v>
      </c>
      <c r="AV87" s="3173" t="s">
        <v>4280</v>
      </c>
      <c r="AW87" s="3180">
        <f ca="1">分套结果!BH87</f>
        <v>5536</v>
      </c>
      <c r="AX87" s="3224">
        <f t="shared" ca="1" si="2"/>
        <v>123342.08</v>
      </c>
    </row>
    <row r="88" spans="1:50" ht="54">
      <c r="A88" s="3173">
        <v>87</v>
      </c>
      <c r="B88" s="3173">
        <v>20240070009</v>
      </c>
      <c r="C88" s="3173"/>
      <c r="D88" s="3173"/>
      <c r="E88" s="3173" t="s">
        <v>4274</v>
      </c>
      <c r="F88" s="3173" t="s">
        <v>4514</v>
      </c>
      <c r="G88" s="3173">
        <v>39.32</v>
      </c>
      <c r="H88" s="3173" t="s">
        <v>4276</v>
      </c>
      <c r="I88" s="3173"/>
      <c r="J88" s="3174">
        <v>45364</v>
      </c>
      <c r="K88" s="3173" t="s">
        <v>4277</v>
      </c>
      <c r="L88" s="3173" t="s">
        <v>4297</v>
      </c>
      <c r="M88" s="3173" t="s">
        <v>4279</v>
      </c>
      <c r="N88" s="3173" t="s">
        <v>4280</v>
      </c>
      <c r="O88" s="3242"/>
      <c r="P88" s="3242">
        <f ca="1">分套结果!$H$19</f>
        <v>80086</v>
      </c>
      <c r="AI88" s="3173">
        <v>87</v>
      </c>
      <c r="AJ88" s="3173" t="s">
        <v>4273</v>
      </c>
      <c r="AK88" s="3173"/>
      <c r="AL88" s="3173"/>
      <c r="AM88" s="3173" t="s">
        <v>4274</v>
      </c>
      <c r="AN88" s="3173" t="s">
        <v>4513</v>
      </c>
      <c r="AO88" s="3173">
        <v>36.630000000000003</v>
      </c>
      <c r="AP88" s="3173" t="s">
        <v>672</v>
      </c>
      <c r="AQ88" s="3173"/>
      <c r="AR88" s="3174">
        <v>45276</v>
      </c>
      <c r="AS88" s="3173" t="s">
        <v>4277</v>
      </c>
      <c r="AT88" s="3173" t="s">
        <v>4278</v>
      </c>
      <c r="AU88" s="3173" t="s">
        <v>4279</v>
      </c>
      <c r="AV88" s="3173" t="s">
        <v>4280</v>
      </c>
      <c r="AW88" s="3180">
        <f ca="1">分套结果!BH88</f>
        <v>5536</v>
      </c>
      <c r="AX88" s="3224">
        <f t="shared" ca="1" si="2"/>
        <v>202783.68000000002</v>
      </c>
    </row>
    <row r="89" spans="1:50" ht="54">
      <c r="A89" s="3173">
        <v>88</v>
      </c>
      <c r="B89" s="3173">
        <v>20240070009</v>
      </c>
      <c r="C89" s="3173"/>
      <c r="D89" s="3173"/>
      <c r="E89" s="3173" t="s">
        <v>4274</v>
      </c>
      <c r="F89" s="3173" t="s">
        <v>4516</v>
      </c>
      <c r="G89" s="3173">
        <v>39.32</v>
      </c>
      <c r="H89" s="3173" t="s">
        <v>4276</v>
      </c>
      <c r="I89" s="3173"/>
      <c r="J89" s="3174">
        <v>45364</v>
      </c>
      <c r="K89" s="3173" t="s">
        <v>4277</v>
      </c>
      <c r="L89" s="3173" t="s">
        <v>4297</v>
      </c>
      <c r="M89" s="3173" t="s">
        <v>4279</v>
      </c>
      <c r="N89" s="3173" t="s">
        <v>4280</v>
      </c>
      <c r="O89" s="3242"/>
      <c r="P89" s="3242">
        <f ca="1">分套结果!$H$19</f>
        <v>80086</v>
      </c>
      <c r="AI89" s="3173">
        <v>88</v>
      </c>
      <c r="AJ89" s="3173" t="s">
        <v>4273</v>
      </c>
      <c r="AK89" s="3173"/>
      <c r="AL89" s="3173"/>
      <c r="AM89" s="3173" t="s">
        <v>4274</v>
      </c>
      <c r="AN89" s="3173" t="s">
        <v>4515</v>
      </c>
      <c r="AO89" s="3173">
        <v>37.590000000000003</v>
      </c>
      <c r="AP89" s="3173" t="s">
        <v>672</v>
      </c>
      <c r="AQ89" s="3173"/>
      <c r="AR89" s="3174">
        <v>45276</v>
      </c>
      <c r="AS89" s="3173" t="s">
        <v>4277</v>
      </c>
      <c r="AT89" s="3173" t="s">
        <v>4278</v>
      </c>
      <c r="AU89" s="3173" t="s">
        <v>4279</v>
      </c>
      <c r="AV89" s="3173" t="s">
        <v>4280</v>
      </c>
      <c r="AW89" s="3180">
        <f ca="1">分套结果!BH89</f>
        <v>5536</v>
      </c>
      <c r="AX89" s="3224">
        <f t="shared" ca="1" si="2"/>
        <v>208098.24000000002</v>
      </c>
    </row>
    <row r="90" spans="1:50" ht="54">
      <c r="A90" s="3173">
        <v>89</v>
      </c>
      <c r="B90" s="3173">
        <v>20240070009</v>
      </c>
      <c r="C90" s="3173"/>
      <c r="D90" s="3173"/>
      <c r="E90" s="3173" t="s">
        <v>4274</v>
      </c>
      <c r="F90" s="3173" t="s">
        <v>4518</v>
      </c>
      <c r="G90" s="3173">
        <v>39.32</v>
      </c>
      <c r="H90" s="3173" t="s">
        <v>4276</v>
      </c>
      <c r="I90" s="3173"/>
      <c r="J90" s="3174">
        <v>45364</v>
      </c>
      <c r="K90" s="3173" t="s">
        <v>4277</v>
      </c>
      <c r="L90" s="3173" t="s">
        <v>4297</v>
      </c>
      <c r="M90" s="3173" t="s">
        <v>4279</v>
      </c>
      <c r="N90" s="3173" t="s">
        <v>4280</v>
      </c>
      <c r="O90" s="3242"/>
      <c r="P90" s="3242">
        <f ca="1">分套结果!$H$19</f>
        <v>80086</v>
      </c>
      <c r="AI90" s="3173">
        <v>89</v>
      </c>
      <c r="AJ90" s="3173" t="s">
        <v>4273</v>
      </c>
      <c r="AK90" s="3173"/>
      <c r="AL90" s="3173"/>
      <c r="AM90" s="3173" t="s">
        <v>4274</v>
      </c>
      <c r="AN90" s="3173" t="s">
        <v>4517</v>
      </c>
      <c r="AO90" s="3173">
        <v>12.51</v>
      </c>
      <c r="AP90" s="3173" t="s">
        <v>672</v>
      </c>
      <c r="AQ90" s="3173"/>
      <c r="AR90" s="3174">
        <v>45276</v>
      </c>
      <c r="AS90" s="3173" t="s">
        <v>4277</v>
      </c>
      <c r="AT90" s="3173" t="s">
        <v>4278</v>
      </c>
      <c r="AU90" s="3173" t="s">
        <v>4279</v>
      </c>
      <c r="AV90" s="3173" t="s">
        <v>4280</v>
      </c>
      <c r="AW90" s="3180">
        <f ca="1">分套结果!BH90</f>
        <v>5536</v>
      </c>
      <c r="AX90" s="3224">
        <f t="shared" ca="1" si="2"/>
        <v>69255.360000000001</v>
      </c>
    </row>
    <row r="91" spans="1:50" ht="54">
      <c r="A91" s="3173">
        <v>90</v>
      </c>
      <c r="B91" s="3173">
        <v>20240070009</v>
      </c>
      <c r="C91" s="3173"/>
      <c r="D91" s="3173"/>
      <c r="E91" s="3173" t="s">
        <v>4274</v>
      </c>
      <c r="F91" s="3173" t="s">
        <v>4520</v>
      </c>
      <c r="G91" s="3173">
        <v>39.32</v>
      </c>
      <c r="H91" s="3173" t="s">
        <v>4276</v>
      </c>
      <c r="I91" s="3173"/>
      <c r="J91" s="3174">
        <v>45364</v>
      </c>
      <c r="K91" s="3173" t="s">
        <v>4277</v>
      </c>
      <c r="L91" s="3173" t="s">
        <v>4284</v>
      </c>
      <c r="M91" s="3173" t="s">
        <v>4279</v>
      </c>
      <c r="N91" s="3173" t="s">
        <v>4280</v>
      </c>
      <c r="O91" s="3242"/>
      <c r="P91" s="3242">
        <f ca="1">分套结果!$H$19</f>
        <v>80086</v>
      </c>
      <c r="AI91" s="3173">
        <v>90</v>
      </c>
      <c r="AJ91" s="3173" t="s">
        <v>4273</v>
      </c>
      <c r="AK91" s="3173"/>
      <c r="AL91" s="3173"/>
      <c r="AM91" s="3173" t="s">
        <v>4274</v>
      </c>
      <c r="AN91" s="3173" t="s">
        <v>4519</v>
      </c>
      <c r="AO91" s="3173">
        <v>33.26</v>
      </c>
      <c r="AP91" s="3173" t="s">
        <v>672</v>
      </c>
      <c r="AQ91" s="3173"/>
      <c r="AR91" s="3174">
        <v>45276</v>
      </c>
      <c r="AS91" s="3173" t="s">
        <v>4277</v>
      </c>
      <c r="AT91" s="3173" t="s">
        <v>4278</v>
      </c>
      <c r="AU91" s="3173" t="s">
        <v>4279</v>
      </c>
      <c r="AV91" s="3173" t="s">
        <v>4280</v>
      </c>
      <c r="AW91" s="3180">
        <f ca="1">分套结果!BH91</f>
        <v>5536</v>
      </c>
      <c r="AX91" s="3224">
        <f t="shared" ca="1" si="2"/>
        <v>184127.35999999999</v>
      </c>
    </row>
    <row r="92" spans="1:50" ht="54">
      <c r="A92" s="3173">
        <v>91</v>
      </c>
      <c r="B92" s="3173">
        <v>20240070009</v>
      </c>
      <c r="C92" s="3173"/>
      <c r="D92" s="3173"/>
      <c r="E92" s="3173" t="s">
        <v>4274</v>
      </c>
      <c r="F92" s="3173" t="s">
        <v>4522</v>
      </c>
      <c r="G92" s="3173">
        <v>39.32</v>
      </c>
      <c r="H92" s="3173" t="s">
        <v>4276</v>
      </c>
      <c r="I92" s="3173"/>
      <c r="J92" s="3174">
        <v>45364</v>
      </c>
      <c r="K92" s="3173" t="s">
        <v>4277</v>
      </c>
      <c r="L92" s="3173" t="s">
        <v>4284</v>
      </c>
      <c r="M92" s="3173" t="s">
        <v>4279</v>
      </c>
      <c r="N92" s="3173" t="s">
        <v>4280</v>
      </c>
      <c r="O92" s="3242"/>
      <c r="P92" s="3242">
        <f ca="1">分套结果!$H$19</f>
        <v>80086</v>
      </c>
      <c r="AI92" s="3173">
        <v>91</v>
      </c>
      <c r="AJ92" s="3173" t="s">
        <v>4273</v>
      </c>
      <c r="AK92" s="3173"/>
      <c r="AL92" s="3173"/>
      <c r="AM92" s="3173" t="s">
        <v>4274</v>
      </c>
      <c r="AN92" s="3173" t="s">
        <v>4521</v>
      </c>
      <c r="AO92" s="3173">
        <v>33.51</v>
      </c>
      <c r="AP92" s="3173" t="s">
        <v>672</v>
      </c>
      <c r="AQ92" s="3173"/>
      <c r="AR92" s="3174">
        <v>45276</v>
      </c>
      <c r="AS92" s="3173" t="s">
        <v>4277</v>
      </c>
      <c r="AT92" s="3173" t="s">
        <v>4278</v>
      </c>
      <c r="AU92" s="3173" t="s">
        <v>4279</v>
      </c>
      <c r="AV92" s="3173" t="s">
        <v>4280</v>
      </c>
      <c r="AW92" s="3180">
        <f ca="1">分套结果!BH92</f>
        <v>5536</v>
      </c>
      <c r="AX92" s="3224">
        <f t="shared" ca="1" si="2"/>
        <v>185511.36</v>
      </c>
    </row>
    <row r="93" spans="1:50" ht="54">
      <c r="A93" s="3173">
        <v>92</v>
      </c>
      <c r="B93" s="3173">
        <v>20240070009</v>
      </c>
      <c r="C93" s="3173"/>
      <c r="D93" s="3173"/>
      <c r="E93" s="3173" t="s">
        <v>4274</v>
      </c>
      <c r="F93" s="3173" t="s">
        <v>4524</v>
      </c>
      <c r="G93" s="3173">
        <v>39.32</v>
      </c>
      <c r="H93" s="3173" t="s">
        <v>4276</v>
      </c>
      <c r="I93" s="3173"/>
      <c r="J93" s="3174">
        <v>45364</v>
      </c>
      <c r="K93" s="3173" t="s">
        <v>4277</v>
      </c>
      <c r="L93" s="3173" t="s">
        <v>4284</v>
      </c>
      <c r="M93" s="3173" t="s">
        <v>4279</v>
      </c>
      <c r="N93" s="3173" t="s">
        <v>4280</v>
      </c>
      <c r="O93" s="3242"/>
      <c r="P93" s="3242">
        <f ca="1">分套结果!$H$19</f>
        <v>80086</v>
      </c>
      <c r="AI93" s="3173">
        <v>92</v>
      </c>
      <c r="AJ93" s="3173" t="s">
        <v>4273</v>
      </c>
      <c r="AK93" s="3173"/>
      <c r="AL93" s="3173"/>
      <c r="AM93" s="3173" t="s">
        <v>4274</v>
      </c>
      <c r="AN93" s="3173" t="s">
        <v>4523</v>
      </c>
      <c r="AO93" s="3173">
        <v>61.2</v>
      </c>
      <c r="AP93" s="3173" t="s">
        <v>672</v>
      </c>
      <c r="AQ93" s="3173"/>
      <c r="AR93" s="3174">
        <v>45276</v>
      </c>
      <c r="AS93" s="3173" t="s">
        <v>4277</v>
      </c>
      <c r="AT93" s="3173" t="s">
        <v>4278</v>
      </c>
      <c r="AU93" s="3173" t="s">
        <v>4279</v>
      </c>
      <c r="AV93" s="3173" t="s">
        <v>4280</v>
      </c>
      <c r="AW93" s="3180">
        <f ca="1">分套结果!BH93</f>
        <v>5536</v>
      </c>
      <c r="AX93" s="3224">
        <f t="shared" ca="1" si="2"/>
        <v>338803.20000000001</v>
      </c>
    </row>
    <row r="94" spans="1:50" ht="54">
      <c r="A94" s="3173">
        <v>93</v>
      </c>
      <c r="B94" s="3173">
        <v>20240070009</v>
      </c>
      <c r="C94" s="3173"/>
      <c r="D94" s="3173"/>
      <c r="E94" s="3173" t="s">
        <v>4274</v>
      </c>
      <c r="F94" s="3173" t="s">
        <v>4526</v>
      </c>
      <c r="G94" s="3173">
        <v>39.32</v>
      </c>
      <c r="H94" s="3173" t="s">
        <v>4276</v>
      </c>
      <c r="I94" s="3173"/>
      <c r="J94" s="3174">
        <v>45364</v>
      </c>
      <c r="K94" s="3173" t="s">
        <v>4277</v>
      </c>
      <c r="L94" s="3173" t="s">
        <v>4284</v>
      </c>
      <c r="M94" s="3173" t="s">
        <v>4279</v>
      </c>
      <c r="N94" s="3173" t="s">
        <v>4280</v>
      </c>
      <c r="O94" s="3242"/>
      <c r="P94" s="3242">
        <f ca="1">分套结果!$H$19</f>
        <v>80086</v>
      </c>
      <c r="AI94" s="3173">
        <v>93</v>
      </c>
      <c r="AJ94" s="3173" t="s">
        <v>4273</v>
      </c>
      <c r="AK94" s="3173"/>
      <c r="AL94" s="3173"/>
      <c r="AM94" s="3173" t="s">
        <v>4274</v>
      </c>
      <c r="AN94" s="3173" t="s">
        <v>4525</v>
      </c>
      <c r="AO94" s="3173">
        <v>52.44</v>
      </c>
      <c r="AP94" s="3173" t="s">
        <v>672</v>
      </c>
      <c r="AQ94" s="3173"/>
      <c r="AR94" s="3174">
        <v>45276</v>
      </c>
      <c r="AS94" s="3173" t="s">
        <v>4277</v>
      </c>
      <c r="AT94" s="3173" t="s">
        <v>4278</v>
      </c>
      <c r="AU94" s="3173" t="s">
        <v>4279</v>
      </c>
      <c r="AV94" s="3173" t="s">
        <v>4280</v>
      </c>
      <c r="AW94" s="3180">
        <f ca="1">分套结果!BH94</f>
        <v>5536</v>
      </c>
      <c r="AX94" s="3224">
        <f t="shared" ca="1" si="2"/>
        <v>290307.83999999997</v>
      </c>
    </row>
    <row r="95" spans="1:50" ht="54">
      <c r="A95" s="3173">
        <v>94</v>
      </c>
      <c r="B95" s="3173">
        <v>20240070009</v>
      </c>
      <c r="C95" s="3173"/>
      <c r="D95" s="3173"/>
      <c r="E95" s="3173" t="s">
        <v>4274</v>
      </c>
      <c r="F95" s="3173" t="s">
        <v>4528</v>
      </c>
      <c r="G95" s="3173">
        <v>39.32</v>
      </c>
      <c r="H95" s="3173" t="s">
        <v>4276</v>
      </c>
      <c r="I95" s="3173"/>
      <c r="J95" s="3174">
        <v>45364</v>
      </c>
      <c r="K95" s="3173" t="s">
        <v>4277</v>
      </c>
      <c r="L95" s="3173" t="s">
        <v>4284</v>
      </c>
      <c r="M95" s="3173" t="s">
        <v>4279</v>
      </c>
      <c r="N95" s="3173" t="s">
        <v>4280</v>
      </c>
      <c r="O95" s="3242"/>
      <c r="P95" s="3242">
        <f ca="1">分套结果!$H$19</f>
        <v>80086</v>
      </c>
      <c r="AI95" s="3173">
        <v>94</v>
      </c>
      <c r="AJ95" s="3173" t="s">
        <v>4273</v>
      </c>
      <c r="AK95" s="3173"/>
      <c r="AL95" s="3173"/>
      <c r="AM95" s="3173" t="s">
        <v>4274</v>
      </c>
      <c r="AN95" s="3173" t="s">
        <v>4527</v>
      </c>
      <c r="AO95" s="3173">
        <v>47.89</v>
      </c>
      <c r="AP95" s="3173" t="s">
        <v>672</v>
      </c>
      <c r="AQ95" s="3173"/>
      <c r="AR95" s="3174">
        <v>45276</v>
      </c>
      <c r="AS95" s="3173" t="s">
        <v>4277</v>
      </c>
      <c r="AT95" s="3173" t="s">
        <v>4278</v>
      </c>
      <c r="AU95" s="3173" t="s">
        <v>4279</v>
      </c>
      <c r="AV95" s="3173" t="s">
        <v>4280</v>
      </c>
      <c r="AW95" s="3180">
        <f ca="1">分套结果!BH95</f>
        <v>5536</v>
      </c>
      <c r="AX95" s="3224">
        <f t="shared" ca="1" si="2"/>
        <v>265119.03999999998</v>
      </c>
    </row>
    <row r="96" spans="1:50" ht="54">
      <c r="A96" s="3173">
        <v>95</v>
      </c>
      <c r="B96" s="3173">
        <v>20240070009</v>
      </c>
      <c r="C96" s="3173"/>
      <c r="D96" s="3173"/>
      <c r="E96" s="3173" t="s">
        <v>4274</v>
      </c>
      <c r="F96" s="3173" t="s">
        <v>4530</v>
      </c>
      <c r="G96" s="3173">
        <v>39.32</v>
      </c>
      <c r="H96" s="3173" t="s">
        <v>4276</v>
      </c>
      <c r="I96" s="3173"/>
      <c r="J96" s="3174">
        <v>45364</v>
      </c>
      <c r="K96" s="3173" t="s">
        <v>4277</v>
      </c>
      <c r="L96" s="3173" t="s">
        <v>4284</v>
      </c>
      <c r="M96" s="3173" t="s">
        <v>4279</v>
      </c>
      <c r="N96" s="3173" t="s">
        <v>4280</v>
      </c>
      <c r="O96" s="3242"/>
      <c r="P96" s="3242">
        <f ca="1">分套结果!$H$19</f>
        <v>80086</v>
      </c>
      <c r="AI96" s="3173">
        <v>95</v>
      </c>
      <c r="AJ96" s="3173" t="s">
        <v>4273</v>
      </c>
      <c r="AK96" s="3173"/>
      <c r="AL96" s="3173"/>
      <c r="AM96" s="3173" t="s">
        <v>4274</v>
      </c>
      <c r="AN96" s="3173" t="s">
        <v>4529</v>
      </c>
      <c r="AO96" s="3173">
        <v>18.7</v>
      </c>
      <c r="AP96" s="3173" t="s">
        <v>672</v>
      </c>
      <c r="AQ96" s="3173"/>
      <c r="AR96" s="3174">
        <v>45276</v>
      </c>
      <c r="AS96" s="3173" t="s">
        <v>4277</v>
      </c>
      <c r="AT96" s="3173" t="s">
        <v>4278</v>
      </c>
      <c r="AU96" s="3173" t="s">
        <v>4279</v>
      </c>
      <c r="AV96" s="3173" t="s">
        <v>4280</v>
      </c>
      <c r="AW96" s="3180">
        <f ca="1">分套结果!BH96</f>
        <v>5536</v>
      </c>
      <c r="AX96" s="3224">
        <f t="shared" ca="1" si="2"/>
        <v>103523.2</v>
      </c>
    </row>
    <row r="97" spans="1:50" ht="54">
      <c r="A97" s="3173">
        <v>96</v>
      </c>
      <c r="B97" s="3173">
        <v>20240070009</v>
      </c>
      <c r="C97" s="3173"/>
      <c r="D97" s="3173"/>
      <c r="E97" s="3173" t="s">
        <v>4274</v>
      </c>
      <c r="F97" s="3173" t="s">
        <v>4532</v>
      </c>
      <c r="G97" s="3173">
        <v>85</v>
      </c>
      <c r="H97" s="3173" t="s">
        <v>4533</v>
      </c>
      <c r="I97" s="3173"/>
      <c r="J97" s="3174">
        <v>45364</v>
      </c>
      <c r="K97" s="3173" t="s">
        <v>4279</v>
      </c>
      <c r="L97" s="3173" t="s">
        <v>4284</v>
      </c>
      <c r="M97" s="3173" t="s">
        <v>4279</v>
      </c>
      <c r="N97" s="3173" t="s">
        <v>4280</v>
      </c>
      <c r="O97" s="3242">
        <f ca="1">分套结果!X97</f>
        <v>2220</v>
      </c>
      <c r="P97" s="3242">
        <f ca="1">O97*G97</f>
        <v>188700</v>
      </c>
      <c r="AI97" s="3173">
        <v>96</v>
      </c>
      <c r="AJ97" s="3173" t="s">
        <v>4273</v>
      </c>
      <c r="AK97" s="3173"/>
      <c r="AL97" s="3173"/>
      <c r="AM97" s="3173" t="s">
        <v>4274</v>
      </c>
      <c r="AN97" s="3173" t="s">
        <v>4531</v>
      </c>
      <c r="AO97" s="3173">
        <v>33.58</v>
      </c>
      <c r="AP97" s="3173" t="s">
        <v>672</v>
      </c>
      <c r="AQ97" s="3173"/>
      <c r="AR97" s="3174">
        <v>45276</v>
      </c>
      <c r="AS97" s="3173" t="s">
        <v>4277</v>
      </c>
      <c r="AT97" s="3173" t="s">
        <v>4278</v>
      </c>
      <c r="AU97" s="3173" t="s">
        <v>4279</v>
      </c>
      <c r="AV97" s="3173" t="s">
        <v>4280</v>
      </c>
      <c r="AW97" s="3180">
        <f ca="1">分套结果!BH97</f>
        <v>5536</v>
      </c>
      <c r="AX97" s="3224">
        <f t="shared" ca="1" si="2"/>
        <v>185898.88</v>
      </c>
    </row>
    <row r="98" spans="1:50" ht="54">
      <c r="A98" s="3173">
        <v>97</v>
      </c>
      <c r="B98" s="3173">
        <v>20240070009</v>
      </c>
      <c r="C98" s="3173"/>
      <c r="D98" s="3173"/>
      <c r="E98" s="3173" t="s">
        <v>4274</v>
      </c>
      <c r="F98" s="3173" t="s">
        <v>4535</v>
      </c>
      <c r="G98" s="3173">
        <v>39.32</v>
      </c>
      <c r="H98" s="3173" t="s">
        <v>4276</v>
      </c>
      <c r="I98" s="3173"/>
      <c r="J98" s="3174">
        <v>45364</v>
      </c>
      <c r="K98" s="3173" t="s">
        <v>4279</v>
      </c>
      <c r="L98" s="3173" t="s">
        <v>4284</v>
      </c>
      <c r="M98" s="3173" t="s">
        <v>4279</v>
      </c>
      <c r="N98" s="3173" t="s">
        <v>4280</v>
      </c>
      <c r="O98" s="3242"/>
      <c r="P98" s="3242">
        <f ca="1">分套结果!$H$19</f>
        <v>80086</v>
      </c>
      <c r="AI98" s="3173">
        <v>97</v>
      </c>
      <c r="AJ98" s="3173" t="s">
        <v>4273</v>
      </c>
      <c r="AK98" s="3173"/>
      <c r="AL98" s="3173"/>
      <c r="AM98" s="3173" t="s">
        <v>4274</v>
      </c>
      <c r="AN98" s="3173" t="s">
        <v>4534</v>
      </c>
      <c r="AO98" s="3173">
        <v>33.65</v>
      </c>
      <c r="AP98" s="3173" t="s">
        <v>672</v>
      </c>
      <c r="AQ98" s="3173"/>
      <c r="AR98" s="3174">
        <v>45276</v>
      </c>
      <c r="AS98" s="3173" t="s">
        <v>4277</v>
      </c>
      <c r="AT98" s="3173" t="s">
        <v>4278</v>
      </c>
      <c r="AU98" s="3173" t="s">
        <v>4279</v>
      </c>
      <c r="AV98" s="3173" t="s">
        <v>4280</v>
      </c>
      <c r="AW98" s="3180">
        <f ca="1">分套结果!BH98</f>
        <v>5536</v>
      </c>
      <c r="AX98" s="3224">
        <f t="shared" ca="1" si="2"/>
        <v>186286.4</v>
      </c>
    </row>
    <row r="99" spans="1:50" ht="54">
      <c r="A99" s="3173">
        <v>98</v>
      </c>
      <c r="B99" s="3173">
        <v>20240070009</v>
      </c>
      <c r="C99" s="3173"/>
      <c r="D99" s="3173"/>
      <c r="E99" s="3173" t="s">
        <v>4274</v>
      </c>
      <c r="F99" s="3173" t="s">
        <v>4537</v>
      </c>
      <c r="G99" s="3173">
        <v>39.32</v>
      </c>
      <c r="H99" s="3173" t="s">
        <v>4276</v>
      </c>
      <c r="I99" s="3173"/>
      <c r="J99" s="3174">
        <v>45364</v>
      </c>
      <c r="K99" s="3173" t="s">
        <v>4279</v>
      </c>
      <c r="L99" s="3173" t="s">
        <v>4284</v>
      </c>
      <c r="M99" s="3173" t="s">
        <v>4279</v>
      </c>
      <c r="N99" s="3173" t="s">
        <v>4280</v>
      </c>
      <c r="O99" s="3242"/>
      <c r="P99" s="3242">
        <f ca="1">分套结果!$H$19</f>
        <v>80086</v>
      </c>
      <c r="AI99" s="3173">
        <v>98</v>
      </c>
      <c r="AJ99" s="3173" t="s">
        <v>4273</v>
      </c>
      <c r="AK99" s="3173"/>
      <c r="AL99" s="3173"/>
      <c r="AM99" s="3173" t="s">
        <v>4274</v>
      </c>
      <c r="AN99" s="3173" t="s">
        <v>4536</v>
      </c>
      <c r="AO99" s="3173">
        <v>30.85</v>
      </c>
      <c r="AP99" s="3173" t="s">
        <v>672</v>
      </c>
      <c r="AQ99" s="3173"/>
      <c r="AR99" s="3174">
        <v>45276</v>
      </c>
      <c r="AS99" s="3173" t="s">
        <v>4277</v>
      </c>
      <c r="AT99" s="3173" t="s">
        <v>4278</v>
      </c>
      <c r="AU99" s="3173" t="s">
        <v>4279</v>
      </c>
      <c r="AV99" s="3173" t="s">
        <v>4280</v>
      </c>
      <c r="AW99" s="3180">
        <f ca="1">分套结果!BH99</f>
        <v>5536</v>
      </c>
      <c r="AX99" s="3224">
        <f t="shared" ca="1" si="2"/>
        <v>170785.6</v>
      </c>
    </row>
    <row r="100" spans="1:50" ht="54">
      <c r="A100" s="3173">
        <v>99</v>
      </c>
      <c r="B100" s="3173">
        <v>20240070009</v>
      </c>
      <c r="C100" s="3173"/>
      <c r="D100" s="3173"/>
      <c r="E100" s="3173" t="s">
        <v>4274</v>
      </c>
      <c r="F100" s="3173" t="s">
        <v>4539</v>
      </c>
      <c r="G100" s="3173">
        <v>39.32</v>
      </c>
      <c r="H100" s="3173" t="s">
        <v>4276</v>
      </c>
      <c r="I100" s="3173"/>
      <c r="J100" s="3174">
        <v>45364</v>
      </c>
      <c r="K100" s="3173" t="s">
        <v>4279</v>
      </c>
      <c r="L100" s="3173" t="s">
        <v>4284</v>
      </c>
      <c r="M100" s="3173" t="s">
        <v>4279</v>
      </c>
      <c r="N100" s="3173" t="s">
        <v>4280</v>
      </c>
      <c r="O100" s="3242"/>
      <c r="P100" s="3242">
        <f ca="1">分套结果!$H$19</f>
        <v>80086</v>
      </c>
      <c r="AI100" s="3173">
        <v>99</v>
      </c>
      <c r="AJ100" s="3173" t="s">
        <v>4273</v>
      </c>
      <c r="AK100" s="3173"/>
      <c r="AL100" s="3173"/>
      <c r="AM100" s="3173" t="s">
        <v>4274</v>
      </c>
      <c r="AN100" s="3173" t="s">
        <v>4538</v>
      </c>
      <c r="AO100" s="3173">
        <v>25.26</v>
      </c>
      <c r="AP100" s="3173" t="s">
        <v>672</v>
      </c>
      <c r="AQ100" s="3173"/>
      <c r="AR100" s="3174">
        <v>45276</v>
      </c>
      <c r="AS100" s="3173" t="s">
        <v>4277</v>
      </c>
      <c r="AT100" s="3173" t="s">
        <v>4278</v>
      </c>
      <c r="AU100" s="3173" t="s">
        <v>4279</v>
      </c>
      <c r="AV100" s="3173" t="s">
        <v>4280</v>
      </c>
      <c r="AW100" s="3180">
        <f ca="1">分套结果!BH100</f>
        <v>5536</v>
      </c>
      <c r="AX100" s="3224">
        <f t="shared" ca="1" si="2"/>
        <v>139839.36000000002</v>
      </c>
    </row>
    <row r="101" spans="1:50" ht="54">
      <c r="A101" s="3173">
        <v>100</v>
      </c>
      <c r="B101" s="3173">
        <v>20240070009</v>
      </c>
      <c r="C101" s="3173"/>
      <c r="D101" s="3173"/>
      <c r="E101" s="3173" t="s">
        <v>4274</v>
      </c>
      <c r="F101" s="3173" t="s">
        <v>4572</v>
      </c>
      <c r="G101" s="3173">
        <v>45</v>
      </c>
      <c r="H101" s="3173" t="s">
        <v>672</v>
      </c>
      <c r="I101" s="3176"/>
      <c r="J101" s="3177">
        <v>45364</v>
      </c>
      <c r="K101" s="3176" t="s">
        <v>4279</v>
      </c>
      <c r="L101" s="3176" t="s">
        <v>4284</v>
      </c>
      <c r="M101" s="3176" t="s">
        <v>4279</v>
      </c>
      <c r="N101" s="3176" t="s">
        <v>4280</v>
      </c>
      <c r="O101" s="3242">
        <f ca="1">分套结果!X101</f>
        <v>11071</v>
      </c>
      <c r="P101" s="3242">
        <f ca="1">O101*G101</f>
        <v>498195</v>
      </c>
      <c r="AI101" s="3173">
        <v>100</v>
      </c>
      <c r="AJ101" s="3173" t="s">
        <v>4273</v>
      </c>
      <c r="AK101" s="3173"/>
      <c r="AL101" s="3173"/>
      <c r="AM101" s="3173" t="s">
        <v>4274</v>
      </c>
      <c r="AN101" s="3173" t="s">
        <v>4540</v>
      </c>
      <c r="AO101" s="3173">
        <v>25.26</v>
      </c>
      <c r="AP101" s="3173" t="s">
        <v>672</v>
      </c>
      <c r="AQ101" s="3173"/>
      <c r="AR101" s="3174">
        <v>45276</v>
      </c>
      <c r="AS101" s="3173" t="s">
        <v>4277</v>
      </c>
      <c r="AT101" s="3173" t="s">
        <v>4297</v>
      </c>
      <c r="AU101" s="3173" t="s">
        <v>4279</v>
      </c>
      <c r="AV101" s="3173" t="s">
        <v>4280</v>
      </c>
      <c r="AW101" s="3180">
        <f ca="1">分套结果!BH101</f>
        <v>5536</v>
      </c>
      <c r="AX101" s="3224">
        <f t="shared" ca="1" si="2"/>
        <v>139839.36000000002</v>
      </c>
    </row>
    <row r="102" spans="1:50" ht="54">
      <c r="A102" s="3173">
        <v>101</v>
      </c>
      <c r="B102" s="3173">
        <v>20240070009</v>
      </c>
      <c r="C102" s="3173"/>
      <c r="D102" s="3173"/>
      <c r="E102" s="3173" t="s">
        <v>4274</v>
      </c>
      <c r="F102" s="3173" t="s">
        <v>4573</v>
      </c>
      <c r="G102" s="3173">
        <v>60.83</v>
      </c>
      <c r="H102" s="3173" t="s">
        <v>672</v>
      </c>
      <c r="I102" s="3176"/>
      <c r="J102" s="3177">
        <v>45364</v>
      </c>
      <c r="K102" s="3176" t="s">
        <v>4279</v>
      </c>
      <c r="L102" s="3176" t="s">
        <v>4284</v>
      </c>
      <c r="M102" s="3176" t="s">
        <v>4279</v>
      </c>
      <c r="N102" s="3176" t="s">
        <v>4280</v>
      </c>
      <c r="O102" s="3242">
        <f ca="1">分套结果!X102</f>
        <v>11071</v>
      </c>
      <c r="P102" s="3242">
        <f t="shared" ref="P102:P165" ca="1" si="4">O102*G102</f>
        <v>673448.92999999993</v>
      </c>
      <c r="AI102" s="3173">
        <v>101</v>
      </c>
      <c r="AJ102" s="3173" t="s">
        <v>4273</v>
      </c>
      <c r="AK102" s="3173"/>
      <c r="AL102" s="3173"/>
      <c r="AM102" s="3173" t="s">
        <v>4274</v>
      </c>
      <c r="AN102" s="3173" t="s">
        <v>4543</v>
      </c>
      <c r="AO102" s="3173">
        <v>12.43</v>
      </c>
      <c r="AP102" s="3173" t="s">
        <v>672</v>
      </c>
      <c r="AQ102" s="3173"/>
      <c r="AR102" s="3174">
        <v>45276</v>
      </c>
      <c r="AS102" s="3173" t="s">
        <v>4277</v>
      </c>
      <c r="AT102" s="3173" t="s">
        <v>4297</v>
      </c>
      <c r="AU102" s="3173" t="s">
        <v>4279</v>
      </c>
      <c r="AV102" s="3173" t="s">
        <v>4280</v>
      </c>
      <c r="AW102" s="3180">
        <f ca="1">分套结果!BH102</f>
        <v>5536</v>
      </c>
      <c r="AX102" s="3224">
        <f t="shared" ca="1" si="2"/>
        <v>68812.479999999996</v>
      </c>
    </row>
    <row r="103" spans="1:50" ht="54">
      <c r="A103" s="3173">
        <v>102</v>
      </c>
      <c r="B103" s="3173">
        <v>20240070009</v>
      </c>
      <c r="C103" s="3173"/>
      <c r="D103" s="3173"/>
      <c r="E103" s="3173" t="s">
        <v>4274</v>
      </c>
      <c r="F103" s="3173" t="s">
        <v>4574</v>
      </c>
      <c r="G103" s="3173">
        <v>96.16</v>
      </c>
      <c r="H103" s="3173" t="s">
        <v>672</v>
      </c>
      <c r="I103" s="3176"/>
      <c r="J103" s="3177">
        <v>45364</v>
      </c>
      <c r="K103" s="3176" t="s">
        <v>4279</v>
      </c>
      <c r="L103" s="3176" t="s">
        <v>4284</v>
      </c>
      <c r="M103" s="3176" t="s">
        <v>4279</v>
      </c>
      <c r="N103" s="3176" t="s">
        <v>4280</v>
      </c>
      <c r="O103" s="3242">
        <f ca="1">分套结果!X103</f>
        <v>11071</v>
      </c>
      <c r="P103" s="3242">
        <f t="shared" ca="1" si="4"/>
        <v>1064587.3599999999</v>
      </c>
      <c r="AI103" s="3173">
        <v>102</v>
      </c>
      <c r="AJ103" s="3173" t="s">
        <v>4273</v>
      </c>
      <c r="AK103" s="3173"/>
      <c r="AL103" s="3173"/>
      <c r="AM103" s="3173" t="s">
        <v>4274</v>
      </c>
      <c r="AN103" s="3173" t="s">
        <v>4545</v>
      </c>
      <c r="AO103" s="3173">
        <v>61.2</v>
      </c>
      <c r="AP103" s="3173" t="s">
        <v>672</v>
      </c>
      <c r="AQ103" s="3173"/>
      <c r="AR103" s="3174">
        <v>45276</v>
      </c>
      <c r="AS103" s="3173" t="s">
        <v>4277</v>
      </c>
      <c r="AT103" s="3173" t="s">
        <v>4297</v>
      </c>
      <c r="AU103" s="3173" t="s">
        <v>4279</v>
      </c>
      <c r="AV103" s="3173" t="s">
        <v>4280</v>
      </c>
      <c r="AW103" s="3180">
        <f ca="1">分套结果!BH103</f>
        <v>5536</v>
      </c>
      <c r="AX103" s="3224">
        <f t="shared" ca="1" si="2"/>
        <v>338803.20000000001</v>
      </c>
    </row>
    <row r="104" spans="1:50" ht="54">
      <c r="A104" s="3173">
        <v>103</v>
      </c>
      <c r="B104" s="3173">
        <v>20240070009</v>
      </c>
      <c r="C104" s="3173"/>
      <c r="D104" s="3173"/>
      <c r="E104" s="3173" t="s">
        <v>4274</v>
      </c>
      <c r="F104" s="3173" t="s">
        <v>4575</v>
      </c>
      <c r="G104" s="3173">
        <v>45.65</v>
      </c>
      <c r="H104" s="3173" t="s">
        <v>672</v>
      </c>
      <c r="I104" s="3176"/>
      <c r="J104" s="3177">
        <v>45364</v>
      </c>
      <c r="K104" s="3176" t="s">
        <v>4279</v>
      </c>
      <c r="L104" s="3176" t="s">
        <v>4284</v>
      </c>
      <c r="M104" s="3176" t="s">
        <v>4279</v>
      </c>
      <c r="N104" s="3176" t="s">
        <v>4280</v>
      </c>
      <c r="O104" s="3242">
        <f ca="1">分套结果!X104</f>
        <v>5536</v>
      </c>
      <c r="P104" s="3242">
        <f t="shared" ca="1" si="4"/>
        <v>252718.4</v>
      </c>
      <c r="AI104" s="3173">
        <v>103</v>
      </c>
      <c r="AJ104" s="3173" t="s">
        <v>4273</v>
      </c>
      <c r="AK104" s="3173"/>
      <c r="AL104" s="3173"/>
      <c r="AM104" s="3173" t="s">
        <v>4274</v>
      </c>
      <c r="AN104" s="3173" t="s">
        <v>4547</v>
      </c>
      <c r="AO104" s="3173">
        <v>52.44</v>
      </c>
      <c r="AP104" s="3173" t="s">
        <v>672</v>
      </c>
      <c r="AQ104" s="3173"/>
      <c r="AR104" s="3174">
        <v>45276</v>
      </c>
      <c r="AS104" s="3173" t="s">
        <v>4277</v>
      </c>
      <c r="AT104" s="3173" t="s">
        <v>4297</v>
      </c>
      <c r="AU104" s="3173" t="s">
        <v>4279</v>
      </c>
      <c r="AV104" s="3173" t="s">
        <v>4280</v>
      </c>
      <c r="AW104" s="3180">
        <f ca="1">分套结果!BH104</f>
        <v>5536</v>
      </c>
      <c r="AX104" s="3224">
        <f t="shared" ca="1" si="2"/>
        <v>290307.83999999997</v>
      </c>
    </row>
    <row r="105" spans="1:50" ht="54">
      <c r="A105" s="3173">
        <v>104</v>
      </c>
      <c r="B105" s="3173">
        <v>20240070009</v>
      </c>
      <c r="C105" s="3173"/>
      <c r="D105" s="3173"/>
      <c r="E105" s="3173" t="s">
        <v>4274</v>
      </c>
      <c r="F105" s="3173" t="s">
        <v>4576</v>
      </c>
      <c r="G105" s="3173">
        <v>64.25</v>
      </c>
      <c r="H105" s="3173" t="s">
        <v>672</v>
      </c>
      <c r="I105" s="3176"/>
      <c r="J105" s="3177">
        <v>45364</v>
      </c>
      <c r="K105" s="3176" t="s">
        <v>4279</v>
      </c>
      <c r="L105" s="3176" t="s">
        <v>4284</v>
      </c>
      <c r="M105" s="3176" t="s">
        <v>4279</v>
      </c>
      <c r="N105" s="3176" t="s">
        <v>4280</v>
      </c>
      <c r="O105" s="3242">
        <f ca="1">分套结果!X105</f>
        <v>5536</v>
      </c>
      <c r="P105" s="3242">
        <f t="shared" ca="1" si="4"/>
        <v>355688</v>
      </c>
      <c r="AI105" s="3173">
        <v>104</v>
      </c>
      <c r="AJ105" s="3173" t="s">
        <v>4273</v>
      </c>
      <c r="AK105" s="3173"/>
      <c r="AL105" s="3173"/>
      <c r="AM105" s="3173" t="s">
        <v>4274</v>
      </c>
      <c r="AN105" s="3173" t="s">
        <v>4549</v>
      </c>
      <c r="AO105" s="3173">
        <v>47.89</v>
      </c>
      <c r="AP105" s="3173" t="s">
        <v>672</v>
      </c>
      <c r="AQ105" s="3173"/>
      <c r="AR105" s="3174">
        <v>45276</v>
      </c>
      <c r="AS105" s="3173" t="s">
        <v>4277</v>
      </c>
      <c r="AT105" s="3173" t="s">
        <v>4297</v>
      </c>
      <c r="AU105" s="3173" t="s">
        <v>4279</v>
      </c>
      <c r="AV105" s="3173" t="s">
        <v>4280</v>
      </c>
      <c r="AW105" s="3180">
        <f ca="1">分套结果!BH105</f>
        <v>5536</v>
      </c>
      <c r="AX105" s="3224">
        <f t="shared" ca="1" si="2"/>
        <v>265119.03999999998</v>
      </c>
    </row>
    <row r="106" spans="1:50" ht="54">
      <c r="A106" s="3173">
        <v>105</v>
      </c>
      <c r="B106" s="3173">
        <v>20240070009</v>
      </c>
      <c r="C106" s="3173"/>
      <c r="D106" s="3173"/>
      <c r="E106" s="3173" t="s">
        <v>4274</v>
      </c>
      <c r="F106" s="3173" t="s">
        <v>4577</v>
      </c>
      <c r="G106" s="3173">
        <v>64.25</v>
      </c>
      <c r="H106" s="3173" t="s">
        <v>672</v>
      </c>
      <c r="I106" s="3176"/>
      <c r="J106" s="3177">
        <v>45364</v>
      </c>
      <c r="K106" s="3176" t="s">
        <v>4279</v>
      </c>
      <c r="L106" s="3176" t="s">
        <v>4284</v>
      </c>
      <c r="M106" s="3176" t="s">
        <v>4279</v>
      </c>
      <c r="N106" s="3176" t="s">
        <v>4280</v>
      </c>
      <c r="O106" s="3242">
        <f ca="1">分套结果!X106</f>
        <v>5536</v>
      </c>
      <c r="P106" s="3242">
        <f t="shared" ca="1" si="4"/>
        <v>355688</v>
      </c>
      <c r="AI106" s="3173">
        <v>105</v>
      </c>
      <c r="AJ106" s="3173" t="s">
        <v>4273</v>
      </c>
      <c r="AK106" s="3173"/>
      <c r="AL106" s="3173"/>
      <c r="AM106" s="3173" t="s">
        <v>4274</v>
      </c>
      <c r="AN106" s="3173" t="s">
        <v>4551</v>
      </c>
      <c r="AO106" s="3173">
        <v>18.7</v>
      </c>
      <c r="AP106" s="3173" t="s">
        <v>672</v>
      </c>
      <c r="AQ106" s="3173"/>
      <c r="AR106" s="3174">
        <v>45276</v>
      </c>
      <c r="AS106" s="3173" t="s">
        <v>4277</v>
      </c>
      <c r="AT106" s="3173" t="s">
        <v>4297</v>
      </c>
      <c r="AU106" s="3173" t="s">
        <v>4279</v>
      </c>
      <c r="AV106" s="3173" t="s">
        <v>4280</v>
      </c>
      <c r="AW106" s="3180">
        <f ca="1">分套结果!BH106</f>
        <v>5536</v>
      </c>
      <c r="AX106" s="3224">
        <f t="shared" ca="1" si="2"/>
        <v>103523.2</v>
      </c>
    </row>
    <row r="107" spans="1:50" ht="54">
      <c r="A107" s="3173">
        <v>106</v>
      </c>
      <c r="B107" s="3173">
        <v>20240070009</v>
      </c>
      <c r="C107" s="3173"/>
      <c r="D107" s="3173"/>
      <c r="E107" s="3173" t="s">
        <v>4274</v>
      </c>
      <c r="F107" s="3173" t="s">
        <v>4578</v>
      </c>
      <c r="G107" s="3173">
        <v>64.25</v>
      </c>
      <c r="H107" s="3173" t="s">
        <v>672</v>
      </c>
      <c r="I107" s="3176"/>
      <c r="J107" s="3177">
        <v>45364</v>
      </c>
      <c r="K107" s="3176" t="s">
        <v>4279</v>
      </c>
      <c r="L107" s="3176" t="s">
        <v>4284</v>
      </c>
      <c r="M107" s="3176" t="s">
        <v>4279</v>
      </c>
      <c r="N107" s="3176" t="s">
        <v>4280</v>
      </c>
      <c r="O107" s="3242">
        <f ca="1">分套结果!X107</f>
        <v>5536</v>
      </c>
      <c r="P107" s="3242">
        <f t="shared" ca="1" si="4"/>
        <v>355688</v>
      </c>
      <c r="AI107" s="3173">
        <v>106</v>
      </c>
      <c r="AJ107" s="3173" t="s">
        <v>4273</v>
      </c>
      <c r="AK107" s="3173"/>
      <c r="AL107" s="3173"/>
      <c r="AM107" s="3173" t="s">
        <v>4274</v>
      </c>
      <c r="AN107" s="3173" t="s">
        <v>4553</v>
      </c>
      <c r="AO107" s="3173">
        <v>33.58</v>
      </c>
      <c r="AP107" s="3173" t="s">
        <v>672</v>
      </c>
      <c r="AQ107" s="3173"/>
      <c r="AR107" s="3174">
        <v>45276</v>
      </c>
      <c r="AS107" s="3173" t="s">
        <v>4277</v>
      </c>
      <c r="AT107" s="3173" t="s">
        <v>4297</v>
      </c>
      <c r="AU107" s="3173" t="s">
        <v>4279</v>
      </c>
      <c r="AV107" s="3173" t="s">
        <v>4280</v>
      </c>
      <c r="AW107" s="3180">
        <f ca="1">分套结果!BH107</f>
        <v>5536</v>
      </c>
      <c r="AX107" s="3224">
        <f t="shared" ca="1" si="2"/>
        <v>185898.88</v>
      </c>
    </row>
    <row r="108" spans="1:50" ht="54">
      <c r="A108" s="3173">
        <v>107</v>
      </c>
      <c r="B108" s="3173">
        <v>20240070009</v>
      </c>
      <c r="C108" s="3173"/>
      <c r="D108" s="3173"/>
      <c r="E108" s="3173" t="s">
        <v>4274</v>
      </c>
      <c r="F108" s="3173" t="s">
        <v>4579</v>
      </c>
      <c r="G108" s="3173">
        <v>64.25</v>
      </c>
      <c r="H108" s="3173" t="s">
        <v>672</v>
      </c>
      <c r="I108" s="3176"/>
      <c r="J108" s="3177">
        <v>45364</v>
      </c>
      <c r="K108" s="3176" t="s">
        <v>4279</v>
      </c>
      <c r="L108" s="3176" t="s">
        <v>4284</v>
      </c>
      <c r="M108" s="3176" t="s">
        <v>4279</v>
      </c>
      <c r="N108" s="3176" t="s">
        <v>4280</v>
      </c>
      <c r="O108" s="3242">
        <f ca="1">分套结果!X108</f>
        <v>5536</v>
      </c>
      <c r="P108" s="3242">
        <f t="shared" ca="1" si="4"/>
        <v>355688</v>
      </c>
      <c r="AO108" s="3228">
        <f>SUM(AO2:AO107)</f>
        <v>4621.3200000000024</v>
      </c>
      <c r="AX108" s="3224">
        <f ca="1">SUM(AX2:AX107)</f>
        <v>15444760.089999987</v>
      </c>
    </row>
    <row r="109" spans="1:50" ht="54">
      <c r="A109" s="3173">
        <v>108</v>
      </c>
      <c r="B109" s="3173">
        <v>20240070009</v>
      </c>
      <c r="C109" s="3173"/>
      <c r="D109" s="3173"/>
      <c r="E109" s="3173" t="s">
        <v>4274</v>
      </c>
      <c r="F109" s="3173" t="s">
        <v>4580</v>
      </c>
      <c r="G109" s="3173">
        <v>64.25</v>
      </c>
      <c r="H109" s="3173" t="s">
        <v>672</v>
      </c>
      <c r="I109" s="3176"/>
      <c r="J109" s="3177">
        <v>45364</v>
      </c>
      <c r="K109" s="3176" t="s">
        <v>4279</v>
      </c>
      <c r="L109" s="3176" t="s">
        <v>4284</v>
      </c>
      <c r="M109" s="3176" t="s">
        <v>4279</v>
      </c>
      <c r="N109" s="3176" t="s">
        <v>4280</v>
      </c>
      <c r="O109" s="3242">
        <f ca="1">分套结果!X109</f>
        <v>5536</v>
      </c>
      <c r="P109" s="3242">
        <f t="shared" ca="1" si="4"/>
        <v>355688</v>
      </c>
    </row>
    <row r="110" spans="1:50" ht="54">
      <c r="A110" s="3173">
        <v>109</v>
      </c>
      <c r="B110" s="3173">
        <v>20240070009</v>
      </c>
      <c r="C110" s="3173"/>
      <c r="D110" s="3173"/>
      <c r="E110" s="3173" t="s">
        <v>4274</v>
      </c>
      <c r="F110" s="3173" t="s">
        <v>4581</v>
      </c>
      <c r="G110" s="3173">
        <v>64.25</v>
      </c>
      <c r="H110" s="3173" t="s">
        <v>672</v>
      </c>
      <c r="I110" s="3176"/>
      <c r="J110" s="3177">
        <v>45364</v>
      </c>
      <c r="K110" s="3176" t="s">
        <v>4279</v>
      </c>
      <c r="L110" s="3176" t="s">
        <v>4284</v>
      </c>
      <c r="M110" s="3176" t="s">
        <v>4279</v>
      </c>
      <c r="N110" s="3176" t="s">
        <v>4280</v>
      </c>
      <c r="O110" s="3242">
        <f ca="1">分套结果!X110</f>
        <v>5536</v>
      </c>
      <c r="P110" s="3242">
        <f t="shared" ca="1" si="4"/>
        <v>355688</v>
      </c>
    </row>
    <row r="111" spans="1:50" ht="54">
      <c r="A111" s="3173">
        <v>110</v>
      </c>
      <c r="B111" s="3173">
        <v>20240070009</v>
      </c>
      <c r="C111" s="3173"/>
      <c r="D111" s="3173"/>
      <c r="E111" s="3173" t="s">
        <v>4274</v>
      </c>
      <c r="F111" s="3173" t="s">
        <v>4582</v>
      </c>
      <c r="G111" s="3173">
        <v>64.25</v>
      </c>
      <c r="H111" s="3173" t="s">
        <v>672</v>
      </c>
      <c r="I111" s="3176"/>
      <c r="J111" s="3177">
        <v>45364</v>
      </c>
      <c r="K111" s="3176" t="s">
        <v>4279</v>
      </c>
      <c r="L111" s="3176" t="s">
        <v>4284</v>
      </c>
      <c r="M111" s="3176" t="s">
        <v>4279</v>
      </c>
      <c r="N111" s="3176" t="s">
        <v>4280</v>
      </c>
      <c r="O111" s="3242">
        <f ca="1">分套结果!X111</f>
        <v>5536</v>
      </c>
      <c r="P111" s="3242">
        <f t="shared" ca="1" si="4"/>
        <v>355688</v>
      </c>
    </row>
    <row r="112" spans="1:50" ht="54">
      <c r="A112" s="3173">
        <v>111</v>
      </c>
      <c r="B112" s="3173">
        <v>20240070009</v>
      </c>
      <c r="C112" s="3173"/>
      <c r="D112" s="3173"/>
      <c r="E112" s="3173" t="s">
        <v>4274</v>
      </c>
      <c r="F112" s="3173" t="s">
        <v>4583</v>
      </c>
      <c r="G112" s="3173">
        <v>64.25</v>
      </c>
      <c r="H112" s="3173" t="s">
        <v>672</v>
      </c>
      <c r="I112" s="3176"/>
      <c r="J112" s="3177">
        <v>45364</v>
      </c>
      <c r="K112" s="3176" t="s">
        <v>4279</v>
      </c>
      <c r="L112" s="3176" t="s">
        <v>4284</v>
      </c>
      <c r="M112" s="3176" t="s">
        <v>4279</v>
      </c>
      <c r="N112" s="3176" t="s">
        <v>4280</v>
      </c>
      <c r="O112" s="3242">
        <f ca="1">分套结果!X112</f>
        <v>5536</v>
      </c>
      <c r="P112" s="3242">
        <f t="shared" ca="1" si="4"/>
        <v>355688</v>
      </c>
    </row>
    <row r="113" spans="1:16" ht="54">
      <c r="A113" s="3173">
        <v>112</v>
      </c>
      <c r="B113" s="3173">
        <v>20240070009</v>
      </c>
      <c r="C113" s="3173"/>
      <c r="D113" s="3173"/>
      <c r="E113" s="3173" t="s">
        <v>4274</v>
      </c>
      <c r="F113" s="3173" t="s">
        <v>4584</v>
      </c>
      <c r="G113" s="3173">
        <v>64.25</v>
      </c>
      <c r="H113" s="3173" t="s">
        <v>672</v>
      </c>
      <c r="I113" s="3176"/>
      <c r="J113" s="3177">
        <v>45364</v>
      </c>
      <c r="K113" s="3176" t="s">
        <v>4279</v>
      </c>
      <c r="L113" s="3176" t="s">
        <v>4284</v>
      </c>
      <c r="M113" s="3176" t="s">
        <v>4279</v>
      </c>
      <c r="N113" s="3176" t="s">
        <v>4280</v>
      </c>
      <c r="O113" s="3242">
        <f ca="1">分套结果!X113</f>
        <v>5536</v>
      </c>
      <c r="P113" s="3242">
        <f t="shared" ca="1" si="4"/>
        <v>355688</v>
      </c>
    </row>
    <row r="114" spans="1:16" ht="54">
      <c r="A114" s="3173">
        <v>113</v>
      </c>
      <c r="B114" s="3173">
        <v>20240070009</v>
      </c>
      <c r="C114" s="3173"/>
      <c r="D114" s="3173"/>
      <c r="E114" s="3173" t="s">
        <v>4274</v>
      </c>
      <c r="F114" s="3173" t="s">
        <v>4585</v>
      </c>
      <c r="G114" s="3173">
        <v>58.14</v>
      </c>
      <c r="H114" s="3173" t="s">
        <v>672</v>
      </c>
      <c r="I114" s="3176"/>
      <c r="J114" s="3177">
        <v>45364</v>
      </c>
      <c r="K114" s="3176" t="s">
        <v>4279</v>
      </c>
      <c r="L114" s="3176" t="s">
        <v>4284</v>
      </c>
      <c r="M114" s="3176" t="s">
        <v>4279</v>
      </c>
      <c r="N114" s="3176" t="s">
        <v>4280</v>
      </c>
      <c r="O114" s="3242">
        <f ca="1">分套结果!X114</f>
        <v>5536</v>
      </c>
      <c r="P114" s="3242">
        <f t="shared" ca="1" si="4"/>
        <v>321863.03999999998</v>
      </c>
    </row>
    <row r="115" spans="1:16" ht="54">
      <c r="A115" s="3173">
        <v>114</v>
      </c>
      <c r="B115" s="3173">
        <v>20240070009</v>
      </c>
      <c r="C115" s="3173"/>
      <c r="D115" s="3173"/>
      <c r="E115" s="3173" t="s">
        <v>4274</v>
      </c>
      <c r="F115" s="3173" t="s">
        <v>4586</v>
      </c>
      <c r="G115" s="3173">
        <v>63.49</v>
      </c>
      <c r="H115" s="3173" t="s">
        <v>672</v>
      </c>
      <c r="I115" s="3176"/>
      <c r="J115" s="3177">
        <v>45364</v>
      </c>
      <c r="K115" s="3176" t="s">
        <v>4279</v>
      </c>
      <c r="L115" s="3176" t="s">
        <v>4284</v>
      </c>
      <c r="M115" s="3176" t="s">
        <v>4279</v>
      </c>
      <c r="N115" s="3176" t="s">
        <v>4280</v>
      </c>
      <c r="O115" s="3242">
        <f ca="1">分套结果!X115</f>
        <v>5536</v>
      </c>
      <c r="P115" s="3242">
        <f t="shared" ca="1" si="4"/>
        <v>351480.64</v>
      </c>
    </row>
    <row r="116" spans="1:16" ht="54">
      <c r="A116" s="3173">
        <v>115</v>
      </c>
      <c r="B116" s="3173">
        <v>20240070009</v>
      </c>
      <c r="C116" s="3173"/>
      <c r="D116" s="3173"/>
      <c r="E116" s="3173" t="s">
        <v>4274</v>
      </c>
      <c r="F116" s="3173" t="s">
        <v>4587</v>
      </c>
      <c r="G116" s="3173">
        <v>107.91</v>
      </c>
      <c r="H116" s="3173" t="s">
        <v>672</v>
      </c>
      <c r="I116" s="3176"/>
      <c r="J116" s="3177">
        <v>45364</v>
      </c>
      <c r="K116" s="3176" t="s">
        <v>4279</v>
      </c>
      <c r="L116" s="3176" t="s">
        <v>4284</v>
      </c>
      <c r="M116" s="3176" t="s">
        <v>4279</v>
      </c>
      <c r="N116" s="3176" t="s">
        <v>4280</v>
      </c>
      <c r="O116" s="3242">
        <f ca="1">分套结果!X116</f>
        <v>5536</v>
      </c>
      <c r="P116" s="3242">
        <f t="shared" ca="1" si="4"/>
        <v>597389.76</v>
      </c>
    </row>
    <row r="117" spans="1:16" ht="54">
      <c r="A117" s="3173">
        <v>116</v>
      </c>
      <c r="B117" s="3173">
        <v>20240070009</v>
      </c>
      <c r="C117" s="3173"/>
      <c r="D117" s="3173"/>
      <c r="E117" s="3173" t="s">
        <v>4274</v>
      </c>
      <c r="F117" s="3173" t="s">
        <v>4588</v>
      </c>
      <c r="G117" s="3173">
        <v>67.95</v>
      </c>
      <c r="H117" s="3173" t="s">
        <v>672</v>
      </c>
      <c r="I117" s="3176"/>
      <c r="J117" s="3177">
        <v>45364</v>
      </c>
      <c r="K117" s="3176" t="s">
        <v>4279</v>
      </c>
      <c r="L117" s="3176" t="s">
        <v>4284</v>
      </c>
      <c r="M117" s="3176" t="s">
        <v>4279</v>
      </c>
      <c r="N117" s="3176" t="s">
        <v>4280</v>
      </c>
      <c r="O117" s="3242">
        <f ca="1">分套结果!X117</f>
        <v>5536</v>
      </c>
      <c r="P117" s="3242">
        <f t="shared" ca="1" si="4"/>
        <v>376171.2</v>
      </c>
    </row>
    <row r="118" spans="1:16" ht="54">
      <c r="A118" s="3173">
        <v>117</v>
      </c>
      <c r="B118" s="3173">
        <v>20240070009</v>
      </c>
      <c r="C118" s="3173"/>
      <c r="D118" s="3173"/>
      <c r="E118" s="3173" t="s">
        <v>4274</v>
      </c>
      <c r="F118" s="3173" t="s">
        <v>4589</v>
      </c>
      <c r="G118" s="3173">
        <v>68.5</v>
      </c>
      <c r="H118" s="3173" t="s">
        <v>672</v>
      </c>
      <c r="I118" s="3176"/>
      <c r="J118" s="3177">
        <v>45364</v>
      </c>
      <c r="K118" s="3176" t="s">
        <v>4279</v>
      </c>
      <c r="L118" s="3176" t="s">
        <v>4284</v>
      </c>
      <c r="M118" s="3176" t="s">
        <v>4279</v>
      </c>
      <c r="N118" s="3176" t="s">
        <v>4280</v>
      </c>
      <c r="O118" s="3242">
        <f ca="1">分套结果!X118</f>
        <v>5536</v>
      </c>
      <c r="P118" s="3242">
        <f t="shared" ca="1" si="4"/>
        <v>379216</v>
      </c>
    </row>
    <row r="119" spans="1:16" ht="54">
      <c r="A119" s="3173">
        <v>118</v>
      </c>
      <c r="B119" s="3173">
        <v>20240070009</v>
      </c>
      <c r="C119" s="3173"/>
      <c r="D119" s="3173"/>
      <c r="E119" s="3173" t="s">
        <v>4274</v>
      </c>
      <c r="F119" s="3173" t="s">
        <v>4590</v>
      </c>
      <c r="G119" s="3173">
        <v>81.349999999999994</v>
      </c>
      <c r="H119" s="3173" t="s">
        <v>672</v>
      </c>
      <c r="I119" s="3176"/>
      <c r="J119" s="3177">
        <v>45364</v>
      </c>
      <c r="K119" s="3176" t="s">
        <v>4279</v>
      </c>
      <c r="L119" s="3176" t="s">
        <v>4284</v>
      </c>
      <c r="M119" s="3176" t="s">
        <v>4279</v>
      </c>
      <c r="N119" s="3176" t="s">
        <v>4280</v>
      </c>
      <c r="O119" s="3242">
        <f ca="1">分套结果!X119</f>
        <v>5536</v>
      </c>
      <c r="P119" s="3242">
        <f t="shared" ca="1" si="4"/>
        <v>450353.6</v>
      </c>
    </row>
    <row r="120" spans="1:16" ht="54">
      <c r="A120" s="3173">
        <v>119</v>
      </c>
      <c r="B120" s="3173">
        <v>20240070009</v>
      </c>
      <c r="C120" s="3173"/>
      <c r="D120" s="3173"/>
      <c r="E120" s="3173" t="s">
        <v>4274</v>
      </c>
      <c r="F120" s="3173" t="s">
        <v>4591</v>
      </c>
      <c r="G120" s="3173">
        <v>42.01</v>
      </c>
      <c r="H120" s="3173" t="s">
        <v>672</v>
      </c>
      <c r="I120" s="3176"/>
      <c r="J120" s="3177">
        <v>45364</v>
      </c>
      <c r="K120" s="3176" t="s">
        <v>4279</v>
      </c>
      <c r="L120" s="3176" t="s">
        <v>4284</v>
      </c>
      <c r="M120" s="3176" t="s">
        <v>4279</v>
      </c>
      <c r="N120" s="3176" t="s">
        <v>4280</v>
      </c>
      <c r="O120" s="3242">
        <f ca="1">分套结果!X120</f>
        <v>5536</v>
      </c>
      <c r="P120" s="3242">
        <f t="shared" ca="1" si="4"/>
        <v>232567.36</v>
      </c>
    </row>
    <row r="121" spans="1:16" ht="54">
      <c r="A121" s="3173">
        <v>120</v>
      </c>
      <c r="B121" s="3173">
        <v>20240070009</v>
      </c>
      <c r="C121" s="3173"/>
      <c r="D121" s="3173"/>
      <c r="E121" s="3173" t="s">
        <v>4274</v>
      </c>
      <c r="F121" s="3173" t="s">
        <v>4592</v>
      </c>
      <c r="G121" s="3173">
        <v>40.65</v>
      </c>
      <c r="H121" s="3173" t="s">
        <v>672</v>
      </c>
      <c r="I121" s="3176"/>
      <c r="J121" s="3177">
        <v>45364</v>
      </c>
      <c r="K121" s="3176" t="s">
        <v>4279</v>
      </c>
      <c r="L121" s="3176" t="s">
        <v>4284</v>
      </c>
      <c r="M121" s="3176" t="s">
        <v>4279</v>
      </c>
      <c r="N121" s="3176" t="s">
        <v>4280</v>
      </c>
      <c r="O121" s="3242">
        <f ca="1">分套结果!X121</f>
        <v>5536</v>
      </c>
      <c r="P121" s="3242">
        <f t="shared" ca="1" si="4"/>
        <v>225038.4</v>
      </c>
    </row>
    <row r="122" spans="1:16" ht="54">
      <c r="A122" s="3173">
        <v>121</v>
      </c>
      <c r="B122" s="3173">
        <v>20240070009</v>
      </c>
      <c r="C122" s="3173"/>
      <c r="D122" s="3173"/>
      <c r="E122" s="3173" t="s">
        <v>4274</v>
      </c>
      <c r="F122" s="3173" t="s">
        <v>4593</v>
      </c>
      <c r="G122" s="3173">
        <v>64.25</v>
      </c>
      <c r="H122" s="3173" t="s">
        <v>672</v>
      </c>
      <c r="I122" s="3176"/>
      <c r="J122" s="3177">
        <v>45364</v>
      </c>
      <c r="K122" s="3176" t="s">
        <v>4279</v>
      </c>
      <c r="L122" s="3176" t="s">
        <v>4284</v>
      </c>
      <c r="M122" s="3176" t="s">
        <v>4279</v>
      </c>
      <c r="N122" s="3176" t="s">
        <v>4280</v>
      </c>
      <c r="O122" s="3242">
        <f ca="1">分套结果!X122</f>
        <v>5536</v>
      </c>
      <c r="P122" s="3242">
        <f t="shared" ca="1" si="4"/>
        <v>355688</v>
      </c>
    </row>
    <row r="123" spans="1:16" ht="54">
      <c r="A123" s="3173">
        <v>122</v>
      </c>
      <c r="B123" s="3173">
        <v>20240070009</v>
      </c>
      <c r="C123" s="3173"/>
      <c r="D123" s="3173"/>
      <c r="E123" s="3173" t="s">
        <v>4274</v>
      </c>
      <c r="F123" s="3173" t="s">
        <v>4594</v>
      </c>
      <c r="G123" s="3173">
        <v>64.25</v>
      </c>
      <c r="H123" s="3173" t="s">
        <v>672</v>
      </c>
      <c r="I123" s="3176"/>
      <c r="J123" s="3177">
        <v>45364</v>
      </c>
      <c r="K123" s="3176" t="s">
        <v>4279</v>
      </c>
      <c r="L123" s="3176" t="s">
        <v>4284</v>
      </c>
      <c r="M123" s="3176" t="s">
        <v>4279</v>
      </c>
      <c r="N123" s="3176" t="s">
        <v>4280</v>
      </c>
      <c r="O123" s="3242">
        <f ca="1">分套结果!X123</f>
        <v>5536</v>
      </c>
      <c r="P123" s="3242">
        <f t="shared" ca="1" si="4"/>
        <v>355688</v>
      </c>
    </row>
    <row r="124" spans="1:16" ht="54">
      <c r="A124" s="3173">
        <v>123</v>
      </c>
      <c r="B124" s="3173">
        <v>20240070009</v>
      </c>
      <c r="C124" s="3173"/>
      <c r="D124" s="3173"/>
      <c r="E124" s="3173" t="s">
        <v>4274</v>
      </c>
      <c r="F124" s="3173" t="s">
        <v>4595</v>
      </c>
      <c r="G124" s="3173">
        <v>64.25</v>
      </c>
      <c r="H124" s="3173" t="s">
        <v>672</v>
      </c>
      <c r="I124" s="3176"/>
      <c r="J124" s="3177">
        <v>45364</v>
      </c>
      <c r="K124" s="3176" t="s">
        <v>4279</v>
      </c>
      <c r="L124" s="3176" t="s">
        <v>4284</v>
      </c>
      <c r="M124" s="3176" t="s">
        <v>4279</v>
      </c>
      <c r="N124" s="3176" t="s">
        <v>4280</v>
      </c>
      <c r="O124" s="3242">
        <f ca="1">分套结果!X124</f>
        <v>5536</v>
      </c>
      <c r="P124" s="3242">
        <f t="shared" ca="1" si="4"/>
        <v>355688</v>
      </c>
    </row>
    <row r="125" spans="1:16" ht="54">
      <c r="A125" s="3173">
        <v>124</v>
      </c>
      <c r="B125" s="3173">
        <v>20240070009</v>
      </c>
      <c r="C125" s="3173"/>
      <c r="D125" s="3173"/>
      <c r="E125" s="3173" t="s">
        <v>4274</v>
      </c>
      <c r="F125" s="3173" t="s">
        <v>4596</v>
      </c>
      <c r="G125" s="3173">
        <v>64.25</v>
      </c>
      <c r="H125" s="3173" t="s">
        <v>672</v>
      </c>
      <c r="I125" s="3173"/>
      <c r="J125" s="3174">
        <v>45364</v>
      </c>
      <c r="K125" s="3173" t="s">
        <v>4279</v>
      </c>
      <c r="L125" s="3173" t="s">
        <v>4297</v>
      </c>
      <c r="M125" s="3173" t="s">
        <v>4279</v>
      </c>
      <c r="N125" s="3173" t="s">
        <v>4280</v>
      </c>
      <c r="O125" s="3242">
        <f ca="1">分套结果!X125</f>
        <v>5536</v>
      </c>
      <c r="P125" s="3242">
        <f t="shared" ca="1" si="4"/>
        <v>355688</v>
      </c>
    </row>
    <row r="126" spans="1:16" ht="54">
      <c r="A126" s="3173">
        <v>125</v>
      </c>
      <c r="B126" s="3173">
        <v>20240070009</v>
      </c>
      <c r="C126" s="3173"/>
      <c r="D126" s="3173"/>
      <c r="E126" s="3173" t="s">
        <v>4274</v>
      </c>
      <c r="F126" s="3173" t="s">
        <v>4597</v>
      </c>
      <c r="G126" s="3173">
        <v>64.25</v>
      </c>
      <c r="H126" s="3173" t="s">
        <v>672</v>
      </c>
      <c r="I126" s="3173"/>
      <c r="J126" s="3174">
        <v>45364</v>
      </c>
      <c r="K126" s="3173" t="s">
        <v>4279</v>
      </c>
      <c r="L126" s="3173" t="s">
        <v>4297</v>
      </c>
      <c r="M126" s="3173" t="s">
        <v>4279</v>
      </c>
      <c r="N126" s="3173" t="s">
        <v>4280</v>
      </c>
      <c r="O126" s="3242">
        <f ca="1">分套结果!X126</f>
        <v>5536</v>
      </c>
      <c r="P126" s="3242">
        <f t="shared" ca="1" si="4"/>
        <v>355688</v>
      </c>
    </row>
    <row r="127" spans="1:16" ht="54">
      <c r="A127" s="3173">
        <v>126</v>
      </c>
      <c r="B127" s="3173">
        <v>20240070009</v>
      </c>
      <c r="C127" s="3173"/>
      <c r="D127" s="3173"/>
      <c r="E127" s="3173" t="s">
        <v>4274</v>
      </c>
      <c r="F127" s="3173" t="s">
        <v>4598</v>
      </c>
      <c r="G127" s="3173">
        <v>64.25</v>
      </c>
      <c r="H127" s="3173" t="s">
        <v>672</v>
      </c>
      <c r="I127" s="3173"/>
      <c r="J127" s="3174">
        <v>45364</v>
      </c>
      <c r="K127" s="3173" t="s">
        <v>4277</v>
      </c>
      <c r="L127" s="3173" t="s">
        <v>4297</v>
      </c>
      <c r="M127" s="3173" t="s">
        <v>4279</v>
      </c>
      <c r="N127" s="3173" t="s">
        <v>4280</v>
      </c>
      <c r="O127" s="3242">
        <f ca="1">分套结果!X127</f>
        <v>5536</v>
      </c>
      <c r="P127" s="3242">
        <f t="shared" ca="1" si="4"/>
        <v>355688</v>
      </c>
    </row>
    <row r="128" spans="1:16" ht="54">
      <c r="A128" s="3173">
        <v>127</v>
      </c>
      <c r="B128" s="3173">
        <v>20240070009</v>
      </c>
      <c r="C128" s="3173"/>
      <c r="D128" s="3173"/>
      <c r="E128" s="3173" t="s">
        <v>4274</v>
      </c>
      <c r="F128" s="3173" t="s">
        <v>4599</v>
      </c>
      <c r="G128" s="3173">
        <v>64.25</v>
      </c>
      <c r="H128" s="3173" t="s">
        <v>672</v>
      </c>
      <c r="I128" s="3173"/>
      <c r="J128" s="3174">
        <v>45364</v>
      </c>
      <c r="K128" s="3173" t="s">
        <v>4277</v>
      </c>
      <c r="L128" s="3173" t="s">
        <v>4284</v>
      </c>
      <c r="M128" s="3173" t="s">
        <v>4279</v>
      </c>
      <c r="N128" s="3173" t="s">
        <v>4280</v>
      </c>
      <c r="O128" s="3242">
        <f ca="1">分套结果!X128</f>
        <v>5536</v>
      </c>
      <c r="P128" s="3242">
        <f t="shared" ca="1" si="4"/>
        <v>355688</v>
      </c>
    </row>
    <row r="129" spans="1:16" ht="54">
      <c r="A129" s="3173">
        <v>128</v>
      </c>
      <c r="B129" s="3173">
        <v>20240070009</v>
      </c>
      <c r="C129" s="3173"/>
      <c r="D129" s="3173"/>
      <c r="E129" s="3173" t="s">
        <v>4274</v>
      </c>
      <c r="F129" s="3173" t="s">
        <v>4600</v>
      </c>
      <c r="G129" s="3173">
        <v>64.25</v>
      </c>
      <c r="H129" s="3173" t="s">
        <v>672</v>
      </c>
      <c r="I129" s="3173"/>
      <c r="J129" s="3174">
        <v>45364</v>
      </c>
      <c r="K129" s="3173" t="s">
        <v>4277</v>
      </c>
      <c r="L129" s="3173" t="s">
        <v>4284</v>
      </c>
      <c r="M129" s="3173" t="s">
        <v>4279</v>
      </c>
      <c r="N129" s="3173" t="s">
        <v>4280</v>
      </c>
      <c r="O129" s="3242">
        <f ca="1">分套结果!X129</f>
        <v>5536</v>
      </c>
      <c r="P129" s="3242">
        <f t="shared" ca="1" si="4"/>
        <v>355688</v>
      </c>
    </row>
    <row r="130" spans="1:16" ht="54">
      <c r="A130" s="3173">
        <v>129</v>
      </c>
      <c r="B130" s="3173">
        <v>20240070009</v>
      </c>
      <c r="C130" s="3173"/>
      <c r="D130" s="3173"/>
      <c r="E130" s="3173" t="s">
        <v>4274</v>
      </c>
      <c r="F130" s="3173" t="s">
        <v>4601</v>
      </c>
      <c r="G130" s="3173">
        <v>64.25</v>
      </c>
      <c r="H130" s="3173" t="s">
        <v>672</v>
      </c>
      <c r="I130" s="3173"/>
      <c r="J130" s="3174">
        <v>45364</v>
      </c>
      <c r="K130" s="3173" t="s">
        <v>4277</v>
      </c>
      <c r="L130" s="3173" t="s">
        <v>4284</v>
      </c>
      <c r="M130" s="3173" t="s">
        <v>4279</v>
      </c>
      <c r="N130" s="3173" t="s">
        <v>4280</v>
      </c>
      <c r="O130" s="3242">
        <f ca="1">分套结果!X130</f>
        <v>5536</v>
      </c>
      <c r="P130" s="3242">
        <f t="shared" ca="1" si="4"/>
        <v>355688</v>
      </c>
    </row>
    <row r="131" spans="1:16" ht="54">
      <c r="A131" s="3173">
        <v>130</v>
      </c>
      <c r="B131" s="3173">
        <v>20240070009</v>
      </c>
      <c r="C131" s="3173"/>
      <c r="D131" s="3173"/>
      <c r="E131" s="3173" t="s">
        <v>4274</v>
      </c>
      <c r="F131" s="3173" t="s">
        <v>4602</v>
      </c>
      <c r="G131" s="3173">
        <v>58.14</v>
      </c>
      <c r="H131" s="3173" t="s">
        <v>672</v>
      </c>
      <c r="I131" s="3173"/>
      <c r="J131" s="3174">
        <v>45364</v>
      </c>
      <c r="K131" s="3173" t="s">
        <v>4277</v>
      </c>
      <c r="L131" s="3173" t="s">
        <v>4284</v>
      </c>
      <c r="M131" s="3173" t="s">
        <v>4279</v>
      </c>
      <c r="N131" s="3173" t="s">
        <v>4280</v>
      </c>
      <c r="O131" s="3242">
        <f ca="1">分套结果!X131</f>
        <v>5536</v>
      </c>
      <c r="P131" s="3242">
        <f t="shared" ca="1" si="4"/>
        <v>321863.03999999998</v>
      </c>
    </row>
    <row r="132" spans="1:16" ht="54">
      <c r="A132" s="3173">
        <v>131</v>
      </c>
      <c r="B132" s="3173">
        <v>20240070009</v>
      </c>
      <c r="C132" s="3173"/>
      <c r="D132" s="3173"/>
      <c r="E132" s="3173" t="s">
        <v>4274</v>
      </c>
      <c r="F132" s="3173" t="s">
        <v>4603</v>
      </c>
      <c r="G132" s="3173">
        <v>63.49</v>
      </c>
      <c r="H132" s="3173" t="s">
        <v>672</v>
      </c>
      <c r="I132" s="3173"/>
      <c r="J132" s="3174">
        <v>45364</v>
      </c>
      <c r="K132" s="3173" t="s">
        <v>4277</v>
      </c>
      <c r="L132" s="3173" t="s">
        <v>4284</v>
      </c>
      <c r="M132" s="3173" t="s">
        <v>4279</v>
      </c>
      <c r="N132" s="3173" t="s">
        <v>4280</v>
      </c>
      <c r="O132" s="3242">
        <f ca="1">分套结果!X132</f>
        <v>5536</v>
      </c>
      <c r="P132" s="3242">
        <f t="shared" ca="1" si="4"/>
        <v>351480.64</v>
      </c>
    </row>
    <row r="133" spans="1:16" ht="54">
      <c r="A133" s="3173">
        <v>132</v>
      </c>
      <c r="B133" s="3173">
        <v>20240070009</v>
      </c>
      <c r="C133" s="3173"/>
      <c r="D133" s="3173"/>
      <c r="E133" s="3173" t="s">
        <v>4274</v>
      </c>
      <c r="F133" s="3173" t="s">
        <v>4604</v>
      </c>
      <c r="G133" s="3173">
        <v>106.12</v>
      </c>
      <c r="H133" s="3173" t="s">
        <v>672</v>
      </c>
      <c r="I133" s="3173"/>
      <c r="J133" s="3174">
        <v>45364</v>
      </c>
      <c r="K133" s="3173" t="s">
        <v>4277</v>
      </c>
      <c r="L133" s="3173" t="s">
        <v>4284</v>
      </c>
      <c r="M133" s="3173" t="s">
        <v>4279</v>
      </c>
      <c r="N133" s="3173" t="s">
        <v>4280</v>
      </c>
      <c r="O133" s="3242">
        <f ca="1">分套结果!X133</f>
        <v>5536</v>
      </c>
      <c r="P133" s="3242">
        <f t="shared" ca="1" si="4"/>
        <v>587480.32000000007</v>
      </c>
    </row>
    <row r="134" spans="1:16" ht="54">
      <c r="A134" s="3173">
        <v>133</v>
      </c>
      <c r="B134" s="3173">
        <v>20240070009</v>
      </c>
      <c r="C134" s="3173"/>
      <c r="D134" s="3173"/>
      <c r="E134" s="3173" t="s">
        <v>4274</v>
      </c>
      <c r="F134" s="3173" t="s">
        <v>4605</v>
      </c>
      <c r="G134" s="3173">
        <v>67.459999999999994</v>
      </c>
      <c r="H134" s="3173" t="s">
        <v>672</v>
      </c>
      <c r="I134" s="3173"/>
      <c r="J134" s="3174">
        <v>45364</v>
      </c>
      <c r="K134" s="3173" t="s">
        <v>4277</v>
      </c>
      <c r="L134" s="3173" t="s">
        <v>4278</v>
      </c>
      <c r="M134" s="3173" t="s">
        <v>4279</v>
      </c>
      <c r="N134" s="3173" t="s">
        <v>4280</v>
      </c>
      <c r="O134" s="3242">
        <f ca="1">分套结果!X134</f>
        <v>5536</v>
      </c>
      <c r="P134" s="3242">
        <f t="shared" ca="1" si="4"/>
        <v>373458.55999999994</v>
      </c>
    </row>
    <row r="135" spans="1:16" ht="54">
      <c r="A135" s="3173">
        <v>134</v>
      </c>
      <c r="B135" s="3173">
        <v>20240070009</v>
      </c>
      <c r="C135" s="3173"/>
      <c r="D135" s="3173"/>
      <c r="E135" s="3173" t="s">
        <v>4274</v>
      </c>
      <c r="F135" s="3173" t="s">
        <v>4606</v>
      </c>
      <c r="G135" s="3173">
        <v>67.459999999999994</v>
      </c>
      <c r="H135" s="3173" t="s">
        <v>672</v>
      </c>
      <c r="I135" s="3173"/>
      <c r="J135" s="3174">
        <v>45364</v>
      </c>
      <c r="K135" s="3173" t="s">
        <v>4277</v>
      </c>
      <c r="L135" s="3173" t="s">
        <v>4278</v>
      </c>
      <c r="M135" s="3173" t="s">
        <v>4279</v>
      </c>
      <c r="N135" s="3173" t="s">
        <v>4280</v>
      </c>
      <c r="O135" s="3242">
        <f ca="1">分套结果!X135</f>
        <v>5536</v>
      </c>
      <c r="P135" s="3242">
        <f t="shared" ca="1" si="4"/>
        <v>373458.55999999994</v>
      </c>
    </row>
    <row r="136" spans="1:16" ht="54">
      <c r="A136" s="3173">
        <v>135</v>
      </c>
      <c r="B136" s="3173">
        <v>20240070009</v>
      </c>
      <c r="C136" s="3173"/>
      <c r="D136" s="3173"/>
      <c r="E136" s="3173" t="s">
        <v>4274</v>
      </c>
      <c r="F136" s="3173" t="s">
        <v>4607</v>
      </c>
      <c r="G136" s="3173">
        <v>80.31</v>
      </c>
      <c r="H136" s="3173" t="s">
        <v>672</v>
      </c>
      <c r="I136" s="3173"/>
      <c r="J136" s="3174">
        <v>45364</v>
      </c>
      <c r="K136" s="3173" t="s">
        <v>4277</v>
      </c>
      <c r="L136" s="3173" t="s">
        <v>4278</v>
      </c>
      <c r="M136" s="3173" t="s">
        <v>4279</v>
      </c>
      <c r="N136" s="3173" t="s">
        <v>4280</v>
      </c>
      <c r="O136" s="3242">
        <f ca="1">分套结果!X136</f>
        <v>5536</v>
      </c>
      <c r="P136" s="3242">
        <f t="shared" ca="1" si="4"/>
        <v>444596.16000000003</v>
      </c>
    </row>
    <row r="137" spans="1:16" ht="54">
      <c r="A137" s="3173">
        <v>136</v>
      </c>
      <c r="B137" s="3173">
        <v>20240070009</v>
      </c>
      <c r="C137" s="3173"/>
      <c r="D137" s="3173"/>
      <c r="E137" s="3173" t="s">
        <v>4274</v>
      </c>
      <c r="F137" s="3173" t="s">
        <v>4608</v>
      </c>
      <c r="G137" s="3173">
        <v>41.52</v>
      </c>
      <c r="H137" s="3173" t="s">
        <v>672</v>
      </c>
      <c r="I137" s="3173"/>
      <c r="J137" s="3174">
        <v>45364</v>
      </c>
      <c r="K137" s="3173" t="s">
        <v>4277</v>
      </c>
      <c r="L137" s="3173" t="s">
        <v>4278</v>
      </c>
      <c r="M137" s="3173" t="s">
        <v>4279</v>
      </c>
      <c r="N137" s="3173" t="s">
        <v>4280</v>
      </c>
      <c r="O137" s="3242">
        <f ca="1">分套结果!X137</f>
        <v>5536</v>
      </c>
      <c r="P137" s="3242">
        <f t="shared" ca="1" si="4"/>
        <v>229854.72000000003</v>
      </c>
    </row>
    <row r="138" spans="1:16" ht="54">
      <c r="A138" s="3173">
        <v>137</v>
      </c>
      <c r="B138" s="3173">
        <v>20240070009</v>
      </c>
      <c r="C138" s="3173"/>
      <c r="D138" s="3173"/>
      <c r="E138" s="3173" t="s">
        <v>4274</v>
      </c>
      <c r="F138" s="3173" t="s">
        <v>4609</v>
      </c>
      <c r="G138" s="3173">
        <v>64.25</v>
      </c>
      <c r="H138" s="3173" t="s">
        <v>672</v>
      </c>
      <c r="I138" s="3173"/>
      <c r="J138" s="3174">
        <v>45364</v>
      </c>
      <c r="K138" s="3173" t="s">
        <v>4277</v>
      </c>
      <c r="L138" s="3173" t="s">
        <v>4278</v>
      </c>
      <c r="M138" s="3173" t="s">
        <v>4279</v>
      </c>
      <c r="N138" s="3173" t="s">
        <v>4280</v>
      </c>
      <c r="O138" s="3242">
        <f ca="1">分套结果!X138</f>
        <v>5536</v>
      </c>
      <c r="P138" s="3242">
        <f t="shared" ca="1" si="4"/>
        <v>355688</v>
      </c>
    </row>
    <row r="139" spans="1:16" ht="54">
      <c r="A139" s="3173">
        <v>138</v>
      </c>
      <c r="B139" s="3173">
        <v>20240070009</v>
      </c>
      <c r="C139" s="3173"/>
      <c r="D139" s="3173"/>
      <c r="E139" s="3173" t="s">
        <v>4274</v>
      </c>
      <c r="F139" s="3173" t="s">
        <v>4610</v>
      </c>
      <c r="G139" s="3173">
        <v>64.25</v>
      </c>
      <c r="H139" s="3173" t="s">
        <v>672</v>
      </c>
      <c r="I139" s="3173"/>
      <c r="J139" s="3174">
        <v>45364</v>
      </c>
      <c r="K139" s="3173" t="s">
        <v>4277</v>
      </c>
      <c r="L139" s="3173" t="s">
        <v>4278</v>
      </c>
      <c r="M139" s="3173" t="s">
        <v>4279</v>
      </c>
      <c r="N139" s="3173" t="s">
        <v>4280</v>
      </c>
      <c r="O139" s="3242">
        <f ca="1">分套结果!X139</f>
        <v>5536</v>
      </c>
      <c r="P139" s="3242">
        <f t="shared" ca="1" si="4"/>
        <v>355688</v>
      </c>
    </row>
    <row r="140" spans="1:16" ht="54">
      <c r="A140" s="3173">
        <v>139</v>
      </c>
      <c r="B140" s="3173">
        <v>20240070009</v>
      </c>
      <c r="C140" s="3173"/>
      <c r="D140" s="3173"/>
      <c r="E140" s="3173" t="s">
        <v>4274</v>
      </c>
      <c r="F140" s="3173" t="s">
        <v>4611</v>
      </c>
      <c r="G140" s="3173">
        <v>64.25</v>
      </c>
      <c r="H140" s="3173" t="s">
        <v>672</v>
      </c>
      <c r="I140" s="3173"/>
      <c r="J140" s="3174">
        <v>45364</v>
      </c>
      <c r="K140" s="3173" t="s">
        <v>4277</v>
      </c>
      <c r="L140" s="3173" t="s">
        <v>4278</v>
      </c>
      <c r="M140" s="3173" t="s">
        <v>4279</v>
      </c>
      <c r="N140" s="3173" t="s">
        <v>4280</v>
      </c>
      <c r="O140" s="3242">
        <f ca="1">分套结果!X140</f>
        <v>5536</v>
      </c>
      <c r="P140" s="3242">
        <f t="shared" ca="1" si="4"/>
        <v>355688</v>
      </c>
    </row>
    <row r="141" spans="1:16" ht="54">
      <c r="A141" s="3173">
        <v>140</v>
      </c>
      <c r="B141" s="3173">
        <v>20240070009</v>
      </c>
      <c r="C141" s="3173"/>
      <c r="D141" s="3173"/>
      <c r="E141" s="3173" t="s">
        <v>4274</v>
      </c>
      <c r="F141" s="3173" t="s">
        <v>4612</v>
      </c>
      <c r="G141" s="3173">
        <v>64.25</v>
      </c>
      <c r="H141" s="3173" t="s">
        <v>672</v>
      </c>
      <c r="I141" s="3173"/>
      <c r="J141" s="3174">
        <v>45364</v>
      </c>
      <c r="K141" s="3173" t="s">
        <v>4277</v>
      </c>
      <c r="L141" s="3173" t="s">
        <v>4284</v>
      </c>
      <c r="M141" s="3173" t="s">
        <v>4279</v>
      </c>
      <c r="N141" s="3173" t="s">
        <v>4280</v>
      </c>
      <c r="O141" s="3242">
        <f ca="1">分套结果!X141</f>
        <v>5536</v>
      </c>
      <c r="P141" s="3242">
        <f t="shared" ca="1" si="4"/>
        <v>355688</v>
      </c>
    </row>
    <row r="142" spans="1:16" ht="54">
      <c r="A142" s="3173">
        <v>141</v>
      </c>
      <c r="B142" s="3173">
        <v>20240070009</v>
      </c>
      <c r="C142" s="3173"/>
      <c r="D142" s="3173"/>
      <c r="E142" s="3173" t="s">
        <v>4274</v>
      </c>
      <c r="F142" s="3173" t="s">
        <v>4613</v>
      </c>
      <c r="G142" s="3173">
        <v>64.25</v>
      </c>
      <c r="H142" s="3173" t="s">
        <v>672</v>
      </c>
      <c r="I142" s="3173"/>
      <c r="J142" s="3174">
        <v>45364</v>
      </c>
      <c r="K142" s="3173" t="s">
        <v>4277</v>
      </c>
      <c r="L142" s="3173" t="s">
        <v>4284</v>
      </c>
      <c r="M142" s="3173" t="s">
        <v>4279</v>
      </c>
      <c r="N142" s="3173" t="s">
        <v>4280</v>
      </c>
      <c r="O142" s="3242">
        <f ca="1">分套结果!X142</f>
        <v>5536</v>
      </c>
      <c r="P142" s="3242">
        <f t="shared" ca="1" si="4"/>
        <v>355688</v>
      </c>
    </row>
    <row r="143" spans="1:16" ht="54">
      <c r="A143" s="3173">
        <v>142</v>
      </c>
      <c r="B143" s="3173">
        <v>20240070009</v>
      </c>
      <c r="C143" s="3173"/>
      <c r="D143" s="3173"/>
      <c r="E143" s="3173" t="s">
        <v>4274</v>
      </c>
      <c r="F143" s="3173" t="s">
        <v>4614</v>
      </c>
      <c r="G143" s="3173">
        <v>58.14</v>
      </c>
      <c r="H143" s="3173" t="s">
        <v>672</v>
      </c>
      <c r="I143" s="3173"/>
      <c r="J143" s="3174">
        <v>45364</v>
      </c>
      <c r="K143" s="3173" t="s">
        <v>4277</v>
      </c>
      <c r="L143" s="3173" t="s">
        <v>4284</v>
      </c>
      <c r="M143" s="3173" t="s">
        <v>4279</v>
      </c>
      <c r="N143" s="3173" t="s">
        <v>4280</v>
      </c>
      <c r="O143" s="3242">
        <f ca="1">分套结果!X143</f>
        <v>5536</v>
      </c>
      <c r="P143" s="3242">
        <f t="shared" ca="1" si="4"/>
        <v>321863.03999999998</v>
      </c>
    </row>
    <row r="144" spans="1:16" ht="54">
      <c r="A144" s="3173">
        <v>143</v>
      </c>
      <c r="B144" s="3173">
        <v>20240070009</v>
      </c>
      <c r="C144" s="3173"/>
      <c r="D144" s="3173"/>
      <c r="E144" s="3173" t="s">
        <v>4274</v>
      </c>
      <c r="F144" s="3173" t="s">
        <v>4615</v>
      </c>
      <c r="G144" s="3173">
        <v>63.49</v>
      </c>
      <c r="H144" s="3173" t="s">
        <v>672</v>
      </c>
      <c r="I144" s="3173"/>
      <c r="J144" s="3174">
        <v>45364</v>
      </c>
      <c r="K144" s="3173" t="s">
        <v>4279</v>
      </c>
      <c r="L144" s="3173" t="s">
        <v>4284</v>
      </c>
      <c r="M144" s="3173" t="s">
        <v>4279</v>
      </c>
      <c r="N144" s="3173" t="s">
        <v>4280</v>
      </c>
      <c r="O144" s="3242">
        <f ca="1">分套结果!X144</f>
        <v>5536</v>
      </c>
      <c r="P144" s="3242">
        <f t="shared" ca="1" si="4"/>
        <v>351480.64</v>
      </c>
    </row>
    <row r="145" spans="1:16" ht="54">
      <c r="A145" s="3173">
        <v>144</v>
      </c>
      <c r="B145" s="3173">
        <v>20240070009</v>
      </c>
      <c r="C145" s="3173"/>
      <c r="D145" s="3173"/>
      <c r="E145" s="3173" t="s">
        <v>4274</v>
      </c>
      <c r="F145" s="3173" t="s">
        <v>4616</v>
      </c>
      <c r="G145" s="3173">
        <v>185.77</v>
      </c>
      <c r="H145" s="3173" t="s">
        <v>672</v>
      </c>
      <c r="I145" s="3173"/>
      <c r="J145" s="3174">
        <v>45364</v>
      </c>
      <c r="K145" s="3173" t="s">
        <v>4277</v>
      </c>
      <c r="L145" s="3173" t="s">
        <v>4297</v>
      </c>
      <c r="M145" s="3173" t="s">
        <v>4279</v>
      </c>
      <c r="N145" s="3173" t="s">
        <v>4280</v>
      </c>
      <c r="O145" s="3242">
        <f ca="1">分套结果!X145</f>
        <v>11071</v>
      </c>
      <c r="P145" s="3242">
        <f t="shared" ca="1" si="4"/>
        <v>2056659.6700000002</v>
      </c>
    </row>
    <row r="146" spans="1:16" ht="54">
      <c r="A146" s="3173">
        <v>145</v>
      </c>
      <c r="B146" s="3173">
        <v>20240070009</v>
      </c>
      <c r="C146" s="3173"/>
      <c r="D146" s="3173"/>
      <c r="E146" s="3173" t="s">
        <v>4274</v>
      </c>
      <c r="F146" s="3173" t="s">
        <v>4617</v>
      </c>
      <c r="G146" s="3173">
        <v>167.29</v>
      </c>
      <c r="H146" s="3173" t="s">
        <v>672</v>
      </c>
      <c r="I146" s="3173"/>
      <c r="J146" s="3174">
        <v>45364</v>
      </c>
      <c r="K146" s="3173" t="s">
        <v>4277</v>
      </c>
      <c r="L146" s="3173" t="s">
        <v>4297</v>
      </c>
      <c r="M146" s="3173" t="s">
        <v>4279</v>
      </c>
      <c r="N146" s="3173" t="s">
        <v>4280</v>
      </c>
      <c r="O146" s="3242">
        <f ca="1">分套结果!X146</f>
        <v>11071</v>
      </c>
      <c r="P146" s="3242">
        <f t="shared" ca="1" si="4"/>
        <v>1852067.5899999999</v>
      </c>
    </row>
    <row r="147" spans="1:16" ht="54">
      <c r="A147" s="3173">
        <v>146</v>
      </c>
      <c r="B147" s="3173">
        <v>20240070009</v>
      </c>
      <c r="C147" s="3173"/>
      <c r="D147" s="3173"/>
      <c r="E147" s="3173" t="s">
        <v>4274</v>
      </c>
      <c r="F147" s="3173" t="s">
        <v>4618</v>
      </c>
      <c r="G147" s="3173">
        <v>173.61</v>
      </c>
      <c r="H147" s="3173" t="s">
        <v>672</v>
      </c>
      <c r="I147" s="3173"/>
      <c r="J147" s="3174">
        <v>45364</v>
      </c>
      <c r="K147" s="3173" t="s">
        <v>4277</v>
      </c>
      <c r="L147" s="3173" t="s">
        <v>4297</v>
      </c>
      <c r="M147" s="3173" t="s">
        <v>4279</v>
      </c>
      <c r="N147" s="3173" t="s">
        <v>4280</v>
      </c>
      <c r="O147" s="3242">
        <f ca="1">分套结果!X147</f>
        <v>11071</v>
      </c>
      <c r="P147" s="3242">
        <f t="shared" ca="1" si="4"/>
        <v>1922036.31</v>
      </c>
    </row>
    <row r="148" spans="1:16" ht="54">
      <c r="A148" s="3173">
        <v>147</v>
      </c>
      <c r="B148" s="3173">
        <v>20240070009</v>
      </c>
      <c r="C148" s="3173"/>
      <c r="D148" s="3173"/>
      <c r="E148" s="3173" t="s">
        <v>4274</v>
      </c>
      <c r="F148" s="3173" t="s">
        <v>4619</v>
      </c>
      <c r="G148" s="3173">
        <v>68.02</v>
      </c>
      <c r="H148" s="3173" t="s">
        <v>672</v>
      </c>
      <c r="I148" s="3173"/>
      <c r="J148" s="3174">
        <v>45364</v>
      </c>
      <c r="K148" s="3173" t="s">
        <v>4277</v>
      </c>
      <c r="L148" s="3173" t="s">
        <v>4297</v>
      </c>
      <c r="M148" s="3173" t="s">
        <v>4279</v>
      </c>
      <c r="N148" s="3173" t="s">
        <v>4280</v>
      </c>
      <c r="O148" s="3242">
        <f ca="1">分套结果!X148</f>
        <v>5536</v>
      </c>
      <c r="P148" s="3242">
        <f t="shared" ca="1" si="4"/>
        <v>376558.72</v>
      </c>
    </row>
    <row r="149" spans="1:16" ht="54">
      <c r="A149" s="3173">
        <v>148</v>
      </c>
      <c r="B149" s="3173">
        <v>20240070009</v>
      </c>
      <c r="C149" s="3173"/>
      <c r="D149" s="3173"/>
      <c r="E149" s="3173" t="s">
        <v>4274</v>
      </c>
      <c r="F149" s="3173" t="s">
        <v>4620</v>
      </c>
      <c r="G149" s="3173">
        <v>57.99</v>
      </c>
      <c r="H149" s="3173" t="s">
        <v>672</v>
      </c>
      <c r="I149" s="3173"/>
      <c r="J149" s="3174">
        <v>45364</v>
      </c>
      <c r="K149" s="3173" t="s">
        <v>4277</v>
      </c>
      <c r="L149" s="3173" t="s">
        <v>4297</v>
      </c>
      <c r="M149" s="3173" t="s">
        <v>4279</v>
      </c>
      <c r="N149" s="3173" t="s">
        <v>4280</v>
      </c>
      <c r="O149" s="3242">
        <f ca="1">分套结果!X149</f>
        <v>5536</v>
      </c>
      <c r="P149" s="3242">
        <f t="shared" ca="1" si="4"/>
        <v>321032.64</v>
      </c>
    </row>
    <row r="150" spans="1:16" ht="54">
      <c r="A150" s="3173">
        <v>149</v>
      </c>
      <c r="B150" s="3173">
        <v>20240070009</v>
      </c>
      <c r="C150" s="3173"/>
      <c r="D150" s="3173"/>
      <c r="E150" s="3173" t="s">
        <v>4274</v>
      </c>
      <c r="F150" s="3173" t="s">
        <v>4621</v>
      </c>
      <c r="G150" s="3173">
        <v>61.1</v>
      </c>
      <c r="H150" s="3173" t="s">
        <v>672</v>
      </c>
      <c r="I150" s="3173"/>
      <c r="J150" s="3174">
        <v>45364</v>
      </c>
      <c r="K150" s="3173" t="s">
        <v>4277</v>
      </c>
      <c r="L150" s="3173" t="s">
        <v>4297</v>
      </c>
      <c r="M150" s="3173" t="s">
        <v>4279</v>
      </c>
      <c r="N150" s="3173" t="s">
        <v>4280</v>
      </c>
      <c r="O150" s="3242">
        <f ca="1">分套结果!X150</f>
        <v>5536</v>
      </c>
      <c r="P150" s="3242">
        <f t="shared" ca="1" si="4"/>
        <v>338249.60000000003</v>
      </c>
    </row>
    <row r="151" spans="1:16" ht="54">
      <c r="A151" s="3173">
        <v>150</v>
      </c>
      <c r="B151" s="3173">
        <v>20240070009</v>
      </c>
      <c r="C151" s="3173"/>
      <c r="D151" s="3173"/>
      <c r="E151" s="3173" t="s">
        <v>4274</v>
      </c>
      <c r="F151" s="3173" t="s">
        <v>4622</v>
      </c>
      <c r="G151" s="3173">
        <v>43.01</v>
      </c>
      <c r="H151" s="3173" t="s">
        <v>672</v>
      </c>
      <c r="I151" s="3173"/>
      <c r="J151" s="3174">
        <v>45364</v>
      </c>
      <c r="K151" s="3173" t="s">
        <v>4277</v>
      </c>
      <c r="L151" s="3173" t="s">
        <v>4278</v>
      </c>
      <c r="M151" s="3173" t="s">
        <v>4279</v>
      </c>
      <c r="N151" s="3173" t="s">
        <v>4280</v>
      </c>
      <c r="O151" s="3242">
        <f ca="1">分套结果!X151</f>
        <v>5536</v>
      </c>
      <c r="P151" s="3242">
        <f t="shared" ca="1" si="4"/>
        <v>238103.36</v>
      </c>
    </row>
    <row r="152" spans="1:16" ht="54">
      <c r="A152" s="3173">
        <v>151</v>
      </c>
      <c r="B152" s="3173">
        <v>20240070009</v>
      </c>
      <c r="C152" s="3173"/>
      <c r="D152" s="3173"/>
      <c r="E152" s="3173" t="s">
        <v>4274</v>
      </c>
      <c r="F152" s="3173" t="s">
        <v>4623</v>
      </c>
      <c r="G152" s="3173">
        <v>58.77</v>
      </c>
      <c r="H152" s="3173" t="s">
        <v>672</v>
      </c>
      <c r="I152" s="3173"/>
      <c r="J152" s="3174">
        <v>45364</v>
      </c>
      <c r="K152" s="3173" t="s">
        <v>4277</v>
      </c>
      <c r="L152" s="3173" t="s">
        <v>4278</v>
      </c>
      <c r="M152" s="3173" t="s">
        <v>4279</v>
      </c>
      <c r="N152" s="3173" t="s">
        <v>4280</v>
      </c>
      <c r="O152" s="3242">
        <f ca="1">分套结果!X152</f>
        <v>5536</v>
      </c>
      <c r="P152" s="3242">
        <f t="shared" ca="1" si="4"/>
        <v>325350.72000000003</v>
      </c>
    </row>
    <row r="153" spans="1:16" ht="54">
      <c r="A153" s="3173">
        <v>152</v>
      </c>
      <c r="B153" s="3173">
        <v>20240070009</v>
      </c>
      <c r="C153" s="3173"/>
      <c r="D153" s="3173"/>
      <c r="E153" s="3173" t="s">
        <v>4274</v>
      </c>
      <c r="F153" s="3173" t="s">
        <v>4624</v>
      </c>
      <c r="G153" s="3173">
        <v>58.75</v>
      </c>
      <c r="H153" s="3173" t="s">
        <v>672</v>
      </c>
      <c r="I153" s="3173"/>
      <c r="J153" s="3174">
        <v>45364</v>
      </c>
      <c r="K153" s="3173" t="s">
        <v>4277</v>
      </c>
      <c r="L153" s="3173" t="s">
        <v>4278</v>
      </c>
      <c r="M153" s="3173" t="s">
        <v>4279</v>
      </c>
      <c r="N153" s="3173" t="s">
        <v>4280</v>
      </c>
      <c r="O153" s="3242">
        <f ca="1">分套结果!X153</f>
        <v>5536</v>
      </c>
      <c r="P153" s="3242">
        <f t="shared" ca="1" si="4"/>
        <v>325240</v>
      </c>
    </row>
    <row r="154" spans="1:16" ht="54">
      <c r="A154" s="3173">
        <v>153</v>
      </c>
      <c r="B154" s="3173">
        <v>20240070009</v>
      </c>
      <c r="C154" s="3173"/>
      <c r="D154" s="3173"/>
      <c r="E154" s="3173" t="s">
        <v>4274</v>
      </c>
      <c r="F154" s="3173" t="s">
        <v>4625</v>
      </c>
      <c r="G154" s="3173">
        <v>65.81</v>
      </c>
      <c r="H154" s="3173" t="s">
        <v>672</v>
      </c>
      <c r="I154" s="3173"/>
      <c r="J154" s="3174">
        <v>45364</v>
      </c>
      <c r="K154" s="3173" t="s">
        <v>4277</v>
      </c>
      <c r="L154" s="3173" t="s">
        <v>4278</v>
      </c>
      <c r="M154" s="3173" t="s">
        <v>4279</v>
      </c>
      <c r="N154" s="3173" t="s">
        <v>4280</v>
      </c>
      <c r="O154" s="3242">
        <f ca="1">分套结果!X154</f>
        <v>5536</v>
      </c>
      <c r="P154" s="3242">
        <f t="shared" ca="1" si="4"/>
        <v>364324.16000000003</v>
      </c>
    </row>
    <row r="155" spans="1:16" ht="54">
      <c r="A155" s="3173">
        <v>154</v>
      </c>
      <c r="B155" s="3173">
        <v>20240070009</v>
      </c>
      <c r="C155" s="3173"/>
      <c r="D155" s="3173"/>
      <c r="E155" s="3173" t="s">
        <v>4274</v>
      </c>
      <c r="F155" s="3173" t="s">
        <v>4626</v>
      </c>
      <c r="G155" s="3173">
        <v>26.2</v>
      </c>
      <c r="H155" s="3173" t="s">
        <v>672</v>
      </c>
      <c r="I155" s="3173"/>
      <c r="J155" s="3174">
        <v>45364</v>
      </c>
      <c r="K155" s="3173" t="s">
        <v>4277</v>
      </c>
      <c r="L155" s="3173" t="s">
        <v>4278</v>
      </c>
      <c r="M155" s="3173" t="s">
        <v>4279</v>
      </c>
      <c r="N155" s="3173" t="s">
        <v>4280</v>
      </c>
      <c r="O155" s="3242">
        <f ca="1">分套结果!X155</f>
        <v>5536</v>
      </c>
      <c r="P155" s="3242">
        <f t="shared" ca="1" si="4"/>
        <v>145043.19999999998</v>
      </c>
    </row>
    <row r="156" spans="1:16" ht="54">
      <c r="A156" s="3173">
        <v>155</v>
      </c>
      <c r="B156" s="3173">
        <v>20240070009</v>
      </c>
      <c r="C156" s="3173"/>
      <c r="D156" s="3173"/>
      <c r="E156" s="3173" t="s">
        <v>4274</v>
      </c>
      <c r="F156" s="3173" t="s">
        <v>4627</v>
      </c>
      <c r="G156" s="3173">
        <v>26.65</v>
      </c>
      <c r="H156" s="3173" t="s">
        <v>672</v>
      </c>
      <c r="I156" s="3173"/>
      <c r="J156" s="3174">
        <v>45364</v>
      </c>
      <c r="K156" s="3173" t="s">
        <v>4277</v>
      </c>
      <c r="L156" s="3173" t="s">
        <v>4278</v>
      </c>
      <c r="M156" s="3173" t="s">
        <v>4279</v>
      </c>
      <c r="N156" s="3173" t="s">
        <v>4280</v>
      </c>
      <c r="O156" s="3242">
        <f ca="1">分套结果!X156</f>
        <v>5536</v>
      </c>
      <c r="P156" s="3242">
        <f t="shared" ca="1" si="4"/>
        <v>147534.39999999999</v>
      </c>
    </row>
    <row r="157" spans="1:16" ht="54">
      <c r="A157" s="3173">
        <v>156</v>
      </c>
      <c r="B157" s="3173">
        <v>20240070009</v>
      </c>
      <c r="C157" s="3173"/>
      <c r="D157" s="3173"/>
      <c r="E157" s="3173" t="s">
        <v>4274</v>
      </c>
      <c r="F157" s="3173" t="s">
        <v>4628</v>
      </c>
      <c r="G157" s="3173">
        <v>20.96</v>
      </c>
      <c r="H157" s="3173" t="s">
        <v>672</v>
      </c>
      <c r="I157" s="3173"/>
      <c r="J157" s="3174">
        <v>45364</v>
      </c>
      <c r="K157" s="3173" t="s">
        <v>4277</v>
      </c>
      <c r="L157" s="3173" t="s">
        <v>4278</v>
      </c>
      <c r="M157" s="3173" t="s">
        <v>4279</v>
      </c>
      <c r="N157" s="3173" t="s">
        <v>4280</v>
      </c>
      <c r="O157" s="3242">
        <f ca="1">分套结果!X157</f>
        <v>5536</v>
      </c>
      <c r="P157" s="3242">
        <f t="shared" ca="1" si="4"/>
        <v>116034.56</v>
      </c>
    </row>
    <row r="158" spans="1:16" ht="54">
      <c r="A158" s="3173">
        <v>157</v>
      </c>
      <c r="B158" s="3173">
        <v>20240070009</v>
      </c>
      <c r="C158" s="3173"/>
      <c r="D158" s="3173"/>
      <c r="E158" s="3173" t="s">
        <v>4274</v>
      </c>
      <c r="F158" s="3173" t="s">
        <v>4629</v>
      </c>
      <c r="G158" s="3173">
        <v>26.65</v>
      </c>
      <c r="H158" s="3173" t="s">
        <v>672</v>
      </c>
      <c r="I158" s="3173"/>
      <c r="J158" s="3174">
        <v>45364</v>
      </c>
      <c r="K158" s="3173" t="s">
        <v>4277</v>
      </c>
      <c r="L158" s="3173" t="s">
        <v>4278</v>
      </c>
      <c r="M158" s="3173" t="s">
        <v>4279</v>
      </c>
      <c r="N158" s="3173" t="s">
        <v>4280</v>
      </c>
      <c r="O158" s="3242">
        <f ca="1">分套结果!X158</f>
        <v>5536</v>
      </c>
      <c r="P158" s="3242">
        <f t="shared" ca="1" si="4"/>
        <v>147534.39999999999</v>
      </c>
    </row>
    <row r="159" spans="1:16" ht="54">
      <c r="A159" s="3173">
        <v>158</v>
      </c>
      <c r="B159" s="3173">
        <v>20240070009</v>
      </c>
      <c r="C159" s="3173"/>
      <c r="D159" s="3173"/>
      <c r="E159" s="3173" t="s">
        <v>4274</v>
      </c>
      <c r="F159" s="3173" t="s">
        <v>4630</v>
      </c>
      <c r="G159" s="3173">
        <v>53.8</v>
      </c>
      <c r="H159" s="3173" t="s">
        <v>672</v>
      </c>
      <c r="I159" s="3173"/>
      <c r="J159" s="3174">
        <v>45364</v>
      </c>
      <c r="K159" s="3173" t="s">
        <v>4277</v>
      </c>
      <c r="L159" s="3173" t="s">
        <v>4278</v>
      </c>
      <c r="M159" s="3173" t="s">
        <v>4279</v>
      </c>
      <c r="N159" s="3173" t="s">
        <v>4280</v>
      </c>
      <c r="O159" s="3242">
        <f ca="1">分套结果!X159</f>
        <v>5536</v>
      </c>
      <c r="P159" s="3242">
        <f t="shared" ca="1" si="4"/>
        <v>297836.79999999999</v>
      </c>
    </row>
    <row r="160" spans="1:16" ht="54">
      <c r="A160" s="3173">
        <v>159</v>
      </c>
      <c r="B160" s="3173">
        <v>20240070009</v>
      </c>
      <c r="C160" s="3173"/>
      <c r="D160" s="3173"/>
      <c r="E160" s="3173" t="s">
        <v>4274</v>
      </c>
      <c r="F160" s="3173" t="s">
        <v>4631</v>
      </c>
      <c r="G160" s="3173">
        <v>62.12</v>
      </c>
      <c r="H160" s="3173" t="s">
        <v>672</v>
      </c>
      <c r="I160" s="3173"/>
      <c r="J160" s="3174">
        <v>45364</v>
      </c>
      <c r="K160" s="3173" t="s">
        <v>4277</v>
      </c>
      <c r="L160" s="3173" t="s">
        <v>4278</v>
      </c>
      <c r="M160" s="3173" t="s">
        <v>4279</v>
      </c>
      <c r="N160" s="3173" t="s">
        <v>4280</v>
      </c>
      <c r="O160" s="3242">
        <f ca="1">分套结果!X160</f>
        <v>5536</v>
      </c>
      <c r="P160" s="3242">
        <f t="shared" ca="1" si="4"/>
        <v>343896.32000000001</v>
      </c>
    </row>
    <row r="161" spans="1:20" ht="54">
      <c r="A161" s="3173">
        <v>160</v>
      </c>
      <c r="B161" s="3173">
        <v>20240070009</v>
      </c>
      <c r="C161" s="3173"/>
      <c r="D161" s="3173"/>
      <c r="E161" s="3173" t="s">
        <v>4274</v>
      </c>
      <c r="F161" s="3173" t="s">
        <v>4632</v>
      </c>
      <c r="G161" s="3173">
        <v>55.27</v>
      </c>
      <c r="H161" s="3173" t="s">
        <v>672</v>
      </c>
      <c r="I161" s="3173"/>
      <c r="J161" s="3174">
        <v>45364</v>
      </c>
      <c r="K161" s="3173" t="s">
        <v>4277</v>
      </c>
      <c r="L161" s="3173" t="s">
        <v>4278</v>
      </c>
      <c r="M161" s="3173" t="s">
        <v>4279</v>
      </c>
      <c r="N161" s="3173" t="s">
        <v>4280</v>
      </c>
      <c r="O161" s="3242">
        <f ca="1">分套结果!X161</f>
        <v>5536</v>
      </c>
      <c r="P161" s="3242">
        <f t="shared" ca="1" si="4"/>
        <v>305974.72000000003</v>
      </c>
    </row>
    <row r="162" spans="1:20" ht="54">
      <c r="A162" s="3173">
        <v>161</v>
      </c>
      <c r="B162" s="3173">
        <v>20240070009</v>
      </c>
      <c r="C162" s="3173"/>
      <c r="D162" s="3173"/>
      <c r="E162" s="3173" t="s">
        <v>4274</v>
      </c>
      <c r="F162" s="3173" t="s">
        <v>4633</v>
      </c>
      <c r="G162" s="3173">
        <v>52.13</v>
      </c>
      <c r="H162" s="3173" t="s">
        <v>672</v>
      </c>
      <c r="I162" s="3173"/>
      <c r="J162" s="3174">
        <v>45364</v>
      </c>
      <c r="K162" s="3173" t="s">
        <v>4277</v>
      </c>
      <c r="L162" s="3173" t="s">
        <v>4297</v>
      </c>
      <c r="M162" s="3173" t="s">
        <v>4279</v>
      </c>
      <c r="N162" s="3173" t="s">
        <v>4280</v>
      </c>
      <c r="O162" s="3242">
        <f ca="1">分套结果!X162</f>
        <v>5536</v>
      </c>
      <c r="P162" s="3242">
        <f t="shared" ca="1" si="4"/>
        <v>288591.68</v>
      </c>
    </row>
    <row r="163" spans="1:20" ht="54">
      <c r="A163" s="3173">
        <v>162</v>
      </c>
      <c r="B163" s="3173">
        <v>20240070009</v>
      </c>
      <c r="C163" s="3173"/>
      <c r="D163" s="3173"/>
      <c r="E163" s="3173" t="s">
        <v>4274</v>
      </c>
      <c r="F163" s="3173" t="s">
        <v>4634</v>
      </c>
      <c r="G163" s="3173">
        <v>75.459999999999994</v>
      </c>
      <c r="H163" s="3173" t="s">
        <v>672</v>
      </c>
      <c r="I163" s="3173"/>
      <c r="J163" s="3174">
        <v>45364</v>
      </c>
      <c r="K163" s="3173" t="s">
        <v>4277</v>
      </c>
      <c r="L163" s="3173" t="s">
        <v>4278</v>
      </c>
      <c r="M163" s="3173" t="s">
        <v>4279</v>
      </c>
      <c r="N163" s="3173" t="s">
        <v>4280</v>
      </c>
      <c r="O163" s="3242">
        <f ca="1">分套结果!X163</f>
        <v>5536</v>
      </c>
      <c r="P163" s="3242">
        <f t="shared" ca="1" si="4"/>
        <v>417746.55999999994</v>
      </c>
    </row>
    <row r="164" spans="1:20" ht="54">
      <c r="A164" s="3173">
        <v>163</v>
      </c>
      <c r="B164" s="3173">
        <v>20240070009</v>
      </c>
      <c r="C164" s="3173"/>
      <c r="D164" s="3173"/>
      <c r="E164" s="3173" t="s">
        <v>4274</v>
      </c>
      <c r="F164" s="3173" t="s">
        <v>4635</v>
      </c>
      <c r="G164" s="3173">
        <v>59.13</v>
      </c>
      <c r="H164" s="3173" t="s">
        <v>672</v>
      </c>
      <c r="I164" s="3173"/>
      <c r="J164" s="3174">
        <v>45364</v>
      </c>
      <c r="K164" s="3173" t="s">
        <v>4277</v>
      </c>
      <c r="L164" s="3173" t="s">
        <v>4278</v>
      </c>
      <c r="M164" s="3173" t="s">
        <v>4279</v>
      </c>
      <c r="N164" s="3173" t="s">
        <v>4280</v>
      </c>
      <c r="O164" s="3242">
        <f ca="1">分套结果!X164</f>
        <v>5536</v>
      </c>
      <c r="P164" s="3242">
        <f t="shared" ca="1" si="4"/>
        <v>327343.68</v>
      </c>
    </row>
    <row r="165" spans="1:20" ht="54">
      <c r="A165" s="3234">
        <v>164</v>
      </c>
      <c r="B165" s="3234">
        <v>20240070009</v>
      </c>
      <c r="C165" s="3234"/>
      <c r="D165" s="3234"/>
      <c r="E165" s="3234" t="s">
        <v>4274</v>
      </c>
      <c r="F165" s="3234" t="s">
        <v>4636</v>
      </c>
      <c r="G165" s="3234">
        <v>13.22</v>
      </c>
      <c r="H165" s="3234" t="s">
        <v>4637</v>
      </c>
      <c r="I165" s="3234"/>
      <c r="J165" s="3235">
        <v>45364</v>
      </c>
      <c r="K165" s="3234" t="s">
        <v>4277</v>
      </c>
      <c r="L165" s="3234" t="s">
        <v>4278</v>
      </c>
      <c r="M165" s="3234" t="s">
        <v>4279</v>
      </c>
      <c r="N165" s="3234" t="s">
        <v>4280</v>
      </c>
      <c r="O165" s="3242">
        <f ca="1">分套结果!X165</f>
        <v>2220</v>
      </c>
      <c r="P165" s="3242">
        <f t="shared" ca="1" si="4"/>
        <v>29348.400000000001</v>
      </c>
    </row>
    <row r="166" spans="1:20" ht="54">
      <c r="A166" s="3173">
        <v>165</v>
      </c>
      <c r="B166" s="3173">
        <v>20240070009</v>
      </c>
      <c r="C166" s="3173"/>
      <c r="D166" s="3173"/>
      <c r="E166" s="3173" t="s">
        <v>4274</v>
      </c>
      <c r="F166" s="3173" t="s">
        <v>4638</v>
      </c>
      <c r="G166" s="3173">
        <v>69.16</v>
      </c>
      <c r="H166" s="3173" t="s">
        <v>672</v>
      </c>
      <c r="I166" s="3173"/>
      <c r="J166" s="3174">
        <v>45364</v>
      </c>
      <c r="K166" s="3173" t="s">
        <v>4279</v>
      </c>
      <c r="L166" s="3173" t="s">
        <v>4297</v>
      </c>
      <c r="M166" s="3173" t="s">
        <v>4279</v>
      </c>
      <c r="N166" s="3173" t="s">
        <v>4280</v>
      </c>
      <c r="O166" s="3242">
        <f ca="1">分套结果!X166</f>
        <v>5536</v>
      </c>
      <c r="P166" s="3242">
        <f t="shared" ref="P166:P200" ca="1" si="5">O166*G166</f>
        <v>382869.76000000001</v>
      </c>
      <c r="T166"/>
    </row>
    <row r="167" spans="1:20" ht="54">
      <c r="A167" s="3173">
        <v>166</v>
      </c>
      <c r="B167" s="3173">
        <v>20240070009</v>
      </c>
      <c r="C167" s="3173"/>
      <c r="D167" s="3173"/>
      <c r="E167" s="3173" t="s">
        <v>4274</v>
      </c>
      <c r="F167" s="3173" t="s">
        <v>4639</v>
      </c>
      <c r="G167" s="3173">
        <v>59.05</v>
      </c>
      <c r="H167" s="3173" t="s">
        <v>672</v>
      </c>
      <c r="I167" s="3173"/>
      <c r="J167" s="3174">
        <v>45364</v>
      </c>
      <c r="K167" s="3173" t="s">
        <v>4277</v>
      </c>
      <c r="L167" s="3173" t="s">
        <v>4278</v>
      </c>
      <c r="M167" s="3173" t="s">
        <v>4279</v>
      </c>
      <c r="N167" s="3173" t="s">
        <v>4280</v>
      </c>
      <c r="O167" s="3242">
        <f ca="1">分套结果!X167</f>
        <v>5536</v>
      </c>
      <c r="P167" s="3242">
        <f t="shared" ca="1" si="5"/>
        <v>326900.8</v>
      </c>
      <c r="T167"/>
    </row>
    <row r="168" spans="1:20" ht="54">
      <c r="A168" s="3173">
        <v>167</v>
      </c>
      <c r="B168" s="3173">
        <v>20240070009</v>
      </c>
      <c r="C168" s="3173"/>
      <c r="D168" s="3173"/>
      <c r="E168" s="3173" t="s">
        <v>4274</v>
      </c>
      <c r="F168" s="3173" t="s">
        <v>4640</v>
      </c>
      <c r="G168" s="3173">
        <v>62.16</v>
      </c>
      <c r="H168" s="3173" t="s">
        <v>672</v>
      </c>
      <c r="I168" s="3173"/>
      <c r="J168" s="3174">
        <v>45364</v>
      </c>
      <c r="K168" s="3173" t="s">
        <v>4277</v>
      </c>
      <c r="L168" s="3173" t="s">
        <v>4278</v>
      </c>
      <c r="M168" s="3173" t="s">
        <v>4279</v>
      </c>
      <c r="N168" s="3173" t="s">
        <v>4280</v>
      </c>
      <c r="O168" s="3242">
        <f ca="1">分套结果!X168</f>
        <v>5536</v>
      </c>
      <c r="P168" s="3242">
        <f t="shared" ca="1" si="5"/>
        <v>344117.76000000001</v>
      </c>
      <c r="T168"/>
    </row>
    <row r="169" spans="1:20" ht="54">
      <c r="A169" s="3173">
        <v>168</v>
      </c>
      <c r="B169" s="3173">
        <v>20240070009</v>
      </c>
      <c r="C169" s="3173"/>
      <c r="D169" s="3173"/>
      <c r="E169" s="3173" t="s">
        <v>4274</v>
      </c>
      <c r="F169" s="3173" t="s">
        <v>4641</v>
      </c>
      <c r="G169" s="3173">
        <v>43.01</v>
      </c>
      <c r="H169" s="3173" t="s">
        <v>672</v>
      </c>
      <c r="I169" s="3173"/>
      <c r="J169" s="3174">
        <v>45364</v>
      </c>
      <c r="K169" s="3173" t="s">
        <v>4277</v>
      </c>
      <c r="L169" s="3173" t="s">
        <v>4297</v>
      </c>
      <c r="M169" s="3173" t="s">
        <v>4279</v>
      </c>
      <c r="N169" s="3173" t="s">
        <v>4280</v>
      </c>
      <c r="O169" s="3242">
        <f ca="1">分套结果!X169</f>
        <v>5536</v>
      </c>
      <c r="P169" s="3242">
        <f t="shared" ca="1" si="5"/>
        <v>238103.36</v>
      </c>
      <c r="T169"/>
    </row>
    <row r="170" spans="1:20" ht="54">
      <c r="A170" s="3173">
        <v>169</v>
      </c>
      <c r="B170" s="3173">
        <v>20240070009</v>
      </c>
      <c r="C170" s="3173"/>
      <c r="D170" s="3173"/>
      <c r="E170" s="3173" t="s">
        <v>4274</v>
      </c>
      <c r="F170" s="3173" t="s">
        <v>4642</v>
      </c>
      <c r="G170" s="3173">
        <v>59.83</v>
      </c>
      <c r="H170" s="3173" t="s">
        <v>672</v>
      </c>
      <c r="I170" s="3173"/>
      <c r="J170" s="3174">
        <v>45364</v>
      </c>
      <c r="K170" s="3173" t="s">
        <v>4277</v>
      </c>
      <c r="L170" s="3173" t="s">
        <v>4278</v>
      </c>
      <c r="M170" s="3173" t="s">
        <v>4279</v>
      </c>
      <c r="N170" s="3173" t="s">
        <v>4280</v>
      </c>
      <c r="O170" s="3242">
        <f ca="1">分套结果!X170</f>
        <v>5536</v>
      </c>
      <c r="P170" s="3242">
        <f t="shared" ca="1" si="5"/>
        <v>331218.88</v>
      </c>
      <c r="T170"/>
    </row>
    <row r="171" spans="1:20" ht="54">
      <c r="A171" s="3173">
        <v>170</v>
      </c>
      <c r="B171" s="3173">
        <v>20240070009</v>
      </c>
      <c r="C171" s="3173"/>
      <c r="D171" s="3173"/>
      <c r="E171" s="3173" t="s">
        <v>4274</v>
      </c>
      <c r="F171" s="3173" t="s">
        <v>4643</v>
      </c>
      <c r="G171" s="3173">
        <v>59.83</v>
      </c>
      <c r="H171" s="3173" t="s">
        <v>672</v>
      </c>
      <c r="I171" s="3173"/>
      <c r="J171" s="3174">
        <v>45364</v>
      </c>
      <c r="K171" s="3173" t="s">
        <v>4277</v>
      </c>
      <c r="L171" s="3173" t="s">
        <v>4297</v>
      </c>
      <c r="M171" s="3173" t="s">
        <v>4279</v>
      </c>
      <c r="N171" s="3173" t="s">
        <v>4280</v>
      </c>
      <c r="O171" s="3242">
        <f ca="1">分套结果!X171</f>
        <v>5536</v>
      </c>
      <c r="P171" s="3242">
        <f t="shared" ca="1" si="5"/>
        <v>331218.88</v>
      </c>
      <c r="T171"/>
    </row>
    <row r="172" spans="1:20" ht="54">
      <c r="A172" s="3173">
        <v>171</v>
      </c>
      <c r="B172" s="3173">
        <v>20240070009</v>
      </c>
      <c r="C172" s="3173"/>
      <c r="D172" s="3173"/>
      <c r="E172" s="3173" t="s">
        <v>4274</v>
      </c>
      <c r="F172" s="3173" t="s">
        <v>4645</v>
      </c>
      <c r="G172" s="3173">
        <v>66.89</v>
      </c>
      <c r="H172" s="3173" t="s">
        <v>672</v>
      </c>
      <c r="I172" s="3173"/>
      <c r="J172" s="3174">
        <v>45364</v>
      </c>
      <c r="K172" s="3173" t="s">
        <v>4277</v>
      </c>
      <c r="L172" s="3173" t="s">
        <v>4278</v>
      </c>
      <c r="M172" s="3173" t="s">
        <v>4279</v>
      </c>
      <c r="N172" s="3173" t="s">
        <v>4280</v>
      </c>
      <c r="O172" s="3242">
        <f ca="1">分套结果!X172</f>
        <v>5536</v>
      </c>
      <c r="P172" s="3242">
        <f t="shared" ca="1" si="5"/>
        <v>370303.04</v>
      </c>
      <c r="T172"/>
    </row>
    <row r="173" spans="1:20" ht="54">
      <c r="A173" s="3173">
        <v>172</v>
      </c>
      <c r="B173" s="3173">
        <v>20240070009</v>
      </c>
      <c r="C173" s="3173"/>
      <c r="D173" s="3173"/>
      <c r="E173" s="3173" t="s">
        <v>4274</v>
      </c>
      <c r="F173" s="3173" t="s">
        <v>4646</v>
      </c>
      <c r="G173" s="3173">
        <v>27.39</v>
      </c>
      <c r="H173" s="3173" t="s">
        <v>672</v>
      </c>
      <c r="I173" s="3173"/>
      <c r="J173" s="3174">
        <v>45364</v>
      </c>
      <c r="K173" s="3173" t="s">
        <v>4277</v>
      </c>
      <c r="L173" s="3173" t="s">
        <v>4278</v>
      </c>
      <c r="M173" s="3173" t="s">
        <v>4279</v>
      </c>
      <c r="N173" s="3173" t="s">
        <v>4280</v>
      </c>
      <c r="O173" s="3242">
        <f ca="1">分套结果!X173</f>
        <v>5536</v>
      </c>
      <c r="P173" s="3242">
        <f t="shared" ca="1" si="5"/>
        <v>151631.04000000001</v>
      </c>
      <c r="R173"/>
      <c r="S173"/>
      <c r="T173"/>
    </row>
    <row r="174" spans="1:20" ht="54">
      <c r="A174" s="3173">
        <v>173</v>
      </c>
      <c r="B174" s="3173">
        <v>20240070009</v>
      </c>
      <c r="C174" s="3173"/>
      <c r="D174" s="3173"/>
      <c r="E174" s="3173" t="s">
        <v>4274</v>
      </c>
      <c r="F174" s="3173" t="s">
        <v>4647</v>
      </c>
      <c r="G174" s="3173">
        <v>21.5</v>
      </c>
      <c r="H174" s="3173" t="s">
        <v>672</v>
      </c>
      <c r="I174" s="3173"/>
      <c r="J174" s="3174">
        <v>45364</v>
      </c>
      <c r="K174" s="3173" t="s">
        <v>4277</v>
      </c>
      <c r="L174" s="3173" t="s">
        <v>4278</v>
      </c>
      <c r="M174" s="3173" t="s">
        <v>4279</v>
      </c>
      <c r="N174" s="3173" t="s">
        <v>4280</v>
      </c>
      <c r="O174" s="3242">
        <f ca="1">分套结果!X174</f>
        <v>5536</v>
      </c>
      <c r="P174" s="3242">
        <f t="shared" ca="1" si="5"/>
        <v>119024</v>
      </c>
      <c r="R174"/>
      <c r="S174"/>
      <c r="T174"/>
    </row>
    <row r="175" spans="1:20" ht="54">
      <c r="A175" s="3173">
        <v>174</v>
      </c>
      <c r="B175" s="3173">
        <v>20240070009</v>
      </c>
      <c r="C175" s="3173"/>
      <c r="D175" s="3173"/>
      <c r="E175" s="3173" t="s">
        <v>4274</v>
      </c>
      <c r="F175" s="3173" t="s">
        <v>4648</v>
      </c>
      <c r="G175" s="3173">
        <v>26.65</v>
      </c>
      <c r="H175" s="3173" t="s">
        <v>672</v>
      </c>
      <c r="I175" s="3173"/>
      <c r="J175" s="3174">
        <v>45364</v>
      </c>
      <c r="K175" s="3173" t="s">
        <v>4277</v>
      </c>
      <c r="L175" s="3173" t="s">
        <v>4278</v>
      </c>
      <c r="M175" s="3173" t="s">
        <v>4279</v>
      </c>
      <c r="N175" s="3173" t="s">
        <v>4280</v>
      </c>
      <c r="O175" s="3242">
        <f ca="1">分套结果!X175</f>
        <v>5536</v>
      </c>
      <c r="P175" s="3242">
        <f t="shared" ca="1" si="5"/>
        <v>147534.39999999999</v>
      </c>
      <c r="R175"/>
      <c r="S175"/>
      <c r="T175"/>
    </row>
    <row r="176" spans="1:20" ht="54">
      <c r="A176" s="3173">
        <v>175</v>
      </c>
      <c r="B176" s="3173">
        <v>20240070009</v>
      </c>
      <c r="C176" s="3173"/>
      <c r="D176" s="3173"/>
      <c r="E176" s="3173" t="s">
        <v>4274</v>
      </c>
      <c r="F176" s="3173" t="s">
        <v>4649</v>
      </c>
      <c r="G176" s="3173">
        <v>30.52</v>
      </c>
      <c r="H176" s="3173" t="s">
        <v>672</v>
      </c>
      <c r="I176" s="3173"/>
      <c r="J176" s="3174">
        <v>45364</v>
      </c>
      <c r="K176" s="3173" t="s">
        <v>4277</v>
      </c>
      <c r="L176" s="3173" t="s">
        <v>4278</v>
      </c>
      <c r="M176" s="3173" t="s">
        <v>4279</v>
      </c>
      <c r="N176" s="3173" t="s">
        <v>4280</v>
      </c>
      <c r="O176" s="3242">
        <f ca="1">分套结果!X176</f>
        <v>5536</v>
      </c>
      <c r="P176" s="3242">
        <f t="shared" ca="1" si="5"/>
        <v>168958.72</v>
      </c>
      <c r="R176"/>
      <c r="S176"/>
      <c r="T176"/>
    </row>
    <row r="177" spans="1:20" ht="54">
      <c r="A177" s="3173">
        <v>176</v>
      </c>
      <c r="B177" s="3173">
        <v>20240070009</v>
      </c>
      <c r="C177" s="3173"/>
      <c r="D177" s="3173"/>
      <c r="E177" s="3173" t="s">
        <v>4274</v>
      </c>
      <c r="F177" s="3173" t="s">
        <v>4650</v>
      </c>
      <c r="G177" s="3173">
        <v>26.65</v>
      </c>
      <c r="H177" s="3173" t="s">
        <v>672</v>
      </c>
      <c r="I177" s="3173"/>
      <c r="J177" s="3174">
        <v>45364</v>
      </c>
      <c r="K177" s="3173" t="s">
        <v>4277</v>
      </c>
      <c r="L177" s="3173" t="s">
        <v>4278</v>
      </c>
      <c r="M177" s="3173" t="s">
        <v>4279</v>
      </c>
      <c r="N177" s="3173" t="s">
        <v>4280</v>
      </c>
      <c r="O177" s="3242">
        <f ca="1">分套结果!X177</f>
        <v>5536</v>
      </c>
      <c r="P177" s="3242">
        <f t="shared" ca="1" si="5"/>
        <v>147534.39999999999</v>
      </c>
      <c r="R177"/>
      <c r="S177"/>
      <c r="T177"/>
    </row>
    <row r="178" spans="1:20" ht="54">
      <c r="A178" s="3173">
        <v>177</v>
      </c>
      <c r="B178" s="3173">
        <v>20240070009</v>
      </c>
      <c r="C178" s="3173"/>
      <c r="D178" s="3173"/>
      <c r="E178" s="3173" t="s">
        <v>4274</v>
      </c>
      <c r="F178" s="3173" t="s">
        <v>4651</v>
      </c>
      <c r="G178" s="3173">
        <v>56.18</v>
      </c>
      <c r="H178" s="3173" t="s">
        <v>672</v>
      </c>
      <c r="I178" s="3173"/>
      <c r="J178" s="3174">
        <v>45364</v>
      </c>
      <c r="K178" s="3173" t="s">
        <v>4277</v>
      </c>
      <c r="L178" s="3173" t="s">
        <v>4278</v>
      </c>
      <c r="M178" s="3173" t="s">
        <v>4279</v>
      </c>
      <c r="N178" s="3173" t="s">
        <v>4280</v>
      </c>
      <c r="O178" s="3242">
        <f ca="1">分套结果!X178</f>
        <v>5536</v>
      </c>
      <c r="P178" s="3242">
        <f t="shared" ca="1" si="5"/>
        <v>311012.47999999998</v>
      </c>
      <c r="R178"/>
      <c r="S178"/>
      <c r="T178"/>
    </row>
    <row r="179" spans="1:20" ht="54">
      <c r="A179" s="3173">
        <v>178</v>
      </c>
      <c r="B179" s="3173">
        <v>20240070009</v>
      </c>
      <c r="C179" s="3173"/>
      <c r="D179" s="3173"/>
      <c r="E179" s="3173" t="s">
        <v>4274</v>
      </c>
      <c r="F179" s="3173" t="s">
        <v>4652</v>
      </c>
      <c r="G179" s="3173">
        <v>53.03</v>
      </c>
      <c r="H179" s="3173" t="s">
        <v>672</v>
      </c>
      <c r="I179" s="3173"/>
      <c r="J179" s="3174">
        <v>45364</v>
      </c>
      <c r="K179" s="3173" t="s">
        <v>4279</v>
      </c>
      <c r="L179" s="3173" t="s">
        <v>4278</v>
      </c>
      <c r="M179" s="3173" t="s">
        <v>4279</v>
      </c>
      <c r="N179" s="3173" t="s">
        <v>4280</v>
      </c>
      <c r="O179" s="3242">
        <f ca="1">分套结果!X179</f>
        <v>5536</v>
      </c>
      <c r="P179" s="3242">
        <f t="shared" ca="1" si="5"/>
        <v>293574.08</v>
      </c>
      <c r="R179"/>
      <c r="S179"/>
      <c r="T179"/>
    </row>
    <row r="180" spans="1:20" ht="54">
      <c r="A180" s="3173">
        <v>179</v>
      </c>
      <c r="B180" s="3173">
        <v>20240070009</v>
      </c>
      <c r="C180" s="3173"/>
      <c r="D180" s="3173"/>
      <c r="E180" s="3173" t="s">
        <v>4274</v>
      </c>
      <c r="F180" s="3173" t="s">
        <v>4653</v>
      </c>
      <c r="G180" s="3173">
        <v>74.010000000000005</v>
      </c>
      <c r="H180" s="3173" t="s">
        <v>672</v>
      </c>
      <c r="I180" s="3173"/>
      <c r="J180" s="3174">
        <v>45364</v>
      </c>
      <c r="K180" s="3173" t="s">
        <v>4277</v>
      </c>
      <c r="L180" s="3173" t="s">
        <v>4278</v>
      </c>
      <c r="M180" s="3173" t="s">
        <v>4279</v>
      </c>
      <c r="N180" s="3173" t="s">
        <v>4280</v>
      </c>
      <c r="O180" s="3242">
        <f ca="1">分套结果!X180</f>
        <v>5536</v>
      </c>
      <c r="P180" s="3242">
        <f t="shared" ca="1" si="5"/>
        <v>409719.36000000004</v>
      </c>
      <c r="R180"/>
      <c r="S180"/>
      <c r="T180"/>
    </row>
    <row r="181" spans="1:20" ht="54">
      <c r="A181" s="3173">
        <v>180</v>
      </c>
      <c r="B181" s="3173">
        <v>20240070009</v>
      </c>
      <c r="C181" s="3173"/>
      <c r="D181" s="3173"/>
      <c r="E181" s="3173" t="s">
        <v>4274</v>
      </c>
      <c r="F181" s="3173" t="s">
        <v>4654</v>
      </c>
      <c r="G181" s="3173">
        <v>57.92</v>
      </c>
      <c r="H181" s="3173" t="s">
        <v>672</v>
      </c>
      <c r="I181" s="3173"/>
      <c r="J181" s="3174">
        <v>45364</v>
      </c>
      <c r="K181" s="3173" t="s">
        <v>4277</v>
      </c>
      <c r="L181" s="3173" t="s">
        <v>4278</v>
      </c>
      <c r="M181" s="3173" t="s">
        <v>4279</v>
      </c>
      <c r="N181" s="3173" t="s">
        <v>4280</v>
      </c>
      <c r="O181" s="3242">
        <f ca="1">分套结果!X181</f>
        <v>5536</v>
      </c>
      <c r="P181" s="3242">
        <f t="shared" ca="1" si="5"/>
        <v>320645.12</v>
      </c>
      <c r="R181"/>
      <c r="S181"/>
      <c r="T181"/>
    </row>
    <row r="182" spans="1:20" ht="54">
      <c r="A182" s="3234">
        <v>181</v>
      </c>
      <c r="B182" s="3234">
        <v>20240070009</v>
      </c>
      <c r="C182" s="3234"/>
      <c r="D182" s="3234"/>
      <c r="E182" s="3234" t="s">
        <v>4274</v>
      </c>
      <c r="F182" s="3234" t="s">
        <v>4655</v>
      </c>
      <c r="G182" s="3234">
        <v>13.22</v>
      </c>
      <c r="H182" s="3234" t="s">
        <v>4637</v>
      </c>
      <c r="I182" s="3234"/>
      <c r="J182" s="3235">
        <v>45364</v>
      </c>
      <c r="K182" s="3234" t="s">
        <v>4277</v>
      </c>
      <c r="L182" s="3234" t="s">
        <v>4278</v>
      </c>
      <c r="M182" s="3234" t="s">
        <v>4279</v>
      </c>
      <c r="N182" s="3234" t="s">
        <v>4280</v>
      </c>
      <c r="O182" s="3242">
        <f ca="1">分套结果!X182</f>
        <v>2220</v>
      </c>
      <c r="P182" s="3242">
        <f t="shared" ca="1" si="5"/>
        <v>29348.400000000001</v>
      </c>
      <c r="R182"/>
      <c r="S182"/>
      <c r="T182"/>
    </row>
    <row r="183" spans="1:20" ht="54">
      <c r="A183" s="3173">
        <v>182</v>
      </c>
      <c r="B183" s="3173">
        <v>20240070009</v>
      </c>
      <c r="C183" s="3173"/>
      <c r="D183" s="3173"/>
      <c r="E183" s="3173" t="s">
        <v>4274</v>
      </c>
      <c r="F183" s="3173" t="s">
        <v>4656</v>
      </c>
      <c r="G183" s="3173">
        <v>69.16</v>
      </c>
      <c r="H183" s="3173" t="s">
        <v>672</v>
      </c>
      <c r="I183" s="3173"/>
      <c r="J183" s="3174">
        <v>45364</v>
      </c>
      <c r="K183" s="3173" t="s">
        <v>4277</v>
      </c>
      <c r="L183" s="3173" t="s">
        <v>4278</v>
      </c>
      <c r="M183" s="3173" t="s">
        <v>4279</v>
      </c>
      <c r="N183" s="3173" t="s">
        <v>4280</v>
      </c>
      <c r="O183" s="3242">
        <f ca="1">分套结果!X183</f>
        <v>5536</v>
      </c>
      <c r="P183" s="3242">
        <f t="shared" ca="1" si="5"/>
        <v>382869.76000000001</v>
      </c>
      <c r="R183"/>
      <c r="S183"/>
      <c r="T183"/>
    </row>
    <row r="184" spans="1:20" ht="54">
      <c r="A184" s="3173">
        <v>183</v>
      </c>
      <c r="B184" s="3173">
        <v>20240070009</v>
      </c>
      <c r="C184" s="3173"/>
      <c r="D184" s="3173"/>
      <c r="E184" s="3173" t="s">
        <v>4274</v>
      </c>
      <c r="F184" s="3173" t="s">
        <v>4657</v>
      </c>
      <c r="G184" s="3173">
        <v>79.47</v>
      </c>
      <c r="H184" s="3173" t="s">
        <v>672</v>
      </c>
      <c r="I184" s="3173"/>
      <c r="J184" s="3174">
        <v>45364</v>
      </c>
      <c r="K184" s="3173" t="s">
        <v>4277</v>
      </c>
      <c r="L184" s="3173" t="s">
        <v>4278</v>
      </c>
      <c r="M184" s="3173" t="s">
        <v>4279</v>
      </c>
      <c r="N184" s="3173" t="s">
        <v>4280</v>
      </c>
      <c r="O184" s="3242">
        <f ca="1">分套结果!X184</f>
        <v>5536</v>
      </c>
      <c r="P184" s="3242">
        <f t="shared" ca="1" si="5"/>
        <v>439945.92</v>
      </c>
    </row>
    <row r="185" spans="1:20" ht="54">
      <c r="A185" s="3173">
        <v>184</v>
      </c>
      <c r="B185" s="3173">
        <v>20240070009</v>
      </c>
      <c r="C185" s="3173"/>
      <c r="D185" s="3173"/>
      <c r="E185" s="3173" t="s">
        <v>4274</v>
      </c>
      <c r="F185" s="3173" t="s">
        <v>4658</v>
      </c>
      <c r="G185" s="3173">
        <v>59.05</v>
      </c>
      <c r="H185" s="3173" t="s">
        <v>672</v>
      </c>
      <c r="I185" s="3173"/>
      <c r="J185" s="3174">
        <v>45364</v>
      </c>
      <c r="K185" s="3173" t="s">
        <v>4277</v>
      </c>
      <c r="L185" s="3173" t="s">
        <v>4278</v>
      </c>
      <c r="M185" s="3173" t="s">
        <v>4279</v>
      </c>
      <c r="N185" s="3173" t="s">
        <v>4280</v>
      </c>
      <c r="O185" s="3242">
        <f ca="1">分套结果!X185</f>
        <v>5536</v>
      </c>
      <c r="P185" s="3242">
        <f t="shared" ca="1" si="5"/>
        <v>326900.8</v>
      </c>
    </row>
    <row r="186" spans="1:20" ht="54">
      <c r="A186" s="3173">
        <v>185</v>
      </c>
      <c r="B186" s="3173">
        <v>20240070009</v>
      </c>
      <c r="C186" s="3173"/>
      <c r="D186" s="3173"/>
      <c r="E186" s="3173" t="s">
        <v>4274</v>
      </c>
      <c r="F186" s="3173" t="s">
        <v>4659</v>
      </c>
      <c r="G186" s="3173">
        <v>62.16</v>
      </c>
      <c r="H186" s="3173" t="s">
        <v>672</v>
      </c>
      <c r="I186" s="3173"/>
      <c r="J186" s="3174">
        <v>45364</v>
      </c>
      <c r="K186" s="3173" t="s">
        <v>4277</v>
      </c>
      <c r="L186" s="3173" t="s">
        <v>4278</v>
      </c>
      <c r="M186" s="3173" t="s">
        <v>4279</v>
      </c>
      <c r="N186" s="3173" t="s">
        <v>4280</v>
      </c>
      <c r="O186" s="3242">
        <f ca="1">分套结果!X186</f>
        <v>5536</v>
      </c>
      <c r="P186" s="3242">
        <f t="shared" ca="1" si="5"/>
        <v>344117.76000000001</v>
      </c>
    </row>
    <row r="187" spans="1:20" ht="54">
      <c r="A187" s="3173">
        <v>186</v>
      </c>
      <c r="B187" s="3173">
        <v>20240070009</v>
      </c>
      <c r="C187" s="3173"/>
      <c r="D187" s="3173"/>
      <c r="E187" s="3173" t="s">
        <v>4274</v>
      </c>
      <c r="F187" s="3173" t="s">
        <v>4660</v>
      </c>
      <c r="G187" s="3173">
        <v>43.01</v>
      </c>
      <c r="H187" s="3173" t="s">
        <v>672</v>
      </c>
      <c r="I187" s="3173"/>
      <c r="J187" s="3174">
        <v>45364</v>
      </c>
      <c r="K187" s="3173" t="s">
        <v>4277</v>
      </c>
      <c r="L187" s="3173" t="s">
        <v>4278</v>
      </c>
      <c r="M187" s="3173" t="s">
        <v>4279</v>
      </c>
      <c r="N187" s="3173" t="s">
        <v>4280</v>
      </c>
      <c r="O187" s="3242">
        <f ca="1">分套结果!X187</f>
        <v>5536</v>
      </c>
      <c r="P187" s="3242">
        <f t="shared" ca="1" si="5"/>
        <v>238103.36</v>
      </c>
    </row>
    <row r="188" spans="1:20" ht="54">
      <c r="A188" s="3173">
        <v>187</v>
      </c>
      <c r="B188" s="3173">
        <v>20240070009</v>
      </c>
      <c r="C188" s="3173"/>
      <c r="D188" s="3173"/>
      <c r="E188" s="3173" t="s">
        <v>4274</v>
      </c>
      <c r="F188" s="3173" t="s">
        <v>4661</v>
      </c>
      <c r="G188" s="3173">
        <v>59.83</v>
      </c>
      <c r="H188" s="3173" t="s">
        <v>672</v>
      </c>
      <c r="I188" s="3173"/>
      <c r="J188" s="3174">
        <v>45364</v>
      </c>
      <c r="K188" s="3173" t="s">
        <v>4277</v>
      </c>
      <c r="L188" s="3173" t="s">
        <v>4278</v>
      </c>
      <c r="M188" s="3173" t="s">
        <v>4279</v>
      </c>
      <c r="N188" s="3173" t="s">
        <v>4280</v>
      </c>
      <c r="O188" s="3242">
        <f ca="1">分套结果!X188</f>
        <v>5536</v>
      </c>
      <c r="P188" s="3242">
        <f t="shared" ca="1" si="5"/>
        <v>331218.88</v>
      </c>
    </row>
    <row r="189" spans="1:20" ht="54">
      <c r="A189" s="3173">
        <v>188</v>
      </c>
      <c r="B189" s="3173">
        <v>20240070009</v>
      </c>
      <c r="C189" s="3173"/>
      <c r="D189" s="3173"/>
      <c r="E189" s="3173" t="s">
        <v>4274</v>
      </c>
      <c r="F189" s="3173" t="s">
        <v>4662</v>
      </c>
      <c r="G189" s="3173">
        <v>59.83</v>
      </c>
      <c r="H189" s="3173" t="s">
        <v>672</v>
      </c>
      <c r="I189" s="3173"/>
      <c r="J189" s="3174">
        <v>45364</v>
      </c>
      <c r="K189" s="3173" t="s">
        <v>4277</v>
      </c>
      <c r="L189" s="3173" t="s">
        <v>4278</v>
      </c>
      <c r="M189" s="3173" t="s">
        <v>4279</v>
      </c>
      <c r="N189" s="3173" t="s">
        <v>4280</v>
      </c>
      <c r="O189" s="3242">
        <f ca="1">分套结果!X189</f>
        <v>5536</v>
      </c>
      <c r="P189" s="3242">
        <f t="shared" ca="1" si="5"/>
        <v>331218.88</v>
      </c>
    </row>
    <row r="190" spans="1:20" ht="54">
      <c r="A190" s="3173">
        <v>189</v>
      </c>
      <c r="B190" s="3173">
        <v>20240070009</v>
      </c>
      <c r="C190" s="3173"/>
      <c r="D190" s="3173"/>
      <c r="E190" s="3173" t="s">
        <v>4274</v>
      </c>
      <c r="F190" s="3173" t="s">
        <v>4663</v>
      </c>
      <c r="G190" s="3173">
        <v>66.89</v>
      </c>
      <c r="H190" s="3173" t="s">
        <v>672</v>
      </c>
      <c r="I190" s="3173"/>
      <c r="J190" s="3174">
        <v>45364</v>
      </c>
      <c r="K190" s="3173" t="s">
        <v>4277</v>
      </c>
      <c r="L190" s="3173" t="s">
        <v>4297</v>
      </c>
      <c r="M190" s="3173" t="s">
        <v>4279</v>
      </c>
      <c r="N190" s="3173" t="s">
        <v>4280</v>
      </c>
      <c r="O190" s="3242">
        <f ca="1">分套结果!X190</f>
        <v>5536</v>
      </c>
      <c r="P190" s="3242">
        <f t="shared" ca="1" si="5"/>
        <v>370303.04</v>
      </c>
    </row>
    <row r="191" spans="1:20" ht="54">
      <c r="A191" s="3173">
        <v>190</v>
      </c>
      <c r="B191" s="3173">
        <v>20240070009</v>
      </c>
      <c r="C191" s="3173"/>
      <c r="D191" s="3173"/>
      <c r="E191" s="3173" t="s">
        <v>4274</v>
      </c>
      <c r="F191" s="3173" t="s">
        <v>4664</v>
      </c>
      <c r="G191" s="3173">
        <v>21.5</v>
      </c>
      <c r="H191" s="3173" t="s">
        <v>672</v>
      </c>
      <c r="I191" s="3173"/>
      <c r="J191" s="3174">
        <v>45364</v>
      </c>
      <c r="K191" s="3173" t="s">
        <v>4277</v>
      </c>
      <c r="L191" s="3173" t="s">
        <v>4297</v>
      </c>
      <c r="M191" s="3173" t="s">
        <v>4279</v>
      </c>
      <c r="N191" s="3173" t="s">
        <v>4280</v>
      </c>
      <c r="O191" s="3242">
        <f ca="1">分套结果!X191</f>
        <v>5536</v>
      </c>
      <c r="P191" s="3242">
        <f t="shared" ca="1" si="5"/>
        <v>119024</v>
      </c>
    </row>
    <row r="192" spans="1:20" ht="54">
      <c r="A192" s="3173">
        <v>191</v>
      </c>
      <c r="B192" s="3173">
        <v>20240070009</v>
      </c>
      <c r="C192" s="3173"/>
      <c r="D192" s="3173"/>
      <c r="E192" s="3173" t="s">
        <v>4274</v>
      </c>
      <c r="F192" s="3173" t="s">
        <v>4665</v>
      </c>
      <c r="G192" s="3173">
        <v>26.65</v>
      </c>
      <c r="H192" s="3173" t="s">
        <v>672</v>
      </c>
      <c r="I192" s="3173"/>
      <c r="J192" s="3174">
        <v>45364</v>
      </c>
      <c r="K192" s="3173" t="s">
        <v>4277</v>
      </c>
      <c r="L192" s="3173" t="s">
        <v>4297</v>
      </c>
      <c r="M192" s="3173" t="s">
        <v>4279</v>
      </c>
      <c r="N192" s="3173" t="s">
        <v>4280</v>
      </c>
      <c r="O192" s="3242">
        <f ca="1">分套结果!X192</f>
        <v>5536</v>
      </c>
      <c r="P192" s="3242">
        <f t="shared" ca="1" si="5"/>
        <v>147534.39999999999</v>
      </c>
    </row>
    <row r="193" spans="1:16" ht="54">
      <c r="A193" s="3173">
        <v>192</v>
      </c>
      <c r="B193" s="3173">
        <v>20240070009</v>
      </c>
      <c r="C193" s="3173"/>
      <c r="D193" s="3173"/>
      <c r="E193" s="3173" t="s">
        <v>4274</v>
      </c>
      <c r="F193" s="3173" t="s">
        <v>4666</v>
      </c>
      <c r="G193" s="3173">
        <v>32.049999999999997</v>
      </c>
      <c r="H193" s="3173" t="s">
        <v>672</v>
      </c>
      <c r="I193" s="3173"/>
      <c r="J193" s="3174">
        <v>45364</v>
      </c>
      <c r="K193" s="3173" t="s">
        <v>4277</v>
      </c>
      <c r="L193" s="3173" t="s">
        <v>4297</v>
      </c>
      <c r="M193" s="3173" t="s">
        <v>4279</v>
      </c>
      <c r="N193" s="3173" t="s">
        <v>4280</v>
      </c>
      <c r="O193" s="3242">
        <f ca="1">分套结果!X193</f>
        <v>5536</v>
      </c>
      <c r="P193" s="3242">
        <f t="shared" ca="1" si="5"/>
        <v>177428.8</v>
      </c>
    </row>
    <row r="194" spans="1:16" ht="54">
      <c r="A194" s="3173">
        <v>193</v>
      </c>
      <c r="B194" s="3173">
        <v>20240070009</v>
      </c>
      <c r="C194" s="3173"/>
      <c r="D194" s="3173"/>
      <c r="E194" s="3173" t="s">
        <v>4274</v>
      </c>
      <c r="F194" s="3173" t="s">
        <v>4667</v>
      </c>
      <c r="G194" s="3173">
        <v>21.5</v>
      </c>
      <c r="H194" s="3173" t="s">
        <v>672</v>
      </c>
      <c r="I194" s="3173"/>
      <c r="J194" s="3174">
        <v>45364</v>
      </c>
      <c r="K194" s="3173" t="s">
        <v>4277</v>
      </c>
      <c r="L194" s="3173" t="s">
        <v>4297</v>
      </c>
      <c r="M194" s="3173" t="s">
        <v>4279</v>
      </c>
      <c r="N194" s="3173" t="s">
        <v>4280</v>
      </c>
      <c r="O194" s="3242">
        <f ca="1">分套结果!X194</f>
        <v>5536</v>
      </c>
      <c r="P194" s="3242">
        <f t="shared" ca="1" si="5"/>
        <v>119024</v>
      </c>
    </row>
    <row r="195" spans="1:16" ht="54">
      <c r="A195" s="3173">
        <v>194</v>
      </c>
      <c r="B195" s="3173">
        <v>20240070009</v>
      </c>
      <c r="C195" s="3173"/>
      <c r="D195" s="3173"/>
      <c r="E195" s="3173" t="s">
        <v>4274</v>
      </c>
      <c r="F195" s="3173" t="s">
        <v>4668</v>
      </c>
      <c r="G195" s="3173">
        <v>56.19</v>
      </c>
      <c r="H195" s="3173" t="s">
        <v>672</v>
      </c>
      <c r="I195" s="3173"/>
      <c r="J195" s="3174">
        <v>45364</v>
      </c>
      <c r="K195" s="3173" t="s">
        <v>4277</v>
      </c>
      <c r="L195" s="3173" t="s">
        <v>4644</v>
      </c>
      <c r="M195" s="3173" t="s">
        <v>4279</v>
      </c>
      <c r="N195" s="3173" t="s">
        <v>4280</v>
      </c>
      <c r="O195" s="3242">
        <f ca="1">分套结果!X195</f>
        <v>5536</v>
      </c>
      <c r="P195" s="3242">
        <f t="shared" ca="1" si="5"/>
        <v>311067.83999999997</v>
      </c>
    </row>
    <row r="196" spans="1:16" ht="54">
      <c r="A196" s="3173">
        <v>195</v>
      </c>
      <c r="B196" s="3173">
        <v>20240070009</v>
      </c>
      <c r="C196" s="3173"/>
      <c r="D196" s="3173"/>
      <c r="E196" s="3173" t="s">
        <v>4274</v>
      </c>
      <c r="F196" s="3173" t="s">
        <v>4669</v>
      </c>
      <c r="G196" s="3173">
        <v>63.02</v>
      </c>
      <c r="H196" s="3173" t="s">
        <v>672</v>
      </c>
      <c r="I196" s="3173"/>
      <c r="J196" s="3174">
        <v>45364</v>
      </c>
      <c r="K196" s="3173" t="s">
        <v>4277</v>
      </c>
      <c r="L196" s="3173" t="s">
        <v>4644</v>
      </c>
      <c r="M196" s="3173" t="s">
        <v>4279</v>
      </c>
      <c r="N196" s="3173" t="s">
        <v>4280</v>
      </c>
      <c r="O196" s="3242">
        <f ca="1">分套结果!X196</f>
        <v>5536</v>
      </c>
      <c r="P196" s="3242">
        <f t="shared" ca="1" si="5"/>
        <v>348878.72000000003</v>
      </c>
    </row>
    <row r="197" spans="1:16" ht="54">
      <c r="A197" s="3173">
        <v>196</v>
      </c>
      <c r="B197" s="3173">
        <v>20240070009</v>
      </c>
      <c r="C197" s="3173"/>
      <c r="D197" s="3173"/>
      <c r="E197" s="3173" t="s">
        <v>4274</v>
      </c>
      <c r="F197" s="3173" t="s">
        <v>4670</v>
      </c>
      <c r="G197" s="3173">
        <v>54.55</v>
      </c>
      <c r="H197" s="3173" t="s">
        <v>672</v>
      </c>
      <c r="I197" s="3173"/>
      <c r="J197" s="3174">
        <v>45364</v>
      </c>
      <c r="K197" s="3173" t="s">
        <v>4277</v>
      </c>
      <c r="L197" s="3173" t="s">
        <v>4644</v>
      </c>
      <c r="M197" s="3173" t="s">
        <v>4279</v>
      </c>
      <c r="N197" s="3173" t="s">
        <v>4280</v>
      </c>
      <c r="O197" s="3242">
        <f ca="1">分套结果!X197</f>
        <v>5536</v>
      </c>
      <c r="P197" s="3242">
        <f t="shared" ca="1" si="5"/>
        <v>301988.8</v>
      </c>
    </row>
    <row r="198" spans="1:16" ht="54">
      <c r="A198" s="3173">
        <v>197</v>
      </c>
      <c r="B198" s="3173">
        <v>20240070009</v>
      </c>
      <c r="C198" s="3173"/>
      <c r="D198" s="3173"/>
      <c r="E198" s="3173" t="s">
        <v>4274</v>
      </c>
      <c r="F198" s="3173" t="s">
        <v>4671</v>
      </c>
      <c r="G198" s="3173">
        <v>54.66</v>
      </c>
      <c r="H198" s="3173" t="s">
        <v>672</v>
      </c>
      <c r="I198" s="3173"/>
      <c r="J198" s="3174">
        <v>45364</v>
      </c>
      <c r="K198" s="3173" t="s">
        <v>4277</v>
      </c>
      <c r="L198" s="3173" t="s">
        <v>4297</v>
      </c>
      <c r="M198" s="3173" t="s">
        <v>4279</v>
      </c>
      <c r="N198" s="3173" t="s">
        <v>4280</v>
      </c>
      <c r="O198" s="3242">
        <f ca="1">分套结果!X198</f>
        <v>5536</v>
      </c>
      <c r="P198" s="3242">
        <f t="shared" ca="1" si="5"/>
        <v>302597.76000000001</v>
      </c>
    </row>
    <row r="199" spans="1:16" ht="54">
      <c r="A199" s="3173">
        <v>198</v>
      </c>
      <c r="B199" s="3173">
        <v>20240070009</v>
      </c>
      <c r="C199" s="3173"/>
      <c r="D199" s="3173"/>
      <c r="E199" s="3173" t="s">
        <v>4274</v>
      </c>
      <c r="F199" s="3173" t="s">
        <v>4672</v>
      </c>
      <c r="G199" s="3173">
        <v>75.459999999999994</v>
      </c>
      <c r="H199" s="3173" t="s">
        <v>672</v>
      </c>
      <c r="I199" s="3173"/>
      <c r="J199" s="3174">
        <v>45364</v>
      </c>
      <c r="K199" s="3173" t="s">
        <v>4277</v>
      </c>
      <c r="L199" s="3173" t="s">
        <v>4644</v>
      </c>
      <c r="M199" s="3173" t="s">
        <v>4279</v>
      </c>
      <c r="N199" s="3173" t="s">
        <v>4280</v>
      </c>
      <c r="O199" s="3242">
        <f ca="1">分套结果!X199</f>
        <v>5536</v>
      </c>
      <c r="P199" s="3242">
        <f t="shared" ca="1" si="5"/>
        <v>417746.55999999994</v>
      </c>
    </row>
    <row r="200" spans="1:16" ht="54">
      <c r="A200" s="3173">
        <v>199</v>
      </c>
      <c r="B200" s="3173">
        <v>20240070009</v>
      </c>
      <c r="C200" s="3173"/>
      <c r="D200" s="3173"/>
      <c r="E200" s="3173" t="s">
        <v>4274</v>
      </c>
      <c r="F200" s="3173" t="s">
        <v>4673</v>
      </c>
      <c r="G200" s="3173">
        <v>59.13</v>
      </c>
      <c r="H200" s="3173" t="s">
        <v>672</v>
      </c>
      <c r="I200" s="3173"/>
      <c r="J200" s="3174">
        <v>45364</v>
      </c>
      <c r="K200" s="3173" t="s">
        <v>4277</v>
      </c>
      <c r="L200" s="3173" t="s">
        <v>4278</v>
      </c>
      <c r="M200" s="3173" t="s">
        <v>4279</v>
      </c>
      <c r="N200" s="3173" t="s">
        <v>4280</v>
      </c>
      <c r="O200" s="3242">
        <f ca="1">分套结果!X200</f>
        <v>5536</v>
      </c>
      <c r="P200" s="3242">
        <f t="shared" ca="1" si="5"/>
        <v>327343.68</v>
      </c>
    </row>
    <row r="201" spans="1:16" ht="54">
      <c r="F201" s="3224" t="s">
        <v>2590</v>
      </c>
      <c r="G201" s="3228">
        <f>SUM(G2:G200)</f>
        <v>9981.0600000000013</v>
      </c>
      <c r="I201" s="3173"/>
      <c r="J201" s="3174">
        <v>45364</v>
      </c>
      <c r="K201" s="3173" t="s">
        <v>4277</v>
      </c>
      <c r="L201" s="3173" t="s">
        <v>4278</v>
      </c>
      <c r="M201" s="3173" t="s">
        <v>4279</v>
      </c>
      <c r="N201" s="3173" t="s">
        <v>4280</v>
      </c>
      <c r="P201" s="3242">
        <f ca="1">SUM(P2:P200)</f>
        <v>45444052.29999996</v>
      </c>
    </row>
    <row r="202" spans="1:16" ht="54">
      <c r="I202" s="3173"/>
      <c r="J202" s="3174">
        <v>45364</v>
      </c>
      <c r="K202" s="3173" t="s">
        <v>4277</v>
      </c>
      <c r="L202" s="3173" t="s">
        <v>4278</v>
      </c>
      <c r="M202" s="3173" t="s">
        <v>4279</v>
      </c>
      <c r="N202" s="3173" t="s">
        <v>4280</v>
      </c>
    </row>
    <row r="203" spans="1:16" ht="54">
      <c r="I203" s="3173"/>
      <c r="J203" s="3174">
        <v>45364</v>
      </c>
      <c r="K203" s="3173" t="s">
        <v>4277</v>
      </c>
      <c r="L203" s="3173" t="s">
        <v>4278</v>
      </c>
      <c r="M203" s="3173" t="s">
        <v>4279</v>
      </c>
      <c r="N203" s="3173" t="s">
        <v>4280</v>
      </c>
    </row>
    <row r="204" spans="1:16" ht="54">
      <c r="I204" s="3173"/>
      <c r="J204" s="3174">
        <v>45364</v>
      </c>
      <c r="K204" s="3173" t="s">
        <v>4277</v>
      </c>
      <c r="L204" s="3173" t="s">
        <v>4278</v>
      </c>
      <c r="M204" s="3173" t="s">
        <v>4279</v>
      </c>
      <c r="N204" s="3173" t="s">
        <v>4280</v>
      </c>
    </row>
    <row r="205" spans="1:16" ht="54">
      <c r="I205" s="3173"/>
      <c r="J205" s="3174">
        <v>45364</v>
      </c>
      <c r="K205" s="3173" t="s">
        <v>4277</v>
      </c>
      <c r="L205" s="3173" t="s">
        <v>4278</v>
      </c>
      <c r="M205" s="3173" t="s">
        <v>4279</v>
      </c>
      <c r="N205" s="3173" t="s">
        <v>4280</v>
      </c>
    </row>
    <row r="206" spans="1:16" ht="54">
      <c r="I206" s="3173"/>
      <c r="J206" s="3174">
        <v>45364</v>
      </c>
      <c r="K206" s="3173" t="s">
        <v>4277</v>
      </c>
      <c r="L206" s="3173" t="s">
        <v>4297</v>
      </c>
      <c r="M206" s="3173" t="s">
        <v>4279</v>
      </c>
      <c r="N206" s="3173" t="s">
        <v>4280</v>
      </c>
    </row>
    <row r="207" spans="1:16" ht="54">
      <c r="I207" s="3173"/>
      <c r="J207" s="3174">
        <v>45364</v>
      </c>
      <c r="K207" s="3173" t="s">
        <v>4277</v>
      </c>
      <c r="L207" s="3173" t="s">
        <v>4278</v>
      </c>
      <c r="M207" s="3173" t="s">
        <v>4279</v>
      </c>
      <c r="N207" s="3173" t="s">
        <v>4280</v>
      </c>
    </row>
    <row r="208" spans="1:16" ht="54">
      <c r="I208" s="3173"/>
      <c r="J208" s="3174">
        <v>45364</v>
      </c>
      <c r="K208" s="3173" t="s">
        <v>4277</v>
      </c>
      <c r="L208" s="3173" t="s">
        <v>4278</v>
      </c>
      <c r="M208" s="3173" t="s">
        <v>4279</v>
      </c>
      <c r="N208" s="3173" t="s">
        <v>4280</v>
      </c>
    </row>
    <row r="209" spans="9:14" ht="54">
      <c r="I209" s="3173"/>
      <c r="J209" s="3174">
        <v>45364</v>
      </c>
      <c r="K209" s="3173" t="s">
        <v>4277</v>
      </c>
      <c r="L209" s="3173" t="s">
        <v>4278</v>
      </c>
      <c r="M209" s="3173" t="s">
        <v>4279</v>
      </c>
      <c r="N209" s="3173" t="s">
        <v>4280</v>
      </c>
    </row>
    <row r="210" spans="9:14" ht="54">
      <c r="I210" s="3173"/>
      <c r="J210" s="3174">
        <v>45364</v>
      </c>
      <c r="K210" s="3173" t="s">
        <v>4277</v>
      </c>
      <c r="L210" s="3173" t="s">
        <v>4278</v>
      </c>
      <c r="M210" s="3173" t="s">
        <v>4279</v>
      </c>
      <c r="N210" s="3173" t="s">
        <v>4280</v>
      </c>
    </row>
    <row r="211" spans="9:14" ht="54">
      <c r="I211" s="3173"/>
      <c r="J211" s="3174">
        <v>45364</v>
      </c>
      <c r="K211" s="3173" t="s">
        <v>4277</v>
      </c>
      <c r="L211" s="3173" t="s">
        <v>4278</v>
      </c>
      <c r="M211" s="3173" t="s">
        <v>4279</v>
      </c>
      <c r="N211" s="3173" t="s">
        <v>4280</v>
      </c>
    </row>
    <row r="212" spans="9:14" ht="54">
      <c r="I212" s="3173"/>
      <c r="J212" s="3174">
        <v>45364</v>
      </c>
      <c r="K212" s="3173" t="s">
        <v>4277</v>
      </c>
      <c r="L212" s="3173" t="s">
        <v>4278</v>
      </c>
      <c r="M212" s="3173" t="s">
        <v>4279</v>
      </c>
      <c r="N212" s="3173" t="s">
        <v>4280</v>
      </c>
    </row>
    <row r="213" spans="9:14" ht="54">
      <c r="I213" s="3173"/>
      <c r="J213" s="3174">
        <v>45364</v>
      </c>
      <c r="K213" s="3173" t="s">
        <v>4277</v>
      </c>
      <c r="L213" s="3173" t="s">
        <v>4278</v>
      </c>
      <c r="M213" s="3173" t="s">
        <v>4279</v>
      </c>
      <c r="N213" s="3173" t="s">
        <v>4280</v>
      </c>
    </row>
    <row r="214" spans="9:14" ht="54">
      <c r="I214" s="3173"/>
      <c r="J214" s="3174">
        <v>45364</v>
      </c>
      <c r="K214" s="3173" t="s">
        <v>4277</v>
      </c>
      <c r="L214" s="3173" t="s">
        <v>4278</v>
      </c>
      <c r="M214" s="3173" t="s">
        <v>4279</v>
      </c>
      <c r="N214" s="3173" t="s">
        <v>4280</v>
      </c>
    </row>
    <row r="215" spans="9:14" ht="54">
      <c r="I215" s="3173"/>
      <c r="J215" s="3174">
        <v>45364</v>
      </c>
      <c r="K215" s="3173" t="s">
        <v>4277</v>
      </c>
      <c r="L215" s="3173" t="s">
        <v>4297</v>
      </c>
      <c r="M215" s="3173" t="s">
        <v>4279</v>
      </c>
      <c r="N215" s="3173" t="s">
        <v>4280</v>
      </c>
    </row>
    <row r="216" spans="9:14" ht="54">
      <c r="I216" s="3173"/>
      <c r="J216" s="3174">
        <v>45364</v>
      </c>
      <c r="K216" s="3173" t="s">
        <v>4277</v>
      </c>
      <c r="L216" s="3173" t="s">
        <v>4297</v>
      </c>
      <c r="M216" s="3173" t="s">
        <v>4279</v>
      </c>
      <c r="N216" s="3173" t="s">
        <v>4280</v>
      </c>
    </row>
    <row r="217" spans="9:14" ht="54">
      <c r="I217" s="3173"/>
      <c r="J217" s="3174">
        <v>45364</v>
      </c>
      <c r="K217" s="3173" t="s">
        <v>4277</v>
      </c>
      <c r="L217" s="3173" t="s">
        <v>4297</v>
      </c>
      <c r="M217" s="3173" t="s">
        <v>4279</v>
      </c>
      <c r="N217" s="3173" t="s">
        <v>4280</v>
      </c>
    </row>
    <row r="218" spans="9:14" ht="54">
      <c r="I218" s="3173"/>
      <c r="J218" s="3174">
        <v>45364</v>
      </c>
      <c r="K218" s="3173" t="s">
        <v>4277</v>
      </c>
      <c r="L218" s="3173" t="s">
        <v>4297</v>
      </c>
      <c r="M218" s="3173" t="s">
        <v>4279</v>
      </c>
      <c r="N218" s="3173" t="s">
        <v>4280</v>
      </c>
    </row>
    <row r="219" spans="9:14" ht="54">
      <c r="I219" s="3173"/>
      <c r="J219" s="3174">
        <v>45364</v>
      </c>
      <c r="K219" s="3173" t="s">
        <v>4277</v>
      </c>
      <c r="L219" s="3173" t="s">
        <v>4278</v>
      </c>
      <c r="M219" s="3173" t="s">
        <v>4279</v>
      </c>
      <c r="N219" s="3173" t="s">
        <v>4280</v>
      </c>
    </row>
    <row r="220" spans="9:14" ht="54">
      <c r="I220" s="3173"/>
      <c r="J220" s="3174">
        <v>45364</v>
      </c>
      <c r="K220" s="3173" t="s">
        <v>4277</v>
      </c>
      <c r="L220" s="3173" t="s">
        <v>4278</v>
      </c>
      <c r="M220" s="3173" t="s">
        <v>4279</v>
      </c>
      <c r="N220" s="3173" t="s">
        <v>4280</v>
      </c>
    </row>
    <row r="221" spans="9:14" ht="54">
      <c r="I221" s="3173"/>
      <c r="J221" s="3174">
        <v>45364</v>
      </c>
      <c r="K221" s="3173" t="s">
        <v>4277</v>
      </c>
      <c r="L221" s="3173" t="s">
        <v>4278</v>
      </c>
      <c r="M221" s="3173" t="s">
        <v>4279</v>
      </c>
      <c r="N221" s="3173" t="s">
        <v>4280</v>
      </c>
    </row>
    <row r="222" spans="9:14" ht="54">
      <c r="I222" s="3173"/>
      <c r="J222" s="3174">
        <v>45364</v>
      </c>
      <c r="K222" s="3173" t="s">
        <v>4277</v>
      </c>
      <c r="L222" s="3173" t="s">
        <v>4278</v>
      </c>
      <c r="M222" s="3173" t="s">
        <v>4279</v>
      </c>
      <c r="N222" s="3173" t="s">
        <v>4280</v>
      </c>
    </row>
    <row r="223" spans="9:14" ht="54">
      <c r="I223" s="3173"/>
      <c r="J223" s="3174">
        <v>45364</v>
      </c>
      <c r="K223" s="3173" t="s">
        <v>4277</v>
      </c>
      <c r="L223" s="3173" t="s">
        <v>4278</v>
      </c>
      <c r="M223" s="3173" t="s">
        <v>4279</v>
      </c>
      <c r="N223" s="3173" t="s">
        <v>4280</v>
      </c>
    </row>
    <row r="224" spans="9:14" ht="54">
      <c r="I224" s="3173"/>
      <c r="J224" s="3174">
        <v>45364</v>
      </c>
      <c r="K224" s="3173" t="s">
        <v>4277</v>
      </c>
      <c r="L224" s="3173" t="s">
        <v>4278</v>
      </c>
      <c r="M224" s="3173" t="s">
        <v>4279</v>
      </c>
      <c r="N224" s="3173" t="s">
        <v>4280</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6" t="str">
        <f>项目基本情况!B1</f>
        <v>房地产市场价值预评估</v>
      </c>
      <c r="C37" s="3246"/>
      <c r="D37" s="3246"/>
      <c r="E37" s="3246"/>
      <c r="F37" s="3246"/>
      <c r="G37" s="3246"/>
      <c r="H37" s="3246"/>
      <c r="I37" s="32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4764</v>
      </c>
      <c r="D4" s="1626" t="s">
        <v>4916</v>
      </c>
      <c r="E4" s="3410" t="s">
        <v>1265</v>
      </c>
      <c r="F4" s="3411"/>
      <c r="G4" s="3411"/>
      <c r="H4" s="3411"/>
      <c r="I4" s="3412"/>
      <c r="K4" s="138" t="str">
        <f>IF(ISNUMBER(FIND("比较法",'结果表-2号楼1层商业'!C4)),"比较法",IF(ISNUMBER(FIND("成本法",'结果表-2号楼1层商业'!C4)),"成本法",IF(ISNUMBER(FIND("假设开发法",'结果表-2号楼1层商业'!C4)),"假设开发法",IF(ISNUMBER(FIND("收益法",'结果表-2号楼1层商业'!C4)),"收益法","基准地价系数修正法"))))</f>
        <v>收益法</v>
      </c>
      <c r="L4" s="138" t="str">
        <f>IF(ISNUMBER(FIND("比较法",'结果表-2号楼1层商业'!D4)),"比较法",IF(ISNUMBER(FIND("成本法",'结果表-2号楼1层商业'!D4)),"成本法",IF(ISNUMBER(FIND("假设开发法",'结果表-2号楼1层商业'!D4)),"假设开发法",IF(ISNUMBER(FIND("收益法",'结果表-2号楼1层商业'!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SUMIF(INDIRECT("'"&amp;C4&amp;"'"&amp;"!A:A"),'结果表-2号楼1层商业'!B19,INDIRECT("'"&amp;C4&amp;"'"&amp;"!B:B"))</f>
        <v>273.6422</v>
      </c>
      <c r="D19" s="127">
        <f ca="1">SUMIF(INDIRECT("'"&amp;D4&amp;"'"&amp;"!A:A"),'结果表-2号楼1层商业'!B19,INDIRECT("'"&amp;D4&amp;"'"&amp;"!B:B"))</f>
        <v>345.62520000000001</v>
      </c>
      <c r="E19" s="1630" t="s">
        <v>1290</v>
      </c>
      <c r="F19" s="1631" t="s">
        <v>1289</v>
      </c>
      <c r="G19" s="128">
        <f ca="1">ROUND(C19*$C$18+D19*$D$18,0)</f>
        <v>295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SUMIF(INDIRECT("'"&amp;C4&amp;"'"&amp;"!A:A"),'结果表-2号楼1层商业'!B20,INDIRECT("'"&amp;C4&amp;"'"&amp;"!B:B"))</f>
        <v>15786</v>
      </c>
      <c r="D20" s="130">
        <f ca="1">SUMIF(INDIRECT("'"&amp;D4&amp;"'"&amp;"!A:A"),'结果表-2号楼1层商业'!B20,INDIRECT("'"&amp;D4&amp;"'"&amp;"!B:B"))</f>
        <v>19938</v>
      </c>
      <c r="E20" s="1633"/>
      <c r="F20" s="43" t="s">
        <v>1293</v>
      </c>
      <c r="G20" s="131">
        <f ca="1">ROUND(C20*$C$18+D20*$D$18,0)</f>
        <v>17032</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0.26305518666346051</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17032</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IF(AND(J55="",J56=""),4,IF(项目基本情况!K6="上海银行",'结果表-2号楼1层商业'!J56+1,'结果表-2号楼1层商业'!J55+1))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(元)-商业</v>
      </c>
      <c r="D101" s="2372" t="str">
        <f>D4</f>
        <v>比较法-商业</v>
      </c>
      <c r="E101" s="3341" t="s">
        <v>1429</v>
      </c>
      <c r="F101" s="3342"/>
      <c r="G101" s="1687" t="s">
        <v>1430</v>
      </c>
      <c r="H101" s="2381" t="e">
        <f ca="1">H118</f>
        <v>#REF!</v>
      </c>
      <c r="I101" s="121"/>
    </row>
    <row r="102" spans="1:35" ht="18.75" customHeight="1">
      <c r="A102" s="3373" t="s">
        <v>1431</v>
      </c>
      <c r="B102" s="2370" t="s">
        <v>1430</v>
      </c>
      <c r="C102" s="2371">
        <f ca="1">IF(D32="楼面单价",ROUND(C19,0),C19)</f>
        <v>273.6422</v>
      </c>
      <c r="D102" s="2372">
        <f ca="1">IF(D32="楼面单价",ROUND(D19,0),D19)</f>
        <v>345.62520000000001</v>
      </c>
      <c r="E102" s="3341"/>
      <c r="F102" s="3342"/>
      <c r="G102" s="1687" t="s">
        <v>1432</v>
      </c>
      <c r="H102" s="2341" t="e">
        <f ca="1">I118</f>
        <v>#REF!</v>
      </c>
      <c r="I102" s="121"/>
    </row>
    <row r="103" spans="1:35" ht="42.75" customHeight="1">
      <c r="A103" s="3373"/>
      <c r="B103" s="2370" t="s">
        <v>1432</v>
      </c>
      <c r="C103" s="2373">
        <f ca="1">C20</f>
        <v>15786</v>
      </c>
      <c r="D103" s="2374">
        <f ca="1">D20</f>
        <v>19938</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4476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3780</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4039</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3503</v>
      </c>
      <c r="D34" s="209"/>
      <c r="E34" s="212"/>
      <c r="F34" s="249">
        <f ca="1">IF('数据-取费表'!B24=0,1,IF(B1="",'数据-取费表'!N16,INDIRECT("'数据-取费表'!n"&amp;$G$1)))</f>
        <v>1</v>
      </c>
      <c r="G34" s="211" t="s">
        <v>1524</v>
      </c>
    </row>
    <row r="35" spans="1:7" ht="13.5" customHeight="1">
      <c r="A35" s="734" t="s">
        <v>351</v>
      </c>
      <c r="B35" s="207" t="s">
        <v>1525</v>
      </c>
      <c r="C35" s="212">
        <f ca="1">ROUND(C34*F35,0)</f>
        <v>175</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70</v>
      </c>
      <c r="D38" s="212"/>
      <c r="E38" s="212"/>
      <c r="F38" s="251">
        <f>'数据-取费表'!B36</f>
        <v>0.02</v>
      </c>
      <c r="G38" s="211" t="s">
        <v>1526</v>
      </c>
    </row>
    <row r="39" spans="1:7" s="206" customFormat="1" ht="13.5" customHeight="1">
      <c r="A39" s="247" t="s">
        <v>1532</v>
      </c>
      <c r="B39" s="202" t="s">
        <v>1533</v>
      </c>
      <c r="C39" s="224">
        <f ca="1">ROUND(C33*F20,0)</f>
        <v>40</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127</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126</v>
      </c>
      <c r="D42" s="230"/>
      <c r="E42" s="230"/>
      <c r="F42" s="231"/>
      <c r="G42" s="3428" t="s">
        <v>1542</v>
      </c>
    </row>
    <row r="43" spans="1:7" ht="13.5" customHeight="1">
      <c r="A43" s="734" t="s">
        <v>347</v>
      </c>
      <c r="B43" s="207" t="s">
        <v>1543</v>
      </c>
      <c r="C43" s="230">
        <f ca="1">ROUND(IF('数据-取费表'!B22&lt;=1,C39*F22*'数据-取费表'!B21/2,C39*(POWER((1+F22),'数据-取费表'!B21/2)-1)),0)</f>
        <v>1</v>
      </c>
      <c r="D43" s="230"/>
      <c r="E43" s="230"/>
      <c r="F43" s="231"/>
      <c r="G43" s="3429"/>
    </row>
    <row r="44" spans="1:7" ht="13.5" customHeight="1">
      <c r="A44" s="734" t="s">
        <v>348</v>
      </c>
      <c r="B44" s="207" t="s">
        <v>1544</v>
      </c>
      <c r="C44" s="230">
        <f ca="1">ROUND(IF('数据-取费表'!B22&lt;=1,C40*F22*'数据-取费表'!B21/2,C40*(POWER((1+F22),'数据-取费表'!B21/2)-1)),4)</f>
        <v>8.9999999999999998E-4</v>
      </c>
      <c r="D44" s="230"/>
      <c r="E44" s="230"/>
      <c r="F44" s="231"/>
      <c r="G44" s="3430"/>
    </row>
    <row r="45" spans="1:7" s="206" customFormat="1" ht="13.5" customHeight="1">
      <c r="A45" s="247" t="s">
        <v>1545</v>
      </c>
      <c r="B45" s="236" t="s">
        <v>1511</v>
      </c>
      <c r="C45" s="237">
        <f ca="1">C46</f>
        <v>286</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286</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4916</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4179</v>
      </c>
      <c r="D51" s="224"/>
      <c r="E51" s="224"/>
      <c r="F51" s="256"/>
      <c r="G51" s="226" t="s">
        <v>1558</v>
      </c>
    </row>
    <row r="52" spans="1:7" s="200" customFormat="1" ht="16.5" thickBot="1">
      <c r="A52" s="257" t="s">
        <v>1559</v>
      </c>
      <c r="B52" s="258"/>
      <c r="C52" s="259">
        <f ca="1">C31+C51</f>
        <v>4476</v>
      </c>
      <c r="D52" s="258"/>
      <c r="E52" s="258"/>
      <c r="F52" s="258"/>
      <c r="G52" s="260"/>
    </row>
    <row r="55" spans="1:7" ht="15">
      <c r="B55" s="262" t="s">
        <v>1560</v>
      </c>
      <c r="C55" s="263"/>
    </row>
    <row r="56" spans="1:7">
      <c r="B56" s="265" t="s">
        <v>801</v>
      </c>
      <c r="C56" s="267">
        <f ca="1">1-C57</f>
        <v>6.5999999999999948E-2</v>
      </c>
    </row>
    <row r="57" spans="1:7">
      <c r="B57" s="265" t="s">
        <v>802</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ROUND(F6*F8*F7*(1-F9)/10000,0)</f>
        <v>0</v>
      </c>
      <c r="D6" s="147" t="s">
        <v>2107</v>
      </c>
      <c r="E6" s="294" t="s">
        <v>695</v>
      </c>
      <c r="F6" s="295">
        <f ca="1">INDIRECT("'数据-取费表'!u"&amp;$G$1)</f>
        <v>0</v>
      </c>
      <c r="G6" s="1292"/>
      <c r="H6" s="1006" t="s">
        <v>398</v>
      </c>
      <c r="I6" s="3433" t="s">
        <v>693</v>
      </c>
      <c r="J6" s="293">
        <f ca="1">ROUND(M6*M8*M7*(1-M9)/10000,0)</f>
        <v>0</v>
      </c>
      <c r="K6" s="147" t="s">
        <v>2106</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0</v>
      </c>
      <c r="G7" s="1292"/>
      <c r="H7" s="296"/>
      <c r="I7" s="3434"/>
      <c r="J7" s="298"/>
      <c r="K7" s="299"/>
      <c r="L7" s="294" t="s">
        <v>696</v>
      </c>
      <c r="M7" s="295">
        <f ca="1">F7</f>
        <v>0</v>
      </c>
    </row>
    <row r="8" spans="1:37" ht="18" customHeight="1">
      <c r="A8" s="296"/>
      <c r="B8" s="3434"/>
      <c r="C8" s="298"/>
      <c r="D8" s="299"/>
      <c r="E8" s="294" t="s">
        <v>697</v>
      </c>
      <c r="F8" s="295">
        <f ca="1">INDIRECT("'数据-取费表'!ai"&amp;$G$1)</f>
        <v>0</v>
      </c>
      <c r="G8" s="1292"/>
      <c r="H8" s="296"/>
      <c r="I8" s="3434"/>
      <c r="J8" s="298"/>
      <c r="K8" s="299"/>
      <c r="L8" s="294" t="s">
        <v>697</v>
      </c>
      <c r="M8" s="295">
        <f ca="1">INDIRECT("'数据-取费表'!ai"&amp;$G$1)</f>
        <v>0</v>
      </c>
    </row>
    <row r="9" spans="1:37" ht="18" customHeight="1">
      <c r="A9" s="296"/>
      <c r="B9" s="3435"/>
      <c r="C9" s="298"/>
      <c r="D9" s="299"/>
      <c r="E9" s="294" t="s">
        <v>698</v>
      </c>
      <c r="F9" s="304">
        <f ca="1">INDIRECT("'数据-取费表'!w"&amp;$G$1)</f>
        <v>0</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431" t="s">
        <v>836</v>
      </c>
      <c r="L53" s="3432"/>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273.6422</v>
      </c>
      <c r="C2" s="1289" t="s">
        <v>878</v>
      </c>
      <c r="D2" s="1375">
        <f ca="1">C40+J29+L46</f>
        <v>2736422</v>
      </c>
      <c r="E2" s="1295" t="s">
        <v>879</v>
      </c>
      <c r="F2" s="1296"/>
      <c r="G2" s="2479"/>
      <c r="H2" s="2469"/>
      <c r="I2" s="2469"/>
      <c r="J2" s="2469"/>
      <c r="K2" s="2470"/>
      <c r="L2" s="2469"/>
      <c r="M2" s="2469"/>
    </row>
    <row r="3" spans="1:37" ht="18" customHeight="1" thickBot="1">
      <c r="A3" s="1297" t="s">
        <v>880</v>
      </c>
      <c r="B3" s="1298">
        <f ca="1">IF(ISERROR(D2/F43),0,ROUND(D2/F43,0))</f>
        <v>15786</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242321</v>
      </c>
      <c r="D5" s="1273" t="s">
        <v>888</v>
      </c>
      <c r="E5" s="1008"/>
      <c r="F5" s="1009"/>
      <c r="G5" s="1292"/>
      <c r="H5" s="291">
        <v>1</v>
      </c>
      <c r="I5" s="292" t="s">
        <v>887</v>
      </c>
      <c r="J5" s="1007">
        <f ca="1">J6+J10+J12</f>
        <v>0</v>
      </c>
      <c r="K5" s="1273" t="s">
        <v>888</v>
      </c>
      <c r="L5" s="1008"/>
      <c r="M5" s="1009"/>
    </row>
    <row r="6" spans="1:37" ht="18" customHeight="1">
      <c r="A6" s="1006" t="s">
        <v>398</v>
      </c>
      <c r="B6" s="3433" t="s">
        <v>693</v>
      </c>
      <c r="C6" s="1011">
        <f ca="1">ROUND(F6*F8*F7*(1-F9),0)</f>
        <v>242018</v>
      </c>
      <c r="D6" s="147" t="s">
        <v>2104</v>
      </c>
      <c r="E6" s="294" t="s">
        <v>695</v>
      </c>
      <c r="F6" s="295">
        <f ca="1">INDIRECT("'数据-取费表'!u"&amp;$G$1)</f>
        <v>4.5</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173.35</v>
      </c>
      <c r="G7" s="1292"/>
      <c r="H7" s="296"/>
      <c r="I7" s="3434"/>
      <c r="J7" s="298"/>
      <c r="K7" s="299"/>
      <c r="L7" s="294" t="s">
        <v>696</v>
      </c>
      <c r="M7" s="295">
        <f ca="1">F7</f>
        <v>173.35</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0.15</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303</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736120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606725</v>
      </c>
      <c r="D14" s="1257" t="s">
        <v>707</v>
      </c>
      <c r="E14" s="1255"/>
      <c r="F14" s="311"/>
      <c r="G14" s="1292"/>
      <c r="H14" s="928" t="s">
        <v>398</v>
      </c>
      <c r="I14" s="294" t="s">
        <v>708</v>
      </c>
      <c r="J14" s="21">
        <f ca="1">C29</f>
        <v>866023</v>
      </c>
      <c r="K14" s="12"/>
      <c r="L14" s="759"/>
      <c r="M14" s="760"/>
    </row>
    <row r="15" spans="1:37" s="1304" customFormat="1" ht="18" customHeight="1" thickBot="1">
      <c r="A15" s="928" t="s">
        <v>399</v>
      </c>
      <c r="B15" s="294" t="s">
        <v>709</v>
      </c>
      <c r="C15" s="21">
        <f ca="1">ROUND(C14*F15,0)</f>
        <v>30336</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1732</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12135</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691840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6918</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1732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21872</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-1732</v>
      </c>
      <c r="K25" s="1032" t="s">
        <v>752</v>
      </c>
      <c r="L25" s="1033"/>
      <c r="M25" s="1034"/>
    </row>
    <row r="26" spans="1:37" ht="18" customHeight="1">
      <c r="A26" s="928" t="s">
        <v>397</v>
      </c>
      <c r="B26" s="294" t="s">
        <v>753</v>
      </c>
      <c r="C26" s="21">
        <f ca="1">ROUND((C19+C20)*F26,0)</f>
        <v>69876</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866023</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45458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40567</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12908</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27659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1732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736</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2423</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196863</v>
      </c>
      <c r="D39" s="1032" t="s">
        <v>772</v>
      </c>
      <c r="E39" s="1033"/>
      <c r="F39" s="1034"/>
      <c r="G39" s="1292"/>
      <c r="H39" s="2474"/>
      <c r="I39" s="1305"/>
      <c r="J39" s="1306"/>
      <c r="K39" s="2472"/>
      <c r="L39" s="2474"/>
      <c r="M39" s="2474"/>
    </row>
    <row r="40" spans="1:18" ht="18" customHeight="1">
      <c r="A40" s="291" t="s">
        <v>395</v>
      </c>
      <c r="B40" s="292" t="s">
        <v>773</v>
      </c>
      <c r="C40" s="293">
        <f ca="1">ROUND(C39*(1-((1+F42)/(1+F40))^F41)/(F40-F42),0)</f>
        <v>2665501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15376</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-269.89170000000001</v>
      </c>
      <c r="D45" s="3131" t="s">
        <v>3349</v>
      </c>
      <c r="E45" s="1307"/>
      <c r="F45" s="1307"/>
      <c r="O45" s="1310" t="s">
        <v>807</v>
      </c>
      <c r="P45" s="1366"/>
      <c r="Q45" s="1366"/>
      <c r="R45" s="1366"/>
    </row>
    <row r="46" spans="1:18" s="1292" customFormat="1" ht="13.5" thickBot="1">
      <c r="A46" s="1311" t="s">
        <v>808</v>
      </c>
      <c r="C46" s="1312">
        <f ca="1">ROUND(C45,0)</f>
        <v>-270</v>
      </c>
      <c r="D46" s="1313" t="str">
        <f>C2</f>
        <v>万元</v>
      </c>
      <c r="I46" s="1314" t="s">
        <v>809</v>
      </c>
      <c r="J46" s="1315"/>
      <c r="K46" s="1316"/>
      <c r="L46" s="1317">
        <f ca="1">IF(M47="住宅",0,IF(L48&gt;J51,L60,J60))</f>
        <v>70921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2665501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70921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866023</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2787603</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431" t="s">
        <v>836</v>
      </c>
      <c r="L53" s="3432"/>
      <c r="O53" s="1325" t="s">
        <v>409</v>
      </c>
      <c r="P53" s="1326" t="s">
        <v>837</v>
      </c>
      <c r="Q53" s="1327">
        <f ca="1">Q47+Q48</f>
        <v>2736422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736120</v>
      </c>
      <c r="D56" s="1352"/>
      <c r="E56" s="1353"/>
      <c r="F56" s="1345"/>
      <c r="I56" s="1354" t="s">
        <v>841</v>
      </c>
      <c r="J56" s="1355" t="s">
        <v>4789</v>
      </c>
      <c r="K56" s="1328" t="s">
        <v>842</v>
      </c>
      <c r="L56" s="1331" t="str">
        <f ca="1">IF(L48&lt;J51,"——",L48-J51)</f>
        <v>——</v>
      </c>
      <c r="O56" s="1325" t="s">
        <v>403</v>
      </c>
      <c r="P56" s="1326" t="s">
        <v>816</v>
      </c>
      <c r="Q56" s="1327">
        <f ca="1">C40+J29</f>
        <v>2665501</v>
      </c>
      <c r="R56" s="1327" t="s">
        <v>817</v>
      </c>
    </row>
    <row r="57" spans="1:18" s="1292" customFormat="1" ht="24.75" thickBot="1">
      <c r="A57" s="1356"/>
      <c r="B57" s="896" t="s">
        <v>766</v>
      </c>
      <c r="C57" s="230">
        <f ca="1">C29</f>
        <v>866023</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2468</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353337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70921</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2665501</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1732</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736</v>
      </c>
      <c r="D65" s="910" t="s">
        <v>742</v>
      </c>
      <c r="E65" s="896" t="s">
        <v>743</v>
      </c>
      <c r="F65" s="321">
        <f t="shared" ca="1" si="0"/>
        <v>1E-3</v>
      </c>
      <c r="I65" s="1367" t="s">
        <v>866</v>
      </c>
      <c r="J65" s="610">
        <v>40</v>
      </c>
      <c r="K65" s="610">
        <v>30</v>
      </c>
      <c r="L65" s="610">
        <v>50</v>
      </c>
      <c r="M65" s="1369">
        <v>0.02</v>
      </c>
      <c r="O65" s="1325" t="s">
        <v>403</v>
      </c>
      <c r="P65" s="1326" t="s">
        <v>867</v>
      </c>
      <c r="Q65" s="1327">
        <f ca="1">C40+J29</f>
        <v>2665501</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-2468</v>
      </c>
      <c r="D67" s="909" t="s">
        <v>752</v>
      </c>
      <c r="E67" s="914"/>
      <c r="F67" s="915"/>
      <c r="O67" s="1334" t="s">
        <v>405</v>
      </c>
      <c r="P67" s="1326" t="s">
        <v>849</v>
      </c>
      <c r="Q67" s="1370">
        <f ca="1">L51</f>
        <v>2787603</v>
      </c>
      <c r="R67" s="1327" t="s">
        <v>869</v>
      </c>
    </row>
    <row r="68" spans="1:18" s="1292" customFormat="1" ht="16.5" thickBot="1">
      <c r="A68" s="893" t="s">
        <v>395</v>
      </c>
      <c r="B68" s="894" t="s">
        <v>773</v>
      </c>
      <c r="C68" s="293">
        <f ca="1">ROUND(C67*(1-((1+F70)/(1+F68))^F69)/(F68-F70),0)</f>
        <v>-33416</v>
      </c>
      <c r="D68" s="911" t="s">
        <v>757</v>
      </c>
      <c r="E68" s="896" t="s">
        <v>758</v>
      </c>
      <c r="F68" s="304">
        <f ca="1">F40</f>
        <v>5.5E-2</v>
      </c>
      <c r="O68" s="1334" t="s">
        <v>406</v>
      </c>
      <c r="P68" s="1371" t="s">
        <v>870</v>
      </c>
      <c r="Q68" s="1327">
        <f ca="1">ROUND(Q69-Q70*Q71,0)</f>
        <v>152696</v>
      </c>
      <c r="R68" s="1327" t="s">
        <v>414</v>
      </c>
    </row>
    <row r="69" spans="1:18" s="1292" customFormat="1" ht="13.5" thickBot="1">
      <c r="A69" s="897"/>
      <c r="B69" s="898"/>
      <c r="C69" s="298"/>
      <c r="D69" s="916" t="s">
        <v>761</v>
      </c>
      <c r="E69" s="896" t="s">
        <v>762</v>
      </c>
      <c r="F69" s="324">
        <f ca="1">F41</f>
        <v>25.5</v>
      </c>
      <c r="O69" s="1334" t="s">
        <v>411</v>
      </c>
      <c r="P69" s="1371" t="s">
        <v>871</v>
      </c>
      <c r="Q69" s="1327">
        <f ca="1">C39</f>
        <v>196863</v>
      </c>
      <c r="R69" s="1327" t="s">
        <v>817</v>
      </c>
    </row>
    <row r="70" spans="1:18" s="1292" customFormat="1" ht="13.5" thickBot="1">
      <c r="A70" s="900"/>
      <c r="B70" s="901"/>
      <c r="C70" s="302"/>
      <c r="D70" s="912"/>
      <c r="E70" s="896" t="s">
        <v>765</v>
      </c>
      <c r="F70" s="991"/>
      <c r="O70" s="1334" t="s">
        <v>412</v>
      </c>
      <c r="P70" s="1371" t="s">
        <v>872</v>
      </c>
      <c r="Q70" s="1327">
        <f ca="1">C13</f>
        <v>736120</v>
      </c>
      <c r="R70" s="1327" t="s">
        <v>817</v>
      </c>
    </row>
    <row r="71" spans="1:18" s="1292" customFormat="1" ht="13.5" thickBot="1">
      <c r="A71" s="917" t="s">
        <v>396</v>
      </c>
      <c r="B71" s="918" t="s">
        <v>775</v>
      </c>
      <c r="C71" s="327">
        <f ca="1">ROUND(C68/F71,0)</f>
        <v>-193</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44167</v>
      </c>
      <c r="D75" s="1292"/>
      <c r="E75" s="1292"/>
      <c r="F75" s="1292"/>
      <c r="K75" s="1309"/>
      <c r="L75" s="1292"/>
      <c r="O75" s="1325" t="s">
        <v>409</v>
      </c>
      <c r="P75" s="1326" t="s">
        <v>837</v>
      </c>
      <c r="Q75" s="1327">
        <f ca="1">Q65+Q66</f>
        <v>2665501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0.77600000000000002</v>
      </c>
    </row>
    <row r="80" spans="1:18">
      <c r="B80" s="331" t="s">
        <v>799</v>
      </c>
      <c r="C80" s="266">
        <f ca="1">ROUND(C75/C39,3)</f>
        <v>0.224</v>
      </c>
    </row>
    <row r="81" spans="2:3">
      <c r="B81" s="262" t="s">
        <v>800</v>
      </c>
      <c r="C81" s="230"/>
    </row>
    <row r="82" spans="2:3">
      <c r="B82" s="265" t="s">
        <v>801</v>
      </c>
      <c r="C82" s="267">
        <f ca="1">1-C83</f>
        <v>0.72399999999999998</v>
      </c>
    </row>
    <row r="83" spans="2:3">
      <c r="B83" s="265" t="s">
        <v>802</v>
      </c>
      <c r="C83" s="266">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436" t="s">
        <v>2315</v>
      </c>
      <c r="K2" s="3437"/>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438" t="s">
        <v>2325</v>
      </c>
      <c r="K3" s="3439"/>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438" t="s">
        <v>2327</v>
      </c>
      <c r="K4" s="3439"/>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440" t="s">
        <v>2331</v>
      </c>
      <c r="B6" s="3441"/>
      <c r="C6" s="3442"/>
      <c r="D6" s="2622"/>
      <c r="E6" s="2623"/>
      <c r="F6" s="2624"/>
      <c r="G6" s="2625"/>
      <c r="H6" s="2600"/>
      <c r="I6" s="2601"/>
      <c r="J6" s="3443">
        <v>1</v>
      </c>
      <c r="K6" s="3444"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43"/>
      <c r="K7" s="3445"/>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47" t="s">
        <v>2345</v>
      </c>
      <c r="C8" s="3448"/>
      <c r="D8" s="2641" t="s">
        <v>2346</v>
      </c>
      <c r="E8" s="2642" t="s">
        <v>2347</v>
      </c>
      <c r="F8" s="2643" t="s">
        <v>2348</v>
      </c>
      <c r="G8" s="2644"/>
      <c r="H8" s="2600"/>
      <c r="I8" s="2601"/>
      <c r="J8" s="3443"/>
      <c r="K8" s="3445"/>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47" t="s">
        <v>2351</v>
      </c>
      <c r="C9" s="3448"/>
      <c r="D9" s="2641">
        <f>ROUND(D6*E9,0)</f>
        <v>0</v>
      </c>
      <c r="E9" s="2645"/>
      <c r="F9" s="2646" t="s">
        <v>2352</v>
      </c>
      <c r="G9" s="2625"/>
      <c r="H9" s="2600"/>
      <c r="I9" s="2601"/>
      <c r="J9" s="3443"/>
      <c r="K9" s="3445"/>
      <c r="L9" s="2635" t="s">
        <v>2353</v>
      </c>
      <c r="M9" s="2636"/>
      <c r="N9" s="2612"/>
      <c r="O9" s="2637"/>
      <c r="P9" s="2637"/>
      <c r="Q9" s="2638">
        <v>365</v>
      </c>
      <c r="R9" s="2639">
        <f t="shared" si="0"/>
        <v>0</v>
      </c>
      <c r="S9" s="2593"/>
      <c r="T9" s="2593"/>
      <c r="U9" s="2593"/>
      <c r="V9" s="2601"/>
    </row>
    <row r="10" spans="1:22" s="2605" customFormat="1" ht="13.15" customHeight="1">
      <c r="A10" s="2640">
        <v>2</v>
      </c>
      <c r="B10" s="3447" t="s">
        <v>2354</v>
      </c>
      <c r="C10" s="3448"/>
      <c r="D10" s="2641">
        <f>ROUND(D6*E10,0)</f>
        <v>0</v>
      </c>
      <c r="E10" s="2645"/>
      <c r="F10" s="2646" t="s">
        <v>2355</v>
      </c>
      <c r="G10" s="2625"/>
      <c r="H10" s="2600"/>
      <c r="I10" s="2601"/>
      <c r="J10" s="3443"/>
      <c r="K10" s="3445"/>
      <c r="L10" s="2635" t="s">
        <v>2356</v>
      </c>
      <c r="M10" s="2636"/>
      <c r="N10" s="2612"/>
      <c r="O10" s="2637"/>
      <c r="P10" s="2637"/>
      <c r="Q10" s="2638">
        <v>365</v>
      </c>
      <c r="R10" s="2639">
        <f t="shared" si="0"/>
        <v>0</v>
      </c>
      <c r="S10" s="2593"/>
      <c r="T10" s="2593"/>
      <c r="U10" s="2593"/>
      <c r="V10" s="2601"/>
    </row>
    <row r="11" spans="1:22" s="2605" customFormat="1" ht="13.15" customHeight="1">
      <c r="A11" s="2640">
        <v>3</v>
      </c>
      <c r="B11" s="3447" t="s">
        <v>2357</v>
      </c>
      <c r="C11" s="3448"/>
      <c r="D11" s="2641">
        <f>D12+D14+D15+D16</f>
        <v>0</v>
      </c>
      <c r="E11" s="2647" t="e">
        <f>D11/D6</f>
        <v>#DIV/0!</v>
      </c>
      <c r="F11" s="2643"/>
      <c r="G11" s="2644"/>
      <c r="H11" s="2600"/>
      <c r="I11" s="2601"/>
      <c r="J11" s="3443"/>
      <c r="K11" s="3445"/>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49" t="s">
        <v>2360</v>
      </c>
      <c r="C12" s="3450"/>
      <c r="D12" s="2649">
        <f>ROUND(D13*1.2%*(1-30%),0)</f>
        <v>0</v>
      </c>
      <c r="E12" s="2650">
        <v>1.2E-2</v>
      </c>
      <c r="F12" s="2643" t="s">
        <v>2361</v>
      </c>
      <c r="G12" s="2644"/>
      <c r="H12" s="2600"/>
      <c r="I12" s="2601"/>
      <c r="J12" s="3443"/>
      <c r="K12" s="3445"/>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43"/>
      <c r="K13" s="3445"/>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49" t="s">
        <v>2366</v>
      </c>
      <c r="C14" s="3450"/>
      <c r="D14" s="2649">
        <f>ROUND(E14*B5/10000,0)</f>
        <v>0</v>
      </c>
      <c r="E14" s="2638"/>
      <c r="F14" s="2643" t="s">
        <v>2367</v>
      </c>
      <c r="G14" s="2644"/>
      <c r="H14" s="2600"/>
      <c r="I14" s="2601"/>
      <c r="J14" s="3443"/>
      <c r="K14" s="3446"/>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49" t="s">
        <v>2370</v>
      </c>
      <c r="C15" s="3450"/>
      <c r="D15" s="2649">
        <f>ROUND(D6*E15,0)</f>
        <v>0</v>
      </c>
      <c r="E15" s="2650">
        <v>5.5E-2</v>
      </c>
      <c r="F15" s="2643" t="s">
        <v>2371</v>
      </c>
      <c r="G15" s="2625"/>
      <c r="H15" s="2600"/>
      <c r="I15" s="2601"/>
      <c r="J15" s="3443">
        <v>2</v>
      </c>
      <c r="K15" s="3444"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49" t="s">
        <v>2379</v>
      </c>
      <c r="C16" s="3450"/>
      <c r="D16" s="2660">
        <f>D6*E16</f>
        <v>0</v>
      </c>
      <c r="E16" s="2661"/>
      <c r="F16" s="2646" t="s">
        <v>2380</v>
      </c>
      <c r="G16" s="2625"/>
      <c r="H16" s="2600"/>
      <c r="I16" s="2601"/>
      <c r="J16" s="3443"/>
      <c r="K16" s="3445"/>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51" t="s">
        <v>2382</v>
      </c>
      <c r="C17" s="3452"/>
      <c r="D17" s="2663">
        <f>ROUND(D6*E17,0)</f>
        <v>0</v>
      </c>
      <c r="E17" s="2664"/>
      <c r="F17" s="2665" t="s">
        <v>2383</v>
      </c>
      <c r="G17" s="2625"/>
      <c r="H17" s="2600"/>
      <c r="I17" s="2601"/>
      <c r="J17" s="3443"/>
      <c r="K17" s="3445"/>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43"/>
      <c r="K18" s="3445"/>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43"/>
      <c r="K19" s="3446"/>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3">
        <v>3</v>
      </c>
      <c r="K20" s="3444"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43"/>
      <c r="K21" s="3445"/>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43"/>
      <c r="K22" s="3445"/>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43"/>
      <c r="K23" s="3445"/>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43"/>
      <c r="K24" s="3446"/>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53">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5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436" t="s">
        <v>2315</v>
      </c>
      <c r="K32" s="3437"/>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438" t="s">
        <v>2325</v>
      </c>
      <c r="K33" s="3439"/>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438" t="s">
        <v>2327</v>
      </c>
      <c r="K34" s="343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43">
        <v>1</v>
      </c>
      <c r="K36" s="3444"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43"/>
      <c r="K37" s="3445"/>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3"/>
      <c r="K38" s="3445"/>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43"/>
      <c r="K39" s="3445"/>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43"/>
      <c r="K40" s="3446"/>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53">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5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115" zoomScaleNormal="70" zoomScaleSheetLayoutView="115" workbookViewId="0">
      <selection activeCell="D71" sqref="D7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345.62520000000001</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19938</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8" t="s">
        <v>1770</v>
      </c>
      <c r="AC4" s="3455" t="s">
        <v>1771</v>
      </c>
    </row>
    <row r="5" spans="1:29" ht="15">
      <c r="A5" s="348"/>
      <c r="B5" s="349"/>
      <c r="C5" s="3467" t="s">
        <v>1671</v>
      </c>
      <c r="D5" s="3468"/>
      <c r="E5" s="3465" t="str">
        <f>市场售价案例!C2</f>
        <v>金科澜山公馆商业</v>
      </c>
      <c r="F5" s="3466"/>
      <c r="G5" s="3467" t="str">
        <f>市场售价案例!P27</f>
        <v>博翠明湖商业</v>
      </c>
      <c r="H5" s="3468"/>
      <c r="I5" s="3467" t="str">
        <f>市场售价案例!P40</f>
        <v>世茂天城商业</v>
      </c>
      <c r="J5" s="3468"/>
      <c r="K5" s="537"/>
      <c r="L5" s="2487"/>
      <c r="M5" s="2488"/>
      <c r="N5" s="2488"/>
      <c r="O5" s="2488"/>
      <c r="P5" s="3480"/>
      <c r="Q5" s="3481"/>
      <c r="R5" s="3463"/>
      <c r="S5" s="3464"/>
      <c r="T5" s="3463"/>
      <c r="U5" s="3464"/>
      <c r="V5" s="3458"/>
      <c r="W5" s="3458"/>
      <c r="X5" s="1265"/>
      <c r="Y5" s="3463"/>
      <c r="Z5" s="3464"/>
      <c r="AA5" s="3456"/>
      <c r="AB5" s="3458"/>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8"/>
      <c r="AC6" s="3457"/>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59" t="s">
        <v>1678</v>
      </c>
      <c r="Q7" s="3486"/>
      <c r="R7" s="664" t="s">
        <v>14</v>
      </c>
      <c r="S7" s="665">
        <f t="shared" ref="S7:S15" si="0">F7</f>
        <v>100</v>
      </c>
      <c r="T7" s="664" t="s">
        <v>14</v>
      </c>
      <c r="U7" s="665">
        <f t="shared" ref="U7:U15" si="1">H7</f>
        <v>100</v>
      </c>
      <c r="V7" s="664" t="s">
        <v>14</v>
      </c>
      <c r="W7" s="665">
        <f t="shared" ref="W7:W15" si="2">J7</f>
        <v>100</v>
      </c>
      <c r="X7" s="666"/>
      <c r="Y7" s="3459" t="s">
        <v>1678</v>
      </c>
      <c r="Z7" s="3460"/>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105</v>
      </c>
      <c r="G10" s="3133" t="s">
        <v>4931</v>
      </c>
      <c r="H10" s="119">
        <f>SUMIF(65:65,G10,66:66)-SUMIF(65:65,C10,66:66)+100</f>
        <v>105</v>
      </c>
      <c r="I10" s="3133" t="s">
        <v>4931</v>
      </c>
      <c r="J10" s="119">
        <f>SUMIF(65:65,I10,66:66)-SUMIF(65:65,C10,66:66)+100</f>
        <v>105</v>
      </c>
      <c r="K10" s="38"/>
      <c r="L10" s="2490"/>
      <c r="M10" s="2491"/>
      <c r="N10" s="2491"/>
      <c r="O10" s="2491"/>
      <c r="P10" s="3473"/>
      <c r="Q10" s="530" t="str">
        <f t="shared" si="6"/>
        <v>土地使用年限（年）</v>
      </c>
      <c r="R10" s="664" t="s">
        <v>14</v>
      </c>
      <c r="S10" s="665">
        <f t="shared" si="0"/>
        <v>105</v>
      </c>
      <c r="T10" s="664" t="s">
        <v>14</v>
      </c>
      <c r="U10" s="665">
        <f t="shared" si="1"/>
        <v>105</v>
      </c>
      <c r="V10" s="664" t="s">
        <v>14</v>
      </c>
      <c r="W10" s="665">
        <f t="shared" si="2"/>
        <v>105</v>
      </c>
      <c r="X10" s="666"/>
      <c r="Y10" s="3404"/>
      <c r="Z10" s="50" t="str">
        <f t="shared" si="7"/>
        <v>土地使用年限（年）</v>
      </c>
      <c r="AA10" s="50">
        <f t="shared" si="3"/>
        <v>0.95238095238095233</v>
      </c>
      <c r="AB10" s="50">
        <f t="shared" si="4"/>
        <v>0.95238095238095233</v>
      </c>
      <c r="AC10" s="50">
        <f t="shared" si="5"/>
        <v>0.95238095238095233</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73"/>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73"/>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105</v>
      </c>
      <c r="I15" s="381"/>
      <c r="J15" s="380">
        <f>SUMIF(76:76,I16,77:77)-SUMIF(76:76,C16,77:77)+100</f>
        <v>105</v>
      </c>
      <c r="K15" s="540">
        <v>5</v>
      </c>
      <c r="L15" s="2493"/>
      <c r="M15" s="2488"/>
      <c r="N15" s="2488"/>
      <c r="O15" s="2488"/>
      <c r="P15" s="3487" t="s">
        <v>1689</v>
      </c>
      <c r="Q15" s="1263" t="str">
        <f t="shared" si="6"/>
        <v>商业繁华度</v>
      </c>
      <c r="R15" s="667" t="s">
        <v>14</v>
      </c>
      <c r="S15" s="668">
        <f t="shared" si="0"/>
        <v>100</v>
      </c>
      <c r="T15" s="667" t="s">
        <v>14</v>
      </c>
      <c r="U15" s="668">
        <f t="shared" si="1"/>
        <v>105</v>
      </c>
      <c r="V15" s="667" t="s">
        <v>14</v>
      </c>
      <c r="W15" s="668">
        <f t="shared" si="2"/>
        <v>105</v>
      </c>
      <c r="X15" s="1265"/>
      <c r="Y15" s="3489" t="s">
        <v>1689</v>
      </c>
      <c r="Z15" s="1264" t="str">
        <f t="shared" si="7"/>
        <v>商业繁华度</v>
      </c>
      <c r="AA15" s="1264">
        <f t="shared" si="3"/>
        <v>1</v>
      </c>
      <c r="AB15" s="1264">
        <f t="shared" si="4"/>
        <v>0.95238095238095233</v>
      </c>
      <c r="AC15" s="1264">
        <f t="shared" si="5"/>
        <v>0.95238095238095233</v>
      </c>
    </row>
    <row r="16" spans="1:29" ht="15">
      <c r="A16" s="367"/>
      <c r="B16" s="385"/>
      <c r="C16" s="386" t="s">
        <v>4928</v>
      </c>
      <c r="D16" s="387"/>
      <c r="E16" s="386" t="s">
        <v>4928</v>
      </c>
      <c r="F16" s="388"/>
      <c r="G16" s="386" t="s">
        <v>4927</v>
      </c>
      <c r="H16" s="389"/>
      <c r="I16" s="386" t="s">
        <v>4927</v>
      </c>
      <c r="J16" s="387"/>
      <c r="K16" s="541"/>
      <c r="L16" s="2493"/>
      <c r="M16" s="2488"/>
      <c r="N16" s="2488"/>
      <c r="O16" s="2488"/>
      <c r="P16" s="3488"/>
      <c r="Q16" s="1263"/>
      <c r="R16" s="667"/>
      <c r="S16" s="668"/>
      <c r="T16" s="667"/>
      <c r="U16" s="668"/>
      <c r="V16" s="667"/>
      <c r="W16" s="668"/>
      <c r="X16" s="1265"/>
      <c r="Y16" s="349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88"/>
      <c r="Q17" s="1263" t="str">
        <f>B17</f>
        <v>交通便捷度</v>
      </c>
      <c r="R17" s="667" t="s">
        <v>14</v>
      </c>
      <c r="S17" s="668">
        <f>F17</f>
        <v>98</v>
      </c>
      <c r="T17" s="667" t="s">
        <v>14</v>
      </c>
      <c r="U17" s="668">
        <f>H17</f>
        <v>100</v>
      </c>
      <c r="V17" s="667" t="s">
        <v>14</v>
      </c>
      <c r="W17" s="668">
        <f>J17</f>
        <v>102</v>
      </c>
      <c r="X17" s="1265"/>
      <c r="Y17" s="3490"/>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88"/>
      <c r="Q18" s="1263"/>
      <c r="R18" s="667"/>
      <c r="S18" s="668"/>
      <c r="T18" s="667"/>
      <c r="U18" s="668"/>
      <c r="V18" s="667"/>
      <c r="W18" s="668"/>
      <c r="X18" s="1265"/>
      <c r="Y18" s="349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8"/>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88"/>
      <c r="Q20" s="1263"/>
      <c r="R20" s="667"/>
      <c r="S20" s="668"/>
      <c r="T20" s="667"/>
      <c r="U20" s="668"/>
      <c r="V20" s="667"/>
      <c r="W20" s="668"/>
      <c r="X20" s="1265"/>
      <c r="Y20" s="349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88"/>
      <c r="Q22" s="1263"/>
      <c r="R22" s="667"/>
      <c r="S22" s="668"/>
      <c r="T22" s="667"/>
      <c r="U22" s="668"/>
      <c r="V22" s="667"/>
      <c r="W22" s="668"/>
      <c r="X22" s="1265"/>
      <c r="Y22" s="349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8"/>
      <c r="Q23" s="1263" t="str">
        <f>B23</f>
        <v>自然及人文环境</v>
      </c>
      <c r="R23" s="667" t="s">
        <v>14</v>
      </c>
      <c r="S23" s="668">
        <f>F23</f>
        <v>100</v>
      </c>
      <c r="T23" s="667" t="s">
        <v>14</v>
      </c>
      <c r="U23" s="668">
        <f>H23</f>
        <v>100</v>
      </c>
      <c r="V23" s="667" t="s">
        <v>14</v>
      </c>
      <c r="W23" s="668">
        <f>J23</f>
        <v>100</v>
      </c>
      <c r="X23" s="1265"/>
      <c r="Y23" s="34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88"/>
      <c r="Q24" s="1263"/>
      <c r="R24" s="667"/>
      <c r="S24" s="668"/>
      <c r="T24" s="667"/>
      <c r="U24" s="668"/>
      <c r="V24" s="667"/>
      <c r="W24" s="668"/>
      <c r="X24" s="1265"/>
      <c r="Y24" s="349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8"/>
      <c r="Q25" s="1263" t="str">
        <f t="shared" ref="Q25:Q46" si="11">B25</f>
        <v>临街状况</v>
      </c>
      <c r="R25" s="667" t="s">
        <v>14</v>
      </c>
      <c r="S25" s="668">
        <f>F25</f>
        <v>100</v>
      </c>
      <c r="T25" s="667" t="s">
        <v>14</v>
      </c>
      <c r="U25" s="668">
        <f>H25</f>
        <v>100</v>
      </c>
      <c r="V25" s="667" t="s">
        <v>14</v>
      </c>
      <c r="W25" s="668">
        <f>J25</f>
        <v>100</v>
      </c>
      <c r="X25" s="1265"/>
      <c r="Y25" s="349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8"/>
      <c r="Q26" s="1263" t="str">
        <f t="shared" si="11"/>
        <v>平面位置/可视性</v>
      </c>
      <c r="R26" s="667" t="s">
        <v>14</v>
      </c>
      <c r="S26" s="668">
        <f>F26</f>
        <v>100</v>
      </c>
      <c r="T26" s="667" t="s">
        <v>14</v>
      </c>
      <c r="U26" s="668">
        <f>H26</f>
        <v>100</v>
      </c>
      <c r="V26" s="667" t="s">
        <v>14</v>
      </c>
      <c r="W26" s="668">
        <f>J26</f>
        <v>100</v>
      </c>
      <c r="X26" s="1265"/>
      <c r="Y26" s="349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88"/>
      <c r="Q27" s="530" t="str">
        <f t="shared" si="11"/>
        <v>人流量</v>
      </c>
      <c r="R27" s="664" t="s">
        <v>14</v>
      </c>
      <c r="S27" s="665">
        <f>F27</f>
        <v>100</v>
      </c>
      <c r="T27" s="664" t="s">
        <v>14</v>
      </c>
      <c r="U27" s="665">
        <f>H27</f>
        <v>100</v>
      </c>
      <c r="V27" s="664" t="s">
        <v>14</v>
      </c>
      <c r="W27" s="665">
        <f>J27</f>
        <v>100</v>
      </c>
      <c r="X27" s="666"/>
      <c r="Y27" s="349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88"/>
      <c r="Q29" s="1263">
        <f t="shared" si="11"/>
        <v>111</v>
      </c>
      <c r="R29" s="667" t="s">
        <v>14</v>
      </c>
      <c r="S29" s="668">
        <f t="shared" si="12"/>
        <v>100</v>
      </c>
      <c r="T29" s="667" t="s">
        <v>14</v>
      </c>
      <c r="U29" s="668">
        <f t="shared" si="13"/>
        <v>100</v>
      </c>
      <c r="V29" s="667" t="s">
        <v>14</v>
      </c>
      <c r="W29" s="668">
        <f t="shared" si="14"/>
        <v>100</v>
      </c>
      <c r="X29" s="1265"/>
      <c r="Y29" s="34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8"/>
      <c r="Q30" s="1263">
        <f t="shared" si="11"/>
        <v>111</v>
      </c>
      <c r="R30" s="667" t="s">
        <v>14</v>
      </c>
      <c r="S30" s="668">
        <f t="shared" si="12"/>
        <v>100</v>
      </c>
      <c r="T30" s="667" t="s">
        <v>14</v>
      </c>
      <c r="U30" s="668">
        <f t="shared" si="13"/>
        <v>100</v>
      </c>
      <c r="V30" s="667" t="s">
        <v>14</v>
      </c>
      <c r="W30" s="668">
        <f t="shared" si="14"/>
        <v>100</v>
      </c>
      <c r="X30" s="1265"/>
      <c r="Y30" s="34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8"/>
      <c r="Q31" s="1263">
        <f t="shared" si="11"/>
        <v>111</v>
      </c>
      <c r="R31" s="667" t="s">
        <v>14</v>
      </c>
      <c r="S31" s="668">
        <f t="shared" si="12"/>
        <v>100</v>
      </c>
      <c r="T31" s="667" t="s">
        <v>14</v>
      </c>
      <c r="U31" s="668">
        <f t="shared" si="13"/>
        <v>100</v>
      </c>
      <c r="V31" s="667" t="s">
        <v>14</v>
      </c>
      <c r="W31" s="668">
        <f t="shared" si="14"/>
        <v>100</v>
      </c>
      <c r="X31" s="1265"/>
      <c r="Y31" s="349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91" t="s">
        <v>1694</v>
      </c>
      <c r="Q32" s="1263" t="str">
        <f t="shared" si="11"/>
        <v>商业类型</v>
      </c>
      <c r="R32" s="667" t="s">
        <v>14</v>
      </c>
      <c r="S32" s="668">
        <f t="shared" si="12"/>
        <v>100</v>
      </c>
      <c r="T32" s="667" t="s">
        <v>14</v>
      </c>
      <c r="U32" s="668">
        <f t="shared" si="13"/>
        <v>100</v>
      </c>
      <c r="V32" s="667" t="s">
        <v>14</v>
      </c>
      <c r="W32" s="668">
        <f t="shared" si="14"/>
        <v>100</v>
      </c>
      <c r="X32" s="1265"/>
      <c r="Y32" s="3494"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92"/>
      <c r="Q33" s="531" t="str">
        <f t="shared" si="11"/>
        <v>项目建筑规模</v>
      </c>
      <c r="R33" s="669" t="s">
        <v>14</v>
      </c>
      <c r="S33" s="670">
        <f t="shared" si="12"/>
        <v>100</v>
      </c>
      <c r="T33" s="669" t="s">
        <v>14</v>
      </c>
      <c r="U33" s="670">
        <f t="shared" si="13"/>
        <v>101</v>
      </c>
      <c r="V33" s="669" t="s">
        <v>14</v>
      </c>
      <c r="W33" s="670">
        <f t="shared" si="14"/>
        <v>101</v>
      </c>
      <c r="X33" s="671"/>
      <c r="Y33" s="3494"/>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92"/>
      <c r="Q34" s="1263" t="str">
        <f t="shared" si="11"/>
        <v>建筑结构</v>
      </c>
      <c r="R34" s="667" t="s">
        <v>14</v>
      </c>
      <c r="S34" s="668">
        <f t="shared" si="12"/>
        <v>100</v>
      </c>
      <c r="T34" s="667" t="s">
        <v>14</v>
      </c>
      <c r="U34" s="668">
        <f t="shared" si="13"/>
        <v>100</v>
      </c>
      <c r="V34" s="667" t="s">
        <v>14</v>
      </c>
      <c r="W34" s="668">
        <f t="shared" si="14"/>
        <v>100</v>
      </c>
      <c r="X34" s="1265"/>
      <c r="Y34" s="349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92"/>
      <c r="Q35" s="1263" t="str">
        <f t="shared" si="11"/>
        <v>公共部分装修</v>
      </c>
      <c r="R35" s="667" t="s">
        <v>14</v>
      </c>
      <c r="S35" s="668">
        <f t="shared" si="12"/>
        <v>100</v>
      </c>
      <c r="T35" s="667" t="s">
        <v>14</v>
      </c>
      <c r="U35" s="668">
        <f t="shared" si="13"/>
        <v>100</v>
      </c>
      <c r="V35" s="667" t="s">
        <v>14</v>
      </c>
      <c r="W35" s="668">
        <f t="shared" si="14"/>
        <v>100</v>
      </c>
      <c r="X35" s="1265"/>
      <c r="Y35" s="3494"/>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92"/>
      <c r="Q36" s="1263" t="str">
        <f t="shared" si="11"/>
        <v>成新度</v>
      </c>
      <c r="R36" s="667" t="s">
        <v>14</v>
      </c>
      <c r="S36" s="668">
        <f t="shared" si="12"/>
        <v>102</v>
      </c>
      <c r="T36" s="667" t="s">
        <v>14</v>
      </c>
      <c r="U36" s="668">
        <f t="shared" si="13"/>
        <v>102</v>
      </c>
      <c r="V36" s="667" t="s">
        <v>14</v>
      </c>
      <c r="W36" s="668">
        <f t="shared" si="14"/>
        <v>102</v>
      </c>
      <c r="X36" s="1265"/>
      <c r="Y36" s="3494"/>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92"/>
      <c r="Q37" s="530" t="str">
        <f t="shared" si="11"/>
        <v>市政基础设施</v>
      </c>
      <c r="R37" s="664" t="s">
        <v>14</v>
      </c>
      <c r="S37" s="665">
        <f t="shared" si="12"/>
        <v>100</v>
      </c>
      <c r="T37" s="664" t="s">
        <v>14</v>
      </c>
      <c r="U37" s="665">
        <f t="shared" si="13"/>
        <v>100</v>
      </c>
      <c r="V37" s="664" t="s">
        <v>14</v>
      </c>
      <c r="W37" s="665">
        <f t="shared" si="14"/>
        <v>100</v>
      </c>
      <c r="X37" s="666"/>
      <c r="Y37" s="349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92" t="s">
        <v>1694</v>
      </c>
      <c r="Q38" s="1263" t="str">
        <f t="shared" si="11"/>
        <v>业态</v>
      </c>
      <c r="R38" s="667" t="s">
        <v>14</v>
      </c>
      <c r="S38" s="668">
        <f t="shared" si="12"/>
        <v>100</v>
      </c>
      <c r="T38" s="667" t="s">
        <v>14</v>
      </c>
      <c r="U38" s="668">
        <f t="shared" si="13"/>
        <v>100</v>
      </c>
      <c r="V38" s="667" t="s">
        <v>14</v>
      </c>
      <c r="W38" s="668">
        <f t="shared" si="14"/>
        <v>100</v>
      </c>
      <c r="X38" s="1265"/>
      <c r="Y38" s="349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92"/>
      <c r="Q39" s="1263" t="str">
        <f t="shared" si="11"/>
        <v>层高</v>
      </c>
      <c r="R39" s="667" t="s">
        <v>14</v>
      </c>
      <c r="S39" s="668">
        <f t="shared" si="12"/>
        <v>100</v>
      </c>
      <c r="T39" s="667" t="s">
        <v>14</v>
      </c>
      <c r="U39" s="668">
        <f t="shared" si="13"/>
        <v>100</v>
      </c>
      <c r="V39" s="667" t="s">
        <v>14</v>
      </c>
      <c r="W39" s="668">
        <f t="shared" si="14"/>
        <v>100</v>
      </c>
      <c r="X39" s="1265"/>
      <c r="Y39" s="349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92"/>
      <c r="Q40" s="1263" t="str">
        <f t="shared" si="11"/>
        <v>单套建筑面积</v>
      </c>
      <c r="R40" s="667" t="s">
        <v>14</v>
      </c>
      <c r="S40" s="668">
        <f t="shared" si="12"/>
        <v>100</v>
      </c>
      <c r="T40" s="667" t="s">
        <v>14</v>
      </c>
      <c r="U40" s="668">
        <f t="shared" si="13"/>
        <v>100</v>
      </c>
      <c r="V40" s="667" t="s">
        <v>14</v>
      </c>
      <c r="W40" s="668">
        <f t="shared" si="14"/>
        <v>100</v>
      </c>
      <c r="X40" s="1265"/>
      <c r="Y40" s="349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92"/>
      <c r="Q41" s="531" t="str">
        <f t="shared" si="11"/>
        <v>进深比</v>
      </c>
      <c r="R41" s="669" t="s">
        <v>14</v>
      </c>
      <c r="S41" s="670">
        <f t="shared" si="12"/>
        <v>100</v>
      </c>
      <c r="T41" s="669" t="s">
        <v>14</v>
      </c>
      <c r="U41" s="670">
        <f t="shared" si="13"/>
        <v>100</v>
      </c>
      <c r="V41" s="669" t="s">
        <v>14</v>
      </c>
      <c r="W41" s="670">
        <f t="shared" si="14"/>
        <v>100</v>
      </c>
      <c r="X41" s="671"/>
      <c r="Y41" s="349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92"/>
      <c r="Q42" s="1263" t="str">
        <f t="shared" si="11"/>
        <v>内部装修</v>
      </c>
      <c r="R42" s="667" t="s">
        <v>14</v>
      </c>
      <c r="S42" s="668">
        <f t="shared" si="12"/>
        <v>100</v>
      </c>
      <c r="T42" s="667" t="s">
        <v>14</v>
      </c>
      <c r="U42" s="668">
        <f t="shared" si="13"/>
        <v>100</v>
      </c>
      <c r="V42" s="667" t="s">
        <v>14</v>
      </c>
      <c r="W42" s="668">
        <f t="shared" si="14"/>
        <v>100</v>
      </c>
      <c r="X42" s="1265"/>
      <c r="Y42" s="3494"/>
      <c r="Z42" s="1264" t="str">
        <f t="shared" si="15"/>
        <v>内部装修</v>
      </c>
      <c r="AA42" s="1264">
        <f t="shared" si="3"/>
        <v>1</v>
      </c>
      <c r="AB42" s="1264">
        <f t="shared" si="4"/>
        <v>1</v>
      </c>
      <c r="AC42" s="1264">
        <f t="shared" si="5"/>
        <v>1</v>
      </c>
    </row>
    <row r="43" spans="1:29" ht="15">
      <c r="A43" s="409"/>
      <c r="B43" s="3596" t="s">
        <v>1705</v>
      </c>
      <c r="C43" s="1760" t="s">
        <v>4953</v>
      </c>
      <c r="D43" s="374">
        <v>100</v>
      </c>
      <c r="E43" s="1760" t="s">
        <v>4928</v>
      </c>
      <c r="F43" s="400">
        <f>SUMIF(124:124,E43,125:125)-SUMIF(124:124,C43,125:125)+100</f>
        <v>110</v>
      </c>
      <c r="G43" s="1760" t="s">
        <v>4928</v>
      </c>
      <c r="H43" s="374">
        <f>SUMIF(124:124,G43,125:125)-SUMIF(124:124,C43,125:125)+100</f>
        <v>110</v>
      </c>
      <c r="I43" s="1760" t="s">
        <v>4928</v>
      </c>
      <c r="J43" s="374">
        <f>SUMIF(124:124,I43,125:125)-SUMIF(124:124,C43,125:125)+100</f>
        <v>110</v>
      </c>
      <c r="K43" s="538">
        <v>5</v>
      </c>
      <c r="L43" s="2493"/>
      <c r="M43" s="2488"/>
      <c r="N43" s="2488"/>
      <c r="O43" s="2488"/>
      <c r="P43" s="3492"/>
      <c r="Q43" s="1263" t="str">
        <f t="shared" si="11"/>
        <v>内部装修维护情况</v>
      </c>
      <c r="R43" s="667" t="s">
        <v>14</v>
      </c>
      <c r="S43" s="668">
        <f t="shared" si="12"/>
        <v>110</v>
      </c>
      <c r="T43" s="667" t="s">
        <v>14</v>
      </c>
      <c r="U43" s="668">
        <f t="shared" si="13"/>
        <v>110</v>
      </c>
      <c r="V43" s="667" t="s">
        <v>14</v>
      </c>
      <c r="W43" s="668">
        <f t="shared" si="14"/>
        <v>110</v>
      </c>
      <c r="X43" s="1265"/>
      <c r="Y43" s="3494"/>
      <c r="Z43" s="1264" t="str">
        <f t="shared" si="15"/>
        <v>内部装修维护情况</v>
      </c>
      <c r="AA43" s="1264">
        <f t="shared" si="3"/>
        <v>0.90909090909090906</v>
      </c>
      <c r="AB43" s="1264">
        <f t="shared" si="4"/>
        <v>0.90909090909090906</v>
      </c>
      <c r="AC43" s="1264">
        <f t="shared" si="5"/>
        <v>0.90909090909090906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92"/>
      <c r="Q44" s="530">
        <f t="shared" si="11"/>
        <v>111</v>
      </c>
      <c r="R44" s="664" t="s">
        <v>14</v>
      </c>
      <c r="S44" s="665">
        <f t="shared" si="12"/>
        <v>100</v>
      </c>
      <c r="T44" s="664" t="s">
        <v>14</v>
      </c>
      <c r="U44" s="665">
        <f t="shared" si="13"/>
        <v>100</v>
      </c>
      <c r="V44" s="664" t="s">
        <v>14</v>
      </c>
      <c r="W44" s="665">
        <f t="shared" si="14"/>
        <v>100</v>
      </c>
      <c r="X44" s="666"/>
      <c r="Y44" s="34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92"/>
      <c r="Q45" s="1263">
        <f t="shared" si="11"/>
        <v>111</v>
      </c>
      <c r="R45" s="667" t="s">
        <v>14</v>
      </c>
      <c r="S45" s="668">
        <f t="shared" si="12"/>
        <v>100</v>
      </c>
      <c r="T45" s="667" t="s">
        <v>14</v>
      </c>
      <c r="U45" s="668">
        <f t="shared" si="13"/>
        <v>100</v>
      </c>
      <c r="V45" s="667" t="s">
        <v>14</v>
      </c>
      <c r="W45" s="668">
        <f t="shared" si="14"/>
        <v>100</v>
      </c>
      <c r="X45" s="1265"/>
      <c r="Y45" s="34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93"/>
      <c r="Q46" s="1263">
        <f t="shared" si="11"/>
        <v>111</v>
      </c>
      <c r="R46" s="667" t="s">
        <v>14</v>
      </c>
      <c r="S46" s="668">
        <f t="shared" si="12"/>
        <v>100</v>
      </c>
      <c r="T46" s="667" t="s">
        <v>14</v>
      </c>
      <c r="U46" s="668">
        <f t="shared" si="13"/>
        <v>100</v>
      </c>
      <c r="V46" s="667" t="s">
        <v>14</v>
      </c>
      <c r="W46" s="668">
        <f t="shared" si="14"/>
        <v>100</v>
      </c>
      <c r="X46" s="1265"/>
      <c r="Y46" s="3495"/>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96" t="str">
        <f>A47</f>
        <v>成交单价（元/平方米）</v>
      </c>
      <c r="Q47" s="3496"/>
      <c r="R47" s="3458">
        <f>E47</f>
        <v>23692</v>
      </c>
      <c r="S47" s="3458"/>
      <c r="T47" s="3458">
        <f>G47</f>
        <v>24993</v>
      </c>
      <c r="U47" s="3458"/>
      <c r="V47" s="3458">
        <f>I47</f>
        <v>24582</v>
      </c>
      <c r="W47" s="3458"/>
      <c r="X47" s="385"/>
      <c r="Y47" s="673"/>
      <c r="Z47" s="385"/>
      <c r="AA47" s="385"/>
      <c r="AB47" s="385"/>
      <c r="AC47" s="385"/>
    </row>
    <row r="48" spans="1:29" ht="15.75" thickBot="1">
      <c r="A48" s="423" t="s">
        <v>1791</v>
      </c>
      <c r="B48" s="424"/>
      <c r="C48" s="1082">
        <f>R49</f>
        <v>19938</v>
      </c>
      <c r="D48" s="2141" t="s">
        <v>2136</v>
      </c>
      <c r="E48" s="1083">
        <f>R48</f>
        <v>20521</v>
      </c>
      <c r="F48" s="2142"/>
      <c r="G48" s="1082">
        <f>T48</f>
        <v>20004</v>
      </c>
      <c r="H48" s="2142"/>
      <c r="I48" s="1083">
        <f>V48</f>
        <v>19290</v>
      </c>
      <c r="J48" s="2142"/>
      <c r="K48" s="2144">
        <f>F48+H48+J48</f>
        <v>0</v>
      </c>
      <c r="L48" s="2495"/>
      <c r="M48" s="2488"/>
      <c r="N48" s="2488"/>
      <c r="O48" s="2488"/>
      <c r="P48" s="3496" t="str">
        <f>A48</f>
        <v>比较价值（元/平方米）</v>
      </c>
      <c r="Q48" s="3496"/>
      <c r="R48" s="3458">
        <f>IF(F1="售价",ROUND(PRODUCT(R47,AA7:AA46),0),ROUND(PRODUCT(R47,AA7:AA46),1))</f>
        <v>20521</v>
      </c>
      <c r="S48" s="3458"/>
      <c r="T48" s="3458">
        <f>IF(F1="售价",ROUND(PRODUCT(T47,AB7:AB46),0),ROUND(PRODUCT(T47,AB7:AB46),1))</f>
        <v>20004</v>
      </c>
      <c r="U48" s="3458"/>
      <c r="V48" s="3458">
        <f>IF(F1="售价",ROUND(PRODUCT(V47,AC7:AC46),0),ROUND(PRODUCT(V47,AC7:AC46),1))</f>
        <v>19290</v>
      </c>
      <c r="W48" s="3458"/>
      <c r="X48" s="385"/>
      <c r="Y48" s="385"/>
      <c r="Z48" s="385"/>
      <c r="AA48" s="385"/>
      <c r="AB48" s="385"/>
      <c r="AC48" s="385"/>
    </row>
    <row r="49" spans="1:29" ht="15.75" thickBot="1">
      <c r="A49" s="427" t="s">
        <v>1792</v>
      </c>
      <c r="B49" s="428"/>
      <c r="C49" s="351">
        <f>R49</f>
        <v>19938</v>
      </c>
      <c r="D49" s="351"/>
      <c r="E49" s="351"/>
      <c r="F49" s="351"/>
      <c r="G49" s="351"/>
      <c r="H49" s="351"/>
      <c r="I49" s="351"/>
      <c r="J49" s="351"/>
      <c r="K49" s="675"/>
      <c r="L49" s="2495"/>
      <c r="M49" s="2488"/>
      <c r="N49" s="2488"/>
      <c r="O49" s="2488"/>
      <c r="P49" s="3497" t="str">
        <f>A49</f>
        <v>估价对象XX用房的比较价值（楼面单价，元/平方米）</v>
      </c>
      <c r="Q49" s="3498"/>
      <c r="R49" s="3499">
        <f>IF(F1="售价",ROUND(IF(D48="简单平均",AVERAGE(R48:V48),R48*F48+T48*H48+V48*J48),0),ROUND(IF(D48="简单平均",AVERAGE(R48:V48),R48*F48+T48*H48+V48*J48),1))</f>
        <v>19938</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0.15452463330247057</v>
      </c>
      <c r="F52" s="435" t="str">
        <f>IF(OR(E52&gt;=0.3,E52&lt;=-0.3),"超过30%","")</f>
        <v/>
      </c>
      <c r="G52" s="434">
        <f>IF(G47&lt;G48,G48/G47-1,G47/G48-1)</f>
        <v>0.24940011997600475</v>
      </c>
      <c r="H52" s="435" t="str">
        <f>IF(OR(G52&gt;=0.3,G52&lt;=-0.3),"超过30%","")</f>
        <v/>
      </c>
      <c r="I52" s="434">
        <f>IF(I47&lt;I48,I48/I47-1,I47/I48-1)</f>
        <v>0.27433903576982899</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2.5844831033793314E-2</v>
      </c>
      <c r="F53" s="435" t="str">
        <f>IF(OR(E53&gt;=0.2,E53&lt;=-0.2),"超过20%","")</f>
        <v/>
      </c>
      <c r="G53" s="434">
        <f>IF(G48&lt;I48,I48/G48-1,G48/I48-1)</f>
        <v>3.7013996889580181E-2</v>
      </c>
      <c r="H53" s="435" t="str">
        <f>IF(OR(G53&gt;=0.2,G53&lt;=-0.2),"超过20%","")</f>
        <v/>
      </c>
      <c r="I53" s="434">
        <f>IF(I48&lt;E48,E48/I48-1,I48/E48-1)</f>
        <v>6.3815448418869991E-2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105</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95</v>
      </c>
      <c r="E125" s="475">
        <f>D125-$K43</f>
        <v>90</v>
      </c>
      <c r="F125" s="475">
        <f>E125-$K43</f>
        <v>85</v>
      </c>
      <c r="G125" s="475">
        <f>F125-$K43</f>
        <v>80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AA66" sqref="AA66"/>
    </sheetView>
  </sheetViews>
  <sheetFormatPr defaultRowHeight="13.5"/>
  <cols>
    <col min="3" max="3" width="17.25" bestFit="1" customWidth="1"/>
    <col min="16" max="16" width="13" bestFit="1" customWidth="1"/>
  </cols>
  <sheetData>
    <row r="1" spans="2:28" ht="14.25">
      <c r="D1" s="3500" t="s">
        <v>4877</v>
      </c>
      <c r="E1" s="3500" t="s">
        <v>3419</v>
      </c>
      <c r="F1" s="3500" t="s">
        <v>3420</v>
      </c>
      <c r="G1" s="3500" t="s">
        <v>4878</v>
      </c>
      <c r="H1" s="3500" t="s">
        <v>4879</v>
      </c>
      <c r="I1" s="3500" t="s">
        <v>4880</v>
      </c>
      <c r="J1" s="3500" t="s">
        <v>4881</v>
      </c>
      <c r="K1" s="3500" t="s">
        <v>4882</v>
      </c>
      <c r="L1" s="3500" t="s">
        <v>4883</v>
      </c>
      <c r="O1">
        <v>2024</v>
      </c>
      <c r="P1" s="1405" t="s">
        <v>4903</v>
      </c>
      <c r="Q1" s="3500" t="s">
        <v>4877</v>
      </c>
      <c r="R1" s="3500" t="s">
        <v>3419</v>
      </c>
      <c r="S1" s="3500" t="s">
        <v>3420</v>
      </c>
      <c r="T1" s="3500" t="s">
        <v>4878</v>
      </c>
      <c r="U1" s="3500" t="s">
        <v>4879</v>
      </c>
      <c r="V1" s="3500" t="s">
        <v>4880</v>
      </c>
      <c r="W1" s="3500" t="s">
        <v>4881</v>
      </c>
      <c r="X1" s="3500" t="s">
        <v>4882</v>
      </c>
      <c r="Y1" s="3500" t="s">
        <v>4883</v>
      </c>
    </row>
    <row r="2" spans="2:28" ht="14.25">
      <c r="B2">
        <v>2021</v>
      </c>
      <c r="C2" s="1405" t="s">
        <v>4876</v>
      </c>
      <c r="D2" s="3170" t="s">
        <v>4871</v>
      </c>
      <c r="E2" s="3170">
        <v>32</v>
      </c>
      <c r="F2" s="3170">
        <v>2557</v>
      </c>
      <c r="G2" s="3170">
        <v>24057</v>
      </c>
      <c r="H2" s="3170">
        <v>6150.91</v>
      </c>
      <c r="I2" s="3170">
        <v>171</v>
      </c>
      <c r="J2" s="3170">
        <v>20938</v>
      </c>
      <c r="K2" s="3170">
        <v>20</v>
      </c>
      <c r="L2" s="3170">
        <v>2010</v>
      </c>
      <c r="O2">
        <f>1-(2025-O1)/60</f>
        <v>0.98333333333333328</v>
      </c>
      <c r="Q2" s="3170" t="s">
        <v>4871</v>
      </c>
      <c r="R2" s="3170">
        <v>284</v>
      </c>
      <c r="S2" s="3170">
        <v>7391</v>
      </c>
      <c r="T2" s="3170">
        <v>5235</v>
      </c>
      <c r="U2" s="3170">
        <v>3869.69</v>
      </c>
      <c r="V2" s="3170">
        <v>779</v>
      </c>
      <c r="W2" s="3170">
        <v>19925</v>
      </c>
      <c r="X2" s="3170">
        <v>493</v>
      </c>
      <c r="Y2" s="3170">
        <v>12482</v>
      </c>
    </row>
    <row r="3" spans="2:28" ht="14.25">
      <c r="B3">
        <f>1-(2025-B2)/60</f>
        <v>0.93333333333333335</v>
      </c>
      <c r="D3" s="3207" t="s">
        <v>3493</v>
      </c>
      <c r="E3" s="3207">
        <v>1</v>
      </c>
      <c r="F3" s="3207">
        <v>136</v>
      </c>
      <c r="G3" s="3207">
        <v>23692</v>
      </c>
      <c r="H3" s="3207">
        <v>321.48</v>
      </c>
      <c r="I3" s="3207" t="s">
        <v>3427</v>
      </c>
      <c r="J3" s="3207" t="s">
        <v>3427</v>
      </c>
      <c r="K3" s="3207">
        <v>20</v>
      </c>
      <c r="L3" s="3207">
        <v>2010</v>
      </c>
      <c r="Q3" s="3210" t="s">
        <v>3584</v>
      </c>
      <c r="R3" s="3210">
        <v>2</v>
      </c>
      <c r="S3" s="3210">
        <v>50</v>
      </c>
      <c r="T3" s="3210">
        <v>5201</v>
      </c>
      <c r="U3" s="3210">
        <v>26.25</v>
      </c>
      <c r="V3" s="3210" t="s">
        <v>3427</v>
      </c>
      <c r="W3" s="3210" t="s">
        <v>3427</v>
      </c>
      <c r="X3" s="3210">
        <v>493</v>
      </c>
      <c r="Y3" s="3210">
        <v>12482</v>
      </c>
      <c r="AA3" s="3245">
        <f>U3/R3</f>
        <v>13.125</v>
      </c>
      <c r="AB3" t="s">
        <v>4932</v>
      </c>
    </row>
    <row r="4" spans="2:28" ht="14.25">
      <c r="D4" s="3170" t="s">
        <v>3578</v>
      </c>
      <c r="E4" s="3170">
        <v>1</v>
      </c>
      <c r="F4" s="3170">
        <v>82</v>
      </c>
      <c r="G4" s="3170">
        <v>23818</v>
      </c>
      <c r="H4" s="3170">
        <v>194.45</v>
      </c>
      <c r="I4" s="3170" t="s">
        <v>3427</v>
      </c>
      <c r="J4" s="3170" t="s">
        <v>3427</v>
      </c>
      <c r="K4" s="3170">
        <v>21</v>
      </c>
      <c r="L4" s="3170">
        <v>2146</v>
      </c>
      <c r="Q4" s="3170" t="s">
        <v>3573</v>
      </c>
      <c r="R4" s="3170">
        <v>2</v>
      </c>
      <c r="S4" s="3170">
        <v>48</v>
      </c>
      <c r="T4" s="3170">
        <v>5210</v>
      </c>
      <c r="U4" s="3170">
        <v>25.07</v>
      </c>
      <c r="V4" s="3170" t="s">
        <v>3427</v>
      </c>
      <c r="W4" s="3170" t="s">
        <v>3427</v>
      </c>
      <c r="X4" s="3170">
        <v>495</v>
      </c>
      <c r="Y4" s="3170">
        <v>12532</v>
      </c>
      <c r="AA4" s="3245">
        <f t="shared" ref="AA4:AA14" si="0">U4/R4</f>
        <v>12.535</v>
      </c>
      <c r="AB4" s="1405" t="s">
        <v>4933</v>
      </c>
    </row>
    <row r="5" spans="2:28" ht="14.25">
      <c r="Q5" s="3170" t="s">
        <v>4872</v>
      </c>
      <c r="R5" s="3170">
        <v>3</v>
      </c>
      <c r="S5" s="3170">
        <v>75</v>
      </c>
      <c r="T5" s="3170">
        <v>5202</v>
      </c>
      <c r="U5" s="3170">
        <v>39</v>
      </c>
      <c r="V5" s="3170" t="s">
        <v>3427</v>
      </c>
      <c r="W5" s="3170" t="s">
        <v>3427</v>
      </c>
      <c r="X5" s="3170">
        <v>497</v>
      </c>
      <c r="Y5" s="3170">
        <v>12580</v>
      </c>
      <c r="AA5" s="3245">
        <f t="shared" si="0"/>
        <v>13</v>
      </c>
    </row>
    <row r="6" spans="2:28" ht="14.25">
      <c r="C6" s="1405" t="s">
        <v>4893</v>
      </c>
      <c r="D6" s="3500" t="s">
        <v>4877</v>
      </c>
      <c r="E6" s="3500" t="s">
        <v>3419</v>
      </c>
      <c r="F6" s="3500" t="s">
        <v>3420</v>
      </c>
      <c r="G6" s="3500" t="s">
        <v>4878</v>
      </c>
      <c r="H6" s="3500" t="s">
        <v>4879</v>
      </c>
      <c r="I6" s="3500" t="s">
        <v>4880</v>
      </c>
      <c r="J6" s="3500" t="s">
        <v>4881</v>
      </c>
      <c r="K6" s="3500" t="s">
        <v>4882</v>
      </c>
      <c r="L6" s="3500" t="s">
        <v>4883</v>
      </c>
      <c r="Q6" s="3170" t="s">
        <v>3495</v>
      </c>
      <c r="R6" s="3170">
        <v>8</v>
      </c>
      <c r="S6" s="3170">
        <v>196</v>
      </c>
      <c r="T6" s="3170">
        <v>5214</v>
      </c>
      <c r="U6" s="3170">
        <v>102.05</v>
      </c>
      <c r="V6" s="3170" t="s">
        <v>3427</v>
      </c>
      <c r="W6" s="3170" t="s">
        <v>3427</v>
      </c>
      <c r="X6" s="3170">
        <v>501</v>
      </c>
      <c r="Y6" s="3170">
        <v>12680</v>
      </c>
      <c r="AA6" s="3245">
        <f t="shared" si="0"/>
        <v>12.75625</v>
      </c>
    </row>
    <row r="7" spans="2:28" ht="14.25">
      <c r="D7" s="3170" t="s">
        <v>4871</v>
      </c>
      <c r="E7" s="3170">
        <v>178</v>
      </c>
      <c r="F7" s="3170">
        <v>5682</v>
      </c>
      <c r="G7" s="3170">
        <v>4482</v>
      </c>
      <c r="H7" s="3170">
        <v>2546.56</v>
      </c>
      <c r="I7" s="3170">
        <v>757</v>
      </c>
      <c r="J7" s="3170">
        <v>24333</v>
      </c>
      <c r="K7" s="3170">
        <v>4</v>
      </c>
      <c r="L7" s="3170">
        <v>112</v>
      </c>
      <c r="Q7" s="3170" t="s">
        <v>4873</v>
      </c>
      <c r="R7" s="3170">
        <v>8</v>
      </c>
      <c r="S7" s="3170">
        <v>193</v>
      </c>
      <c r="T7" s="3170">
        <v>5212</v>
      </c>
      <c r="U7" s="3170">
        <v>100.57</v>
      </c>
      <c r="V7" s="3170" t="s">
        <v>3427</v>
      </c>
      <c r="W7" s="3170" t="s">
        <v>3427</v>
      </c>
      <c r="X7" s="3170">
        <v>509</v>
      </c>
      <c r="Y7" s="3170">
        <v>12876</v>
      </c>
      <c r="AA7" s="3245">
        <f t="shared" si="0"/>
        <v>12.571249999999999</v>
      </c>
    </row>
    <row r="8" spans="2:28" ht="14.25">
      <c r="D8" s="3210" t="s">
        <v>4874</v>
      </c>
      <c r="E8" s="3210">
        <v>1</v>
      </c>
      <c r="F8" s="3210">
        <v>32</v>
      </c>
      <c r="G8" s="3210">
        <v>2996</v>
      </c>
      <c r="H8" s="3210">
        <v>9.7200000000000006</v>
      </c>
      <c r="I8" s="3210" t="s">
        <v>3427</v>
      </c>
      <c r="J8" s="3210" t="s">
        <v>3427</v>
      </c>
      <c r="K8" s="3210">
        <v>4</v>
      </c>
      <c r="L8" s="3210">
        <v>112</v>
      </c>
      <c r="N8" s="3245">
        <f>H8/E8</f>
        <v>9.7200000000000006</v>
      </c>
      <c r="Q8" s="3170" t="s">
        <v>4874</v>
      </c>
      <c r="R8" s="3170">
        <v>97</v>
      </c>
      <c r="S8" s="3170">
        <v>2748</v>
      </c>
      <c r="T8" s="3170">
        <v>5213</v>
      </c>
      <c r="U8" s="3170">
        <v>1432.46</v>
      </c>
      <c r="V8" s="3170" t="s">
        <v>3427</v>
      </c>
      <c r="W8" s="3170" t="s">
        <v>3427</v>
      </c>
      <c r="X8" s="3170">
        <v>517</v>
      </c>
      <c r="Y8" s="3170">
        <v>13069</v>
      </c>
      <c r="AA8" s="3245">
        <f t="shared" si="0"/>
        <v>14.767628865979383</v>
      </c>
    </row>
    <row r="9" spans="2:28" ht="14.25">
      <c r="D9" s="3170" t="s">
        <v>4200</v>
      </c>
      <c r="E9" s="3170">
        <v>3</v>
      </c>
      <c r="F9" s="3170">
        <v>97</v>
      </c>
      <c r="G9" s="3170">
        <v>3005</v>
      </c>
      <c r="H9" s="3170">
        <v>29.24</v>
      </c>
      <c r="I9" s="3170" t="s">
        <v>3427</v>
      </c>
      <c r="J9" s="3170" t="s">
        <v>3427</v>
      </c>
      <c r="K9" s="3170" t="s">
        <v>3427</v>
      </c>
      <c r="L9" s="3170" t="s">
        <v>3427</v>
      </c>
      <c r="N9" s="3245">
        <f t="shared" ref="N9:N20" si="1">H9/E9</f>
        <v>9.7466666666666661</v>
      </c>
      <c r="Q9" s="3170" t="s">
        <v>3489</v>
      </c>
      <c r="R9" s="3170">
        <v>8</v>
      </c>
      <c r="S9" s="3170">
        <v>205</v>
      </c>
      <c r="T9" s="3170">
        <v>5217</v>
      </c>
      <c r="U9" s="3170">
        <v>106.8</v>
      </c>
      <c r="V9" s="3170" t="s">
        <v>3427</v>
      </c>
      <c r="W9" s="3170" t="s">
        <v>3427</v>
      </c>
      <c r="X9" s="3170">
        <v>614</v>
      </c>
      <c r="Y9" s="3170">
        <v>15817</v>
      </c>
      <c r="AA9" s="3245">
        <f t="shared" si="0"/>
        <v>13.35</v>
      </c>
    </row>
    <row r="10" spans="2:28" ht="14.25">
      <c r="D10" s="3170" t="s">
        <v>4204</v>
      </c>
      <c r="E10" s="3170">
        <v>2</v>
      </c>
      <c r="F10" s="3170">
        <v>65</v>
      </c>
      <c r="G10" s="3170">
        <v>3004</v>
      </c>
      <c r="H10" s="3170">
        <v>19.489999999999998</v>
      </c>
      <c r="I10" s="3170" t="s">
        <v>3427</v>
      </c>
      <c r="J10" s="3170" t="s">
        <v>3427</v>
      </c>
      <c r="K10" s="3170" t="s">
        <v>3427</v>
      </c>
      <c r="L10" s="3170" t="s">
        <v>3427</v>
      </c>
      <c r="N10" s="3245">
        <f t="shared" si="1"/>
        <v>9.7449999999999992</v>
      </c>
      <c r="Q10" s="3170" t="s">
        <v>3493</v>
      </c>
      <c r="R10" s="3170">
        <v>2</v>
      </c>
      <c r="S10" s="3170">
        <v>50</v>
      </c>
      <c r="T10" s="3170">
        <v>5202</v>
      </c>
      <c r="U10" s="3170">
        <v>26.25</v>
      </c>
      <c r="V10" s="3170">
        <v>94</v>
      </c>
      <c r="W10" s="3170">
        <v>2673</v>
      </c>
      <c r="X10" s="3170">
        <v>529</v>
      </c>
      <c r="Y10" s="3170">
        <v>13376</v>
      </c>
      <c r="AA10" s="3245">
        <f t="shared" si="0"/>
        <v>13.125</v>
      </c>
    </row>
    <row r="11" spans="2:28" ht="14.25">
      <c r="D11" s="3170" t="s">
        <v>4203</v>
      </c>
      <c r="E11" s="3170">
        <v>1</v>
      </c>
      <c r="F11" s="3170">
        <v>32</v>
      </c>
      <c r="G11" s="3170">
        <v>3000</v>
      </c>
      <c r="H11" s="3170">
        <v>9.73</v>
      </c>
      <c r="I11" s="3170" t="s">
        <v>3427</v>
      </c>
      <c r="J11" s="3170" t="s">
        <v>3427</v>
      </c>
      <c r="K11" s="3170" t="s">
        <v>3427</v>
      </c>
      <c r="L11" s="3170" t="s">
        <v>3427</v>
      </c>
      <c r="N11" s="3245">
        <f t="shared" si="1"/>
        <v>9.73</v>
      </c>
      <c r="Q11" s="3170" t="s">
        <v>3581</v>
      </c>
      <c r="R11" s="3170">
        <v>3</v>
      </c>
      <c r="S11" s="3170">
        <v>75</v>
      </c>
      <c r="T11" s="3170">
        <v>5217</v>
      </c>
      <c r="U11" s="3170">
        <v>39.11</v>
      </c>
      <c r="V11" s="3170" t="s">
        <v>3427</v>
      </c>
      <c r="W11" s="3170" t="s">
        <v>3427</v>
      </c>
      <c r="X11" s="3170">
        <v>530</v>
      </c>
      <c r="Y11" s="3170">
        <v>13402</v>
      </c>
      <c r="AA11" s="3245">
        <f t="shared" si="0"/>
        <v>13.036666666666667</v>
      </c>
    </row>
    <row r="12" spans="2:28" ht="14.25">
      <c r="D12" s="3170" t="s">
        <v>4884</v>
      </c>
      <c r="E12" s="3170">
        <v>1</v>
      </c>
      <c r="F12" s="3170">
        <v>25</v>
      </c>
      <c r="G12" s="3170">
        <v>3004</v>
      </c>
      <c r="H12" s="3170">
        <v>7.59</v>
      </c>
      <c r="I12" s="3170" t="s">
        <v>3427</v>
      </c>
      <c r="J12" s="3170" t="s">
        <v>3427</v>
      </c>
      <c r="K12" s="3170" t="s">
        <v>3427</v>
      </c>
      <c r="L12" s="3170" t="s">
        <v>3427</v>
      </c>
      <c r="N12" s="3245">
        <f t="shared" si="1"/>
        <v>7.59</v>
      </c>
      <c r="Q12" s="3170" t="s">
        <v>3578</v>
      </c>
      <c r="R12" s="3170">
        <v>5</v>
      </c>
      <c r="S12" s="3170">
        <v>127</v>
      </c>
      <c r="T12" s="3170">
        <v>5211</v>
      </c>
      <c r="U12" s="3170">
        <v>66.11</v>
      </c>
      <c r="V12" s="3170" t="s">
        <v>3427</v>
      </c>
      <c r="W12" s="3170" t="s">
        <v>3427</v>
      </c>
      <c r="X12" s="3170">
        <v>533</v>
      </c>
      <c r="Y12" s="3170">
        <v>13477</v>
      </c>
      <c r="AA12" s="3245">
        <f t="shared" si="0"/>
        <v>13.222</v>
      </c>
    </row>
    <row r="13" spans="2:28" ht="14.25">
      <c r="D13" s="3170" t="s">
        <v>4885</v>
      </c>
      <c r="E13" s="3170">
        <v>2</v>
      </c>
      <c r="F13" s="3170">
        <v>56</v>
      </c>
      <c r="G13" s="3170">
        <v>3002</v>
      </c>
      <c r="H13" s="3170">
        <v>16.809999999999999</v>
      </c>
      <c r="I13" s="3170" t="s">
        <v>3427</v>
      </c>
      <c r="J13" s="3170" t="s">
        <v>3427</v>
      </c>
      <c r="K13" s="3170" t="s">
        <v>3427</v>
      </c>
      <c r="L13" s="3170" t="s">
        <v>3427</v>
      </c>
      <c r="N13" s="3245">
        <f t="shared" si="1"/>
        <v>8.4049999999999994</v>
      </c>
      <c r="Q13" s="3170" t="s">
        <v>4875</v>
      </c>
      <c r="R13" s="3170">
        <v>6</v>
      </c>
      <c r="S13" s="3170">
        <v>152</v>
      </c>
      <c r="T13" s="3170">
        <v>5213</v>
      </c>
      <c r="U13" s="3170">
        <v>79.16</v>
      </c>
      <c r="V13" s="3170" t="s">
        <v>3427</v>
      </c>
      <c r="W13" s="3170" t="s">
        <v>3427</v>
      </c>
      <c r="X13" s="3170">
        <v>538</v>
      </c>
      <c r="Y13" s="3170">
        <v>13603</v>
      </c>
      <c r="AA13" s="3245">
        <f t="shared" si="0"/>
        <v>13.193333333333333</v>
      </c>
    </row>
    <row r="14" spans="2:28" ht="14.25">
      <c r="D14" s="3210" t="s">
        <v>4886</v>
      </c>
      <c r="E14" s="3210">
        <v>1</v>
      </c>
      <c r="F14" s="3210">
        <v>32</v>
      </c>
      <c r="G14" s="3210">
        <v>5967</v>
      </c>
      <c r="H14" s="3210">
        <v>19.36</v>
      </c>
      <c r="I14" s="3210" t="s">
        <v>3427</v>
      </c>
      <c r="J14" s="3210" t="s">
        <v>3427</v>
      </c>
      <c r="K14" s="3210" t="s">
        <v>3427</v>
      </c>
      <c r="L14" s="3210" t="s">
        <v>3427</v>
      </c>
      <c r="N14" s="3245">
        <f t="shared" si="1"/>
        <v>19.36</v>
      </c>
      <c r="Q14" s="3170" t="s">
        <v>4078</v>
      </c>
      <c r="R14" s="3170">
        <v>8</v>
      </c>
      <c r="S14" s="3170">
        <v>200</v>
      </c>
      <c r="T14" s="3170">
        <v>5213</v>
      </c>
      <c r="U14" s="3170">
        <v>104.24</v>
      </c>
      <c r="V14" s="3170" t="s">
        <v>3427</v>
      </c>
      <c r="W14" s="3170" t="s">
        <v>3427</v>
      </c>
      <c r="X14" s="3170">
        <v>544</v>
      </c>
      <c r="Y14" s="3170">
        <v>13755</v>
      </c>
      <c r="AA14" s="3245">
        <f t="shared" si="0"/>
        <v>13.03</v>
      </c>
    </row>
    <row r="15" spans="2:28" ht="14.25">
      <c r="D15" s="3170" t="s">
        <v>4887</v>
      </c>
      <c r="E15" s="3170">
        <v>1</v>
      </c>
      <c r="F15" s="3170">
        <v>32</v>
      </c>
      <c r="G15" s="3170">
        <v>3289</v>
      </c>
      <c r="H15" s="3170">
        <v>10.67</v>
      </c>
      <c r="I15" s="3170" t="s">
        <v>3427</v>
      </c>
      <c r="J15" s="3170" t="s">
        <v>3427</v>
      </c>
      <c r="K15" s="3170" t="s">
        <v>3427</v>
      </c>
      <c r="L15" s="3170" t="s">
        <v>3427</v>
      </c>
      <c r="N15" s="3245">
        <f t="shared" si="1"/>
        <v>10.67</v>
      </c>
      <c r="P15" s="1405" t="s">
        <v>4904</v>
      </c>
      <c r="Q15" s="3500" t="s">
        <v>4877</v>
      </c>
      <c r="R15" s="3500" t="s">
        <v>3419</v>
      </c>
      <c r="S15" s="3500" t="s">
        <v>3420</v>
      </c>
      <c r="T15" s="3500" t="s">
        <v>4878</v>
      </c>
      <c r="U15" s="3500" t="s">
        <v>4879</v>
      </c>
      <c r="V15" s="3500" t="s">
        <v>4880</v>
      </c>
      <c r="W15" s="3500" t="s">
        <v>4881</v>
      </c>
      <c r="X15" s="3500" t="s">
        <v>4882</v>
      </c>
      <c r="Y15" s="3500" t="s">
        <v>4883</v>
      </c>
      <c r="AA15" s="3245"/>
    </row>
    <row r="16" spans="2:28" ht="14.25">
      <c r="D16" s="3170" t="s">
        <v>4888</v>
      </c>
      <c r="E16" s="3170">
        <v>10</v>
      </c>
      <c r="F16" s="3170">
        <v>317</v>
      </c>
      <c r="G16" s="3170">
        <v>4605</v>
      </c>
      <c r="H16" s="3170">
        <v>146.07</v>
      </c>
      <c r="I16" s="3170" t="s">
        <v>3427</v>
      </c>
      <c r="J16" s="3170" t="s">
        <v>3427</v>
      </c>
      <c r="K16" s="3170">
        <v>1</v>
      </c>
      <c r="L16" s="3170">
        <v>32</v>
      </c>
      <c r="N16" s="3245">
        <f t="shared" si="1"/>
        <v>14.606999999999999</v>
      </c>
      <c r="Q16" s="3170" t="s">
        <v>4871</v>
      </c>
      <c r="R16" s="3170">
        <v>51</v>
      </c>
      <c r="S16" s="3170">
        <v>948</v>
      </c>
      <c r="T16" s="3170">
        <v>3270</v>
      </c>
      <c r="U16" s="3170">
        <v>310.16000000000003</v>
      </c>
      <c r="V16" s="3170">
        <v>194</v>
      </c>
      <c r="W16" s="3170">
        <v>3833</v>
      </c>
      <c r="X16" s="3170">
        <v>142</v>
      </c>
      <c r="Y16" s="3170">
        <v>2867</v>
      </c>
    </row>
    <row r="17" spans="3:25" ht="14.25">
      <c r="D17" s="3170" t="s">
        <v>4889</v>
      </c>
      <c r="E17" s="3170">
        <v>7</v>
      </c>
      <c r="F17" s="3170">
        <v>227</v>
      </c>
      <c r="G17" s="3170">
        <v>4700</v>
      </c>
      <c r="H17" s="3170">
        <v>106.72</v>
      </c>
      <c r="I17" s="3170" t="s">
        <v>3427</v>
      </c>
      <c r="J17" s="3170" t="s">
        <v>3427</v>
      </c>
      <c r="K17" s="3170">
        <v>3</v>
      </c>
      <c r="L17" s="3170">
        <v>97</v>
      </c>
      <c r="N17" s="3245">
        <f t="shared" si="1"/>
        <v>15.245714285714286</v>
      </c>
      <c r="Q17" s="3211" t="s">
        <v>4875</v>
      </c>
      <c r="R17" s="3211">
        <v>4</v>
      </c>
      <c r="S17" s="3211">
        <v>84</v>
      </c>
      <c r="T17" s="3211">
        <v>3367</v>
      </c>
      <c r="U17" s="3211">
        <v>28.32</v>
      </c>
      <c r="V17" s="3211" t="s">
        <v>3427</v>
      </c>
      <c r="W17" s="3211" t="s">
        <v>3427</v>
      </c>
      <c r="X17" s="3211">
        <v>119</v>
      </c>
      <c r="Y17" s="3211">
        <v>2559</v>
      </c>
    </row>
    <row r="18" spans="3:25" ht="14.25">
      <c r="D18" s="3170" t="s">
        <v>4890</v>
      </c>
      <c r="E18" s="3170">
        <v>1</v>
      </c>
      <c r="F18" s="3170">
        <v>32</v>
      </c>
      <c r="G18" s="3170">
        <v>5629</v>
      </c>
      <c r="H18" s="3170">
        <v>18.260000000000002</v>
      </c>
      <c r="I18" s="3170" t="s">
        <v>3427</v>
      </c>
      <c r="J18" s="3170" t="s">
        <v>3427</v>
      </c>
      <c r="K18" s="3170" t="s">
        <v>3427</v>
      </c>
      <c r="L18" s="3170" t="s">
        <v>3427</v>
      </c>
      <c r="N18" s="3245">
        <f t="shared" si="1"/>
        <v>18.260000000000002</v>
      </c>
      <c r="Q18" s="3170" t="s">
        <v>4078</v>
      </c>
      <c r="R18" s="3170">
        <v>1</v>
      </c>
      <c r="S18" s="3170">
        <v>20</v>
      </c>
      <c r="T18" s="3170">
        <v>3360</v>
      </c>
      <c r="U18" s="3170">
        <v>6.79</v>
      </c>
      <c r="V18" s="3170">
        <v>23</v>
      </c>
      <c r="W18" s="3170">
        <v>308</v>
      </c>
      <c r="X18" s="3170">
        <v>123</v>
      </c>
      <c r="Y18" s="3170">
        <v>2643</v>
      </c>
    </row>
    <row r="19" spans="3:25" ht="14.25">
      <c r="D19" s="3170" t="s">
        <v>4891</v>
      </c>
      <c r="E19" s="3170">
        <v>11</v>
      </c>
      <c r="F19" s="3170">
        <v>350</v>
      </c>
      <c r="G19" s="3170">
        <v>5291</v>
      </c>
      <c r="H19" s="3170">
        <v>184.99</v>
      </c>
      <c r="I19" s="3170" t="s">
        <v>3427</v>
      </c>
      <c r="J19" s="3170" t="s">
        <v>3427</v>
      </c>
      <c r="K19" s="3170">
        <v>1</v>
      </c>
      <c r="L19" s="3170">
        <v>32</v>
      </c>
      <c r="N19" s="3245">
        <f t="shared" si="1"/>
        <v>16.817272727272726</v>
      </c>
      <c r="Q19" s="3170" t="s">
        <v>3849</v>
      </c>
      <c r="R19" s="3170">
        <v>1</v>
      </c>
      <c r="S19" s="3170">
        <v>13</v>
      </c>
      <c r="T19" s="3170">
        <v>3367</v>
      </c>
      <c r="U19" s="3170">
        <v>4.22</v>
      </c>
      <c r="V19" s="3170">
        <v>14</v>
      </c>
      <c r="W19" s="3170">
        <v>284</v>
      </c>
      <c r="X19" s="3170">
        <v>110</v>
      </c>
      <c r="Y19" s="3170">
        <v>2380</v>
      </c>
    </row>
    <row r="20" spans="3:25" ht="14.25">
      <c r="D20" s="3170" t="s">
        <v>4892</v>
      </c>
      <c r="E20" s="3170">
        <v>7</v>
      </c>
      <c r="F20" s="3170">
        <v>227</v>
      </c>
      <c r="G20" s="3170">
        <v>4647</v>
      </c>
      <c r="H20" s="3170">
        <v>105.53</v>
      </c>
      <c r="I20" s="3170" t="s">
        <v>3427</v>
      </c>
      <c r="J20" s="3170" t="s">
        <v>3427</v>
      </c>
      <c r="K20" s="3170" t="s">
        <v>3427</v>
      </c>
      <c r="L20" s="3170" t="s">
        <v>3427</v>
      </c>
      <c r="N20" s="3245">
        <f t="shared" si="1"/>
        <v>15.075714285714286</v>
      </c>
      <c r="Q20" s="3170" t="s">
        <v>3781</v>
      </c>
      <c r="R20" s="3170">
        <v>1</v>
      </c>
      <c r="S20" s="3170">
        <v>27</v>
      </c>
      <c r="T20" s="3170">
        <v>3371</v>
      </c>
      <c r="U20" s="3170">
        <v>9.25</v>
      </c>
      <c r="V20" s="3170" t="s">
        <v>3427</v>
      </c>
      <c r="W20" s="3170" t="s">
        <v>3427</v>
      </c>
      <c r="X20" s="3170">
        <v>111</v>
      </c>
      <c r="Y20" s="3170">
        <v>2392</v>
      </c>
    </row>
    <row r="21" spans="3:25" ht="14.25">
      <c r="Q21" s="3170" t="s">
        <v>4895</v>
      </c>
      <c r="R21" s="3170">
        <v>1</v>
      </c>
      <c r="S21" s="3170">
        <v>12</v>
      </c>
      <c r="T21" s="3170">
        <v>3377</v>
      </c>
      <c r="U21" s="3170">
        <v>3.96</v>
      </c>
      <c r="V21" s="3170" t="s">
        <v>3427</v>
      </c>
      <c r="W21" s="3170" t="s">
        <v>3427</v>
      </c>
      <c r="X21" s="3170">
        <v>112</v>
      </c>
      <c r="Y21" s="3170">
        <v>2419</v>
      </c>
    </row>
    <row r="22" spans="3:25" ht="14.25">
      <c r="C22" s="1405" t="s">
        <v>4894</v>
      </c>
      <c r="D22" s="3500" t="s">
        <v>4877</v>
      </c>
      <c r="E22" s="3500" t="s">
        <v>3419</v>
      </c>
      <c r="F22" s="3500" t="s">
        <v>3420</v>
      </c>
      <c r="G22" s="3500" t="s">
        <v>4878</v>
      </c>
      <c r="H22" s="3500" t="s">
        <v>4879</v>
      </c>
      <c r="I22" s="3500" t="s">
        <v>4880</v>
      </c>
      <c r="J22" s="3500" t="s">
        <v>4881</v>
      </c>
      <c r="K22" s="3500" t="s">
        <v>4882</v>
      </c>
      <c r="L22" s="3500" t="s">
        <v>4883</v>
      </c>
      <c r="Q22" s="3170" t="s">
        <v>4195</v>
      </c>
      <c r="R22" s="3170">
        <v>1</v>
      </c>
      <c r="S22" s="3170">
        <v>21</v>
      </c>
      <c r="T22" s="3170">
        <v>3367</v>
      </c>
      <c r="U22" s="3170">
        <v>7.23</v>
      </c>
      <c r="V22" s="3170" t="s">
        <v>3427</v>
      </c>
      <c r="W22" s="3170" t="s">
        <v>3427</v>
      </c>
      <c r="X22" s="3170">
        <v>113</v>
      </c>
      <c r="Y22" s="3170">
        <v>2431</v>
      </c>
    </row>
    <row r="23" spans="3:25" ht="14.25">
      <c r="D23" s="3170" t="s">
        <v>4871</v>
      </c>
      <c r="E23" s="3170">
        <v>62</v>
      </c>
      <c r="F23" s="3170">
        <v>3911</v>
      </c>
      <c r="G23" s="3170">
        <v>11927</v>
      </c>
      <c r="H23" s="3170">
        <v>4664.04</v>
      </c>
      <c r="I23" s="3170">
        <v>201</v>
      </c>
      <c r="J23" s="3170">
        <v>12545</v>
      </c>
      <c r="K23" s="3170">
        <v>17</v>
      </c>
      <c r="L23" s="3170">
        <v>2775</v>
      </c>
      <c r="P23" s="1405" t="s">
        <v>4905</v>
      </c>
      <c r="Q23" s="3500" t="s">
        <v>4877</v>
      </c>
      <c r="R23" s="3500" t="s">
        <v>3419</v>
      </c>
      <c r="S23" s="3500" t="s">
        <v>3420</v>
      </c>
      <c r="T23" s="3500" t="s">
        <v>4878</v>
      </c>
      <c r="U23" s="3500" t="s">
        <v>4879</v>
      </c>
      <c r="V23" s="3500" t="s">
        <v>4880</v>
      </c>
      <c r="W23" s="3500" t="s">
        <v>4881</v>
      </c>
      <c r="X23" s="3500" t="s">
        <v>4882</v>
      </c>
      <c r="Y23" s="3500" t="s">
        <v>4883</v>
      </c>
    </row>
    <row r="24" spans="3:25" ht="14.25">
      <c r="D24" s="3208" t="s">
        <v>4873</v>
      </c>
      <c r="E24" s="3208">
        <v>1</v>
      </c>
      <c r="F24" s="3208">
        <v>47</v>
      </c>
      <c r="G24" s="3208">
        <v>12439</v>
      </c>
      <c r="H24" s="3208">
        <v>58.45</v>
      </c>
      <c r="I24" s="3208" t="s">
        <v>3427</v>
      </c>
      <c r="J24" s="3208" t="s">
        <v>3427</v>
      </c>
      <c r="K24" s="3208">
        <v>17</v>
      </c>
      <c r="L24" s="3208">
        <v>2775</v>
      </c>
      <c r="Q24" s="3170" t="s">
        <v>4871</v>
      </c>
      <c r="R24" s="3170">
        <v>46</v>
      </c>
      <c r="S24" s="3170">
        <v>13562</v>
      </c>
      <c r="T24" s="3170">
        <v>13633</v>
      </c>
      <c r="U24" s="3170">
        <v>18489.759999999998</v>
      </c>
      <c r="V24" s="3170">
        <v>46</v>
      </c>
      <c r="W24" s="3170">
        <v>13562</v>
      </c>
      <c r="X24" s="3170" t="s">
        <v>3427</v>
      </c>
      <c r="Y24" s="3170" t="s">
        <v>3427</v>
      </c>
    </row>
    <row r="25" spans="3:25" ht="14.25">
      <c r="D25" s="3170" t="s">
        <v>4874</v>
      </c>
      <c r="E25" s="3170">
        <v>7</v>
      </c>
      <c r="F25" s="3170">
        <v>366</v>
      </c>
      <c r="G25" s="3170">
        <v>12436</v>
      </c>
      <c r="H25" s="3170">
        <v>454.64</v>
      </c>
      <c r="I25" s="3170" t="s">
        <v>3427</v>
      </c>
      <c r="J25" s="3170" t="s">
        <v>3427</v>
      </c>
      <c r="K25" s="3170">
        <v>18</v>
      </c>
      <c r="L25" s="3170">
        <v>2822</v>
      </c>
      <c r="Q25" s="3209" t="s">
        <v>4874</v>
      </c>
      <c r="R25" s="3209">
        <v>46</v>
      </c>
      <c r="S25" s="3209">
        <v>13562</v>
      </c>
      <c r="T25" s="3209">
        <v>13633</v>
      </c>
      <c r="U25" s="3209">
        <v>18489.759999999998</v>
      </c>
      <c r="V25" s="3209" t="s">
        <v>3427</v>
      </c>
      <c r="W25" s="3209" t="s">
        <v>3427</v>
      </c>
      <c r="X25" s="3209" t="s">
        <v>3427</v>
      </c>
      <c r="Y25" s="3209" t="s">
        <v>3427</v>
      </c>
    </row>
    <row r="26" spans="3:25" ht="14.25">
      <c r="Q26" s="3500" t="s">
        <v>4877</v>
      </c>
      <c r="R26" s="3500" t="s">
        <v>3419</v>
      </c>
      <c r="S26" s="3500" t="s">
        <v>3420</v>
      </c>
      <c r="T26" s="3500" t="s">
        <v>4878</v>
      </c>
      <c r="U26" s="3500" t="s">
        <v>4879</v>
      </c>
      <c r="V26" s="3500" t="s">
        <v>4880</v>
      </c>
      <c r="W26" s="3500" t="s">
        <v>4881</v>
      </c>
      <c r="X26" s="3500" t="s">
        <v>4882</v>
      </c>
      <c r="Y26" s="3500" t="s">
        <v>4883</v>
      </c>
    </row>
    <row r="27" spans="3:25" ht="14.25">
      <c r="P27" s="1405" t="s">
        <v>4906</v>
      </c>
      <c r="Q27" s="3170" t="s">
        <v>4871</v>
      </c>
      <c r="R27" s="3170">
        <v>44</v>
      </c>
      <c r="S27" s="3170">
        <v>2852</v>
      </c>
      <c r="T27" s="3170">
        <v>24993</v>
      </c>
      <c r="U27" s="3170">
        <v>7126.75</v>
      </c>
      <c r="V27" s="3170">
        <v>62</v>
      </c>
      <c r="W27" s="3170">
        <v>4047</v>
      </c>
      <c r="X27" s="3170">
        <v>18</v>
      </c>
      <c r="Y27" s="3170">
        <v>1196</v>
      </c>
    </row>
    <row r="28" spans="3:25" ht="14.25">
      <c r="C28" s="1405" t="s">
        <v>4899</v>
      </c>
      <c r="D28" s="3500" t="s">
        <v>4877</v>
      </c>
      <c r="E28" s="3500" t="s">
        <v>3419</v>
      </c>
      <c r="F28" s="3500" t="s">
        <v>3420</v>
      </c>
      <c r="G28" s="3500" t="s">
        <v>4878</v>
      </c>
      <c r="H28" s="3500" t="s">
        <v>4879</v>
      </c>
      <c r="I28" s="3500" t="s">
        <v>4880</v>
      </c>
      <c r="J28" s="3500" t="s">
        <v>4881</v>
      </c>
      <c r="K28" s="3500" t="s">
        <v>4882</v>
      </c>
      <c r="L28" s="3500" t="s">
        <v>4883</v>
      </c>
      <c r="Q28" s="3207" t="s">
        <v>4874</v>
      </c>
      <c r="R28" s="3207">
        <v>44</v>
      </c>
      <c r="S28" s="3207">
        <v>2852</v>
      </c>
      <c r="T28" s="3207">
        <v>24993</v>
      </c>
      <c r="U28" s="3207">
        <v>7126.75</v>
      </c>
      <c r="V28" s="3207" t="s">
        <v>3427</v>
      </c>
      <c r="W28" s="3207" t="s">
        <v>3427</v>
      </c>
      <c r="X28" s="3207">
        <v>18</v>
      </c>
      <c r="Y28" s="3207">
        <v>1196</v>
      </c>
    </row>
    <row r="29" spans="3:25" ht="14.25">
      <c r="D29" s="3170" t="s">
        <v>4871</v>
      </c>
      <c r="E29" s="3170">
        <v>1</v>
      </c>
      <c r="F29" s="3170">
        <v>11</v>
      </c>
      <c r="G29" s="3170">
        <v>3233</v>
      </c>
      <c r="H29" s="3170">
        <v>3.4</v>
      </c>
      <c r="I29" s="3170">
        <v>633</v>
      </c>
      <c r="J29" s="3170">
        <v>9293</v>
      </c>
      <c r="K29" s="3170">
        <v>5</v>
      </c>
      <c r="L29" s="3170">
        <v>63</v>
      </c>
      <c r="Q29" s="3170"/>
      <c r="R29" s="3170"/>
      <c r="S29" s="3170"/>
      <c r="T29" s="3170"/>
      <c r="U29" s="3170"/>
      <c r="V29" s="3170"/>
      <c r="W29" s="3170"/>
      <c r="X29" s="3170"/>
      <c r="Y29" s="3170"/>
    </row>
    <row r="30" spans="3:25" ht="14.25">
      <c r="D30" s="3211" t="s">
        <v>4897</v>
      </c>
      <c r="E30" s="3211">
        <v>1</v>
      </c>
      <c r="F30" s="3211">
        <v>11</v>
      </c>
      <c r="G30" s="3211">
        <v>3233</v>
      </c>
      <c r="H30" s="3211">
        <v>3.4</v>
      </c>
      <c r="I30" s="3211" t="s">
        <v>3427</v>
      </c>
      <c r="J30" s="3211" t="s">
        <v>3427</v>
      </c>
      <c r="K30" s="3211">
        <v>3</v>
      </c>
      <c r="L30" s="3211">
        <v>48</v>
      </c>
      <c r="Q30" s="3170"/>
      <c r="R30" s="3170"/>
      <c r="S30" s="3170"/>
      <c r="T30" s="3170"/>
      <c r="U30" s="3170"/>
      <c r="V30" s="3170"/>
      <c r="W30" s="3170"/>
      <c r="X30" s="3170"/>
      <c r="Y30" s="3170"/>
    </row>
    <row r="31" spans="3:25" ht="14.25">
      <c r="D31" s="3170" t="s">
        <v>4898</v>
      </c>
      <c r="E31" s="3170" t="s">
        <v>3427</v>
      </c>
      <c r="F31" s="3170" t="s">
        <v>3427</v>
      </c>
      <c r="G31" s="3170" t="s">
        <v>3427</v>
      </c>
      <c r="H31" s="3170" t="s">
        <v>3427</v>
      </c>
      <c r="I31" s="3170" t="s">
        <v>3427</v>
      </c>
      <c r="J31" s="3170" t="s">
        <v>3427</v>
      </c>
      <c r="K31" s="3170">
        <v>3</v>
      </c>
      <c r="L31" s="3170">
        <v>48</v>
      </c>
      <c r="Q31" s="3170"/>
      <c r="R31" s="3170"/>
      <c r="S31" s="3170"/>
      <c r="T31" s="3170"/>
      <c r="U31" s="3170"/>
      <c r="V31" s="3170"/>
      <c r="W31" s="3170"/>
      <c r="X31" s="3170"/>
      <c r="Y31" s="3170"/>
    </row>
    <row r="32" spans="3:25" ht="14.25">
      <c r="Q32" s="3170"/>
      <c r="R32" s="3170"/>
      <c r="S32" s="3170"/>
      <c r="T32" s="3170"/>
      <c r="U32" s="3170"/>
      <c r="V32" s="3170"/>
      <c r="W32" s="3170"/>
      <c r="X32" s="3170"/>
      <c r="Y32" s="3170"/>
    </row>
    <row r="34" spans="2:25" ht="14.25">
      <c r="O34">
        <v>2020</v>
      </c>
      <c r="P34" s="1405" t="s">
        <v>4907</v>
      </c>
      <c r="Q34" s="3500" t="s">
        <v>4877</v>
      </c>
      <c r="R34" s="3500" t="s">
        <v>3419</v>
      </c>
      <c r="S34" s="3500" t="s">
        <v>3420</v>
      </c>
      <c r="T34" s="3500" t="s">
        <v>4878</v>
      </c>
      <c r="U34" s="3500" t="s">
        <v>4879</v>
      </c>
      <c r="V34" s="3500" t="s">
        <v>4880</v>
      </c>
      <c r="W34" s="3500" t="s">
        <v>4881</v>
      </c>
      <c r="X34" s="3500" t="s">
        <v>4882</v>
      </c>
      <c r="Y34" s="3500" t="s">
        <v>4883</v>
      </c>
    </row>
    <row r="35" spans="2:25" ht="14.25">
      <c r="B35">
        <v>2013</v>
      </c>
      <c r="C35" s="1405" t="s">
        <v>4900</v>
      </c>
      <c r="D35" s="3500" t="s">
        <v>4877</v>
      </c>
      <c r="E35" s="3170" t="s">
        <v>3419</v>
      </c>
      <c r="F35" s="3170" t="s">
        <v>3420</v>
      </c>
      <c r="G35" s="3170" t="s">
        <v>4878</v>
      </c>
      <c r="H35" s="3170" t="s">
        <v>4879</v>
      </c>
      <c r="I35" s="3170" t="s">
        <v>4880</v>
      </c>
      <c r="J35" s="3170" t="s">
        <v>4881</v>
      </c>
      <c r="K35" s="3170" t="s">
        <v>4882</v>
      </c>
      <c r="L35" s="3170" t="s">
        <v>4883</v>
      </c>
      <c r="O35">
        <f>1-(2025-O34)/60</f>
        <v>0.91666666666666663</v>
      </c>
      <c r="Q35" s="3170" t="s">
        <v>4871</v>
      </c>
      <c r="R35" s="3170">
        <v>121</v>
      </c>
      <c r="S35" s="3170">
        <v>3221</v>
      </c>
      <c r="T35" s="3170">
        <v>3785</v>
      </c>
      <c r="U35" s="3170">
        <v>1219.3900000000001</v>
      </c>
      <c r="V35" s="3170">
        <v>2263</v>
      </c>
      <c r="W35" s="3170">
        <v>43554</v>
      </c>
      <c r="X35" s="3170">
        <v>8</v>
      </c>
      <c r="Y35" s="3170">
        <v>188</v>
      </c>
    </row>
    <row r="36" spans="2:25" ht="14.25">
      <c r="B36">
        <f>1-(2025-B35)/60</f>
        <v>0.8</v>
      </c>
      <c r="D36" s="3170" t="s">
        <v>4871</v>
      </c>
      <c r="E36" s="3170">
        <v>25</v>
      </c>
      <c r="F36" s="3170">
        <v>7631</v>
      </c>
      <c r="G36" s="3170">
        <v>11998</v>
      </c>
      <c r="H36" s="3170">
        <v>9155.8799999999992</v>
      </c>
      <c r="I36" s="3170">
        <v>80</v>
      </c>
      <c r="J36" s="3170">
        <v>19629</v>
      </c>
      <c r="K36" s="3170">
        <v>14</v>
      </c>
      <c r="L36" s="3170">
        <v>1922</v>
      </c>
      <c r="Q36" s="3211" t="s">
        <v>4204</v>
      </c>
      <c r="R36" s="3211">
        <v>2</v>
      </c>
      <c r="S36" s="3211">
        <v>19</v>
      </c>
      <c r="T36" s="3211">
        <v>2722</v>
      </c>
      <c r="U36" s="3211">
        <v>5.04</v>
      </c>
      <c r="V36" s="3211" t="s">
        <v>3427</v>
      </c>
      <c r="W36" s="3211" t="s">
        <v>3427</v>
      </c>
      <c r="X36" s="3211">
        <v>21</v>
      </c>
      <c r="Y36" s="3211">
        <v>579</v>
      </c>
    </row>
    <row r="37" spans="2:25" ht="14.25">
      <c r="D37" s="3207" t="s">
        <v>4201</v>
      </c>
      <c r="E37" s="3207">
        <v>2</v>
      </c>
      <c r="F37" s="3207">
        <v>568</v>
      </c>
      <c r="G37" s="3207">
        <v>12021</v>
      </c>
      <c r="H37" s="3207">
        <v>683.08</v>
      </c>
      <c r="I37" s="3207" t="s">
        <v>3427</v>
      </c>
      <c r="J37" s="3207" t="s">
        <v>3427</v>
      </c>
      <c r="K37" s="3207">
        <v>14</v>
      </c>
      <c r="L37" s="3207">
        <v>1922</v>
      </c>
      <c r="Q37" s="3170" t="s">
        <v>4203</v>
      </c>
      <c r="R37" s="3170" t="s">
        <v>3427</v>
      </c>
      <c r="S37" s="3170" t="s">
        <v>3427</v>
      </c>
      <c r="T37" s="3170" t="s">
        <v>3427</v>
      </c>
      <c r="U37" s="3170" t="s">
        <v>3427</v>
      </c>
      <c r="V37" s="3170" t="s">
        <v>3427</v>
      </c>
      <c r="W37" s="3170" t="s">
        <v>3427</v>
      </c>
      <c r="X37" s="3170">
        <v>21</v>
      </c>
      <c r="Y37" s="3170">
        <v>579</v>
      </c>
    </row>
    <row r="38" spans="2:25" ht="14.25">
      <c r="Q38" s="3170" t="s">
        <v>4884</v>
      </c>
      <c r="R38" s="3170" t="s">
        <v>3427</v>
      </c>
      <c r="S38" s="3170" t="s">
        <v>3427</v>
      </c>
      <c r="T38" s="3170" t="s">
        <v>3427</v>
      </c>
      <c r="U38" s="3170" t="s">
        <v>3427</v>
      </c>
      <c r="V38" s="3170" t="s">
        <v>3427</v>
      </c>
      <c r="W38" s="3170" t="s">
        <v>3427</v>
      </c>
      <c r="X38" s="3170">
        <v>23</v>
      </c>
      <c r="Y38" s="3170">
        <v>598</v>
      </c>
    </row>
    <row r="39" spans="2:25" ht="14.25">
      <c r="C39" s="1405" t="s">
        <v>4901</v>
      </c>
      <c r="D39" s="3500" t="s">
        <v>4877</v>
      </c>
      <c r="E39" s="3500" t="s">
        <v>3419</v>
      </c>
      <c r="F39" s="3500" t="s">
        <v>3420</v>
      </c>
      <c r="G39" s="3500" t="s">
        <v>4878</v>
      </c>
      <c r="H39" s="3500" t="s">
        <v>4879</v>
      </c>
      <c r="I39" s="3500" t="s">
        <v>4880</v>
      </c>
      <c r="J39" s="3500" t="s">
        <v>4881</v>
      </c>
      <c r="K39" s="3500" t="s">
        <v>4882</v>
      </c>
      <c r="L39" s="3500" t="s">
        <v>4883</v>
      </c>
      <c r="Q39" s="3170" t="s">
        <v>4201</v>
      </c>
      <c r="R39" s="3170">
        <v>4</v>
      </c>
      <c r="S39" s="3170">
        <v>55</v>
      </c>
      <c r="T39" s="3170">
        <v>2729</v>
      </c>
      <c r="U39" s="3170">
        <v>15.1</v>
      </c>
      <c r="V39" s="3170" t="s">
        <v>3427</v>
      </c>
      <c r="W39" s="3170" t="s">
        <v>3427</v>
      </c>
      <c r="X39" s="3170">
        <v>23</v>
      </c>
      <c r="Y39" s="3170">
        <v>598</v>
      </c>
    </row>
    <row r="40" spans="2:25" ht="14.25">
      <c r="D40" s="3208" t="s">
        <v>4201</v>
      </c>
      <c r="E40" s="3208">
        <v>2</v>
      </c>
      <c r="F40" s="3208">
        <v>130</v>
      </c>
      <c r="G40" s="3208">
        <v>8002</v>
      </c>
      <c r="H40" s="3208">
        <v>103.85</v>
      </c>
      <c r="I40" s="3208" t="s">
        <v>3427</v>
      </c>
      <c r="J40" s="3208" t="s">
        <v>3427</v>
      </c>
      <c r="K40" s="3208">
        <v>5</v>
      </c>
      <c r="L40" s="3208">
        <v>1990</v>
      </c>
      <c r="P40" s="1405" t="s">
        <v>4908</v>
      </c>
      <c r="Q40" s="3500" t="s">
        <v>4877</v>
      </c>
      <c r="R40" s="3500" t="s">
        <v>3419</v>
      </c>
      <c r="S40" s="3500" t="s">
        <v>3420</v>
      </c>
      <c r="T40" s="3500" t="s">
        <v>4878</v>
      </c>
      <c r="U40" s="3500" t="s">
        <v>4879</v>
      </c>
      <c r="V40" s="3500" t="s">
        <v>4880</v>
      </c>
      <c r="W40" s="3500" t="s">
        <v>4881</v>
      </c>
      <c r="X40" s="3500" t="s">
        <v>4882</v>
      </c>
      <c r="Y40" s="3500" t="s">
        <v>4883</v>
      </c>
    </row>
    <row r="41" spans="2:25" ht="14.25">
      <c r="Q41" s="3170" t="s">
        <v>4871</v>
      </c>
      <c r="R41" s="3170">
        <v>287</v>
      </c>
      <c r="S41" s="3170">
        <v>40127</v>
      </c>
      <c r="T41" s="3170">
        <v>24107</v>
      </c>
      <c r="U41" s="3170">
        <v>96733.4</v>
      </c>
      <c r="V41" s="3170">
        <v>1397</v>
      </c>
      <c r="W41" s="3170">
        <v>109409</v>
      </c>
      <c r="X41" s="3170">
        <v>1</v>
      </c>
      <c r="Y41" s="3170">
        <v>102</v>
      </c>
    </row>
    <row r="42" spans="2:25" ht="14.25">
      <c r="Q42" s="3170" t="s">
        <v>3584</v>
      </c>
      <c r="R42" s="3170" t="s">
        <v>3427</v>
      </c>
      <c r="S42" s="3170" t="s">
        <v>3427</v>
      </c>
      <c r="T42" s="3170" t="s">
        <v>3427</v>
      </c>
      <c r="U42" s="3170" t="s">
        <v>3427</v>
      </c>
      <c r="V42" s="3170" t="s">
        <v>3427</v>
      </c>
      <c r="W42" s="3170" t="s">
        <v>3427</v>
      </c>
      <c r="X42" s="3170">
        <v>1</v>
      </c>
      <c r="Y42" s="3170">
        <v>102</v>
      </c>
    </row>
    <row r="43" spans="2:25" ht="14.25">
      <c r="C43" s="1405" t="s">
        <v>4902</v>
      </c>
      <c r="D43" s="3500" t="s">
        <v>4877</v>
      </c>
      <c r="E43" s="3500" t="s">
        <v>3419</v>
      </c>
      <c r="F43" s="3500" t="s">
        <v>3420</v>
      </c>
      <c r="G43" s="3500" t="s">
        <v>4878</v>
      </c>
      <c r="H43" s="3500" t="s">
        <v>4879</v>
      </c>
      <c r="I43" s="3500" t="s">
        <v>4880</v>
      </c>
      <c r="J43" s="3500" t="s">
        <v>4881</v>
      </c>
      <c r="K43" s="3500" t="s">
        <v>4882</v>
      </c>
      <c r="L43" s="3500" t="s">
        <v>4883</v>
      </c>
      <c r="Q43" s="3170" t="s">
        <v>3573</v>
      </c>
      <c r="R43" s="3170" t="s">
        <v>3427</v>
      </c>
      <c r="S43" s="3170" t="s">
        <v>3427</v>
      </c>
      <c r="T43" s="3170" t="s">
        <v>3427</v>
      </c>
      <c r="U43" s="3170" t="s">
        <v>3427</v>
      </c>
      <c r="V43" s="3170" t="s">
        <v>3427</v>
      </c>
      <c r="W43" s="3170" t="s">
        <v>3427</v>
      </c>
      <c r="X43" s="3170">
        <v>1</v>
      </c>
      <c r="Y43" s="3170">
        <v>102</v>
      </c>
    </row>
    <row r="44" spans="2:25" ht="14.25">
      <c r="D44" s="3170" t="s">
        <v>4200</v>
      </c>
      <c r="E44" s="3170" t="s">
        <v>3427</v>
      </c>
      <c r="F44" s="3170" t="s">
        <v>3427</v>
      </c>
      <c r="G44" s="3170" t="s">
        <v>3427</v>
      </c>
      <c r="H44" s="3170" t="s">
        <v>3427</v>
      </c>
      <c r="I44" s="3170" t="s">
        <v>3427</v>
      </c>
      <c r="J44" s="3170" t="s">
        <v>3427</v>
      </c>
      <c r="K44" s="3170">
        <v>69</v>
      </c>
      <c r="L44" s="3170">
        <v>1296</v>
      </c>
      <c r="Q44" s="3207" t="s">
        <v>4872</v>
      </c>
      <c r="R44" s="3207">
        <v>1</v>
      </c>
      <c r="S44" s="3207">
        <v>20793</v>
      </c>
      <c r="T44" s="3207">
        <v>24582</v>
      </c>
      <c r="U44" s="3207">
        <v>51113.08</v>
      </c>
      <c r="V44" s="3207" t="s">
        <v>3427</v>
      </c>
      <c r="W44" s="3207" t="s">
        <v>3427</v>
      </c>
      <c r="X44" s="3207">
        <v>1</v>
      </c>
      <c r="Y44" s="3207">
        <v>102</v>
      </c>
    </row>
    <row r="45" spans="2:25" ht="14.25">
      <c r="D45" s="3170" t="s">
        <v>4204</v>
      </c>
      <c r="E45" s="3170" t="s">
        <v>3427</v>
      </c>
      <c r="F45" s="3170" t="s">
        <v>3427</v>
      </c>
      <c r="G45" s="3170" t="s">
        <v>3427</v>
      </c>
      <c r="H45" s="3170" t="s">
        <v>3427</v>
      </c>
      <c r="I45" s="3170" t="s">
        <v>3427</v>
      </c>
      <c r="J45" s="3170" t="s">
        <v>3427</v>
      </c>
      <c r="K45" s="3170">
        <v>69</v>
      </c>
      <c r="L45" s="3170">
        <v>1296</v>
      </c>
      <c r="Q45" s="3170" t="s">
        <v>3495</v>
      </c>
      <c r="R45" s="3170" t="s">
        <v>3427</v>
      </c>
      <c r="S45" s="3170" t="s">
        <v>3427</v>
      </c>
      <c r="T45" s="3170" t="s">
        <v>3427</v>
      </c>
      <c r="U45" s="3170" t="s">
        <v>3427</v>
      </c>
      <c r="V45" s="3170" t="s">
        <v>3427</v>
      </c>
      <c r="W45" s="3170" t="s">
        <v>3427</v>
      </c>
      <c r="X45" s="3170">
        <v>2</v>
      </c>
      <c r="Y45" s="3170">
        <v>20895</v>
      </c>
    </row>
    <row r="46" spans="2:25" ht="14.25">
      <c r="D46" s="3211" t="s">
        <v>4203</v>
      </c>
      <c r="E46" s="3211">
        <v>1</v>
      </c>
      <c r="F46" s="3211">
        <v>7</v>
      </c>
      <c r="G46" s="3211">
        <v>3473</v>
      </c>
      <c r="H46" s="3211">
        <v>2.57</v>
      </c>
      <c r="I46" s="3211" t="s">
        <v>3427</v>
      </c>
      <c r="J46" s="3211" t="s">
        <v>3427</v>
      </c>
      <c r="K46" s="3211">
        <v>69</v>
      </c>
      <c r="L46" s="3211">
        <v>1296</v>
      </c>
      <c r="Q46" s="3170" t="s">
        <v>4873</v>
      </c>
      <c r="R46" s="3170" t="s">
        <v>3427</v>
      </c>
      <c r="S46" s="3170" t="s">
        <v>3427</v>
      </c>
      <c r="T46" s="3170" t="s">
        <v>3427</v>
      </c>
      <c r="U46" s="3170" t="s">
        <v>3427</v>
      </c>
      <c r="V46" s="3170">
        <v>1</v>
      </c>
      <c r="W46" s="3170">
        <v>20793</v>
      </c>
      <c r="X46" s="3170">
        <v>1</v>
      </c>
      <c r="Y46" s="3170">
        <v>102</v>
      </c>
    </row>
    <row r="47" spans="2:25" ht="14.25">
      <c r="Q47" s="3170" t="s">
        <v>4874</v>
      </c>
      <c r="R47" s="3170" t="s">
        <v>3427</v>
      </c>
      <c r="S47" s="3170" t="s">
        <v>3427</v>
      </c>
      <c r="T47" s="3170" t="s">
        <v>3427</v>
      </c>
      <c r="U47" s="3170" t="s">
        <v>3427</v>
      </c>
      <c r="V47" s="3170" t="s">
        <v>3427</v>
      </c>
      <c r="W47" s="3170" t="s">
        <v>3427</v>
      </c>
      <c r="X47" s="3170">
        <v>1</v>
      </c>
      <c r="Y47" s="3170">
        <v>102</v>
      </c>
    </row>
    <row r="48" spans="2:25" ht="14.25">
      <c r="Q48" s="3170" t="s">
        <v>3849</v>
      </c>
      <c r="R48" s="3170" t="s">
        <v>3427</v>
      </c>
      <c r="S48" s="3170" t="s">
        <v>3427</v>
      </c>
      <c r="T48" s="3170" t="s">
        <v>3427</v>
      </c>
      <c r="U48" s="3170" t="s">
        <v>3427</v>
      </c>
      <c r="V48" s="3170" t="s">
        <v>3427</v>
      </c>
      <c r="W48" s="3170" t="s">
        <v>3427</v>
      </c>
      <c r="X48" s="3170">
        <v>1</v>
      </c>
      <c r="Y48" s="3170">
        <v>119</v>
      </c>
    </row>
    <row r="49" spans="16:27" ht="14.25">
      <c r="Q49" s="3170" t="s">
        <v>3781</v>
      </c>
      <c r="R49" s="3170" t="s">
        <v>3427</v>
      </c>
      <c r="S49" s="3170" t="s">
        <v>3427</v>
      </c>
      <c r="T49" s="3170" t="s">
        <v>3427</v>
      </c>
      <c r="U49" s="3170" t="s">
        <v>3427</v>
      </c>
      <c r="V49" s="3170" t="s">
        <v>3427</v>
      </c>
      <c r="W49" s="3170" t="s">
        <v>3427</v>
      </c>
      <c r="X49" s="3170">
        <v>1</v>
      </c>
      <c r="Y49" s="3170">
        <v>119</v>
      </c>
    </row>
    <row r="50" spans="16:27" ht="14.25">
      <c r="Q50" s="3170" t="s">
        <v>4895</v>
      </c>
      <c r="R50" s="3170" t="s">
        <v>3427</v>
      </c>
      <c r="S50" s="3170" t="s">
        <v>3427</v>
      </c>
      <c r="T50" s="3170" t="s">
        <v>3427</v>
      </c>
      <c r="U50" s="3170" t="s">
        <v>3427</v>
      </c>
      <c r="V50" s="3170" t="s">
        <v>3427</v>
      </c>
      <c r="W50" s="3170" t="s">
        <v>3427</v>
      </c>
      <c r="X50" s="3170">
        <v>1</v>
      </c>
      <c r="Y50" s="3170">
        <v>119</v>
      </c>
    </row>
    <row r="51" spans="16:27" ht="14.25">
      <c r="Q51" s="3170" t="s">
        <v>4195</v>
      </c>
      <c r="R51" s="3170" t="s">
        <v>3427</v>
      </c>
      <c r="S51" s="3170" t="s">
        <v>3427</v>
      </c>
      <c r="T51" s="3170" t="s">
        <v>3427</v>
      </c>
      <c r="U51" s="3170" t="s">
        <v>3427</v>
      </c>
      <c r="V51" s="3170" t="s">
        <v>3427</v>
      </c>
      <c r="W51" s="3170" t="s">
        <v>3427</v>
      </c>
      <c r="X51" s="3170">
        <v>1</v>
      </c>
      <c r="Y51" s="3170">
        <v>119</v>
      </c>
    </row>
    <row r="52" spans="16:27" ht="14.25">
      <c r="Q52" s="3170" t="s">
        <v>4162</v>
      </c>
      <c r="R52" s="3170" t="s">
        <v>3427</v>
      </c>
      <c r="S52" s="3170" t="s">
        <v>3427</v>
      </c>
      <c r="T52" s="3170" t="s">
        <v>3427</v>
      </c>
      <c r="U52" s="3170" t="s">
        <v>3427</v>
      </c>
      <c r="V52" s="3170" t="s">
        <v>3427</v>
      </c>
      <c r="W52" s="3170" t="s">
        <v>3427</v>
      </c>
      <c r="X52" s="3170">
        <v>1</v>
      </c>
      <c r="Y52" s="3170">
        <v>119</v>
      </c>
    </row>
    <row r="53" spans="16:27" ht="14.25">
      <c r="Q53" s="3170" t="s">
        <v>4159</v>
      </c>
      <c r="R53" s="3170">
        <v>2</v>
      </c>
      <c r="S53" s="3170">
        <v>144</v>
      </c>
      <c r="T53" s="3170">
        <v>24624</v>
      </c>
      <c r="U53" s="3170">
        <v>354.51</v>
      </c>
      <c r="V53" s="3170" t="s">
        <v>3427</v>
      </c>
      <c r="W53" s="3170" t="s">
        <v>3427</v>
      </c>
      <c r="X53" s="3170">
        <v>1</v>
      </c>
      <c r="Y53" s="3170">
        <v>119</v>
      </c>
    </row>
    <row r="54" spans="16:27" ht="14.25">
      <c r="Q54" s="3170" t="s">
        <v>4200</v>
      </c>
      <c r="R54" s="3170" t="s">
        <v>3427</v>
      </c>
      <c r="S54" s="3170" t="s">
        <v>3427</v>
      </c>
      <c r="T54" s="3170" t="s">
        <v>3427</v>
      </c>
      <c r="U54" s="3170" t="s">
        <v>3427</v>
      </c>
      <c r="V54" s="3170" t="s">
        <v>3427</v>
      </c>
      <c r="W54" s="3170" t="s">
        <v>3427</v>
      </c>
      <c r="X54" s="3170">
        <v>3</v>
      </c>
      <c r="Y54" s="3170">
        <v>263</v>
      </c>
    </row>
    <row r="55" spans="16:27" ht="14.25">
      <c r="Q55" s="3170" t="s">
        <v>4204</v>
      </c>
      <c r="R55" s="3170" t="s">
        <v>3427</v>
      </c>
      <c r="S55" s="3170" t="s">
        <v>3427</v>
      </c>
      <c r="T55" s="3170" t="s">
        <v>3427</v>
      </c>
      <c r="U55" s="3170" t="s">
        <v>3427</v>
      </c>
      <c r="V55" s="3170" t="s">
        <v>3427</v>
      </c>
      <c r="W55" s="3170" t="s">
        <v>3427</v>
      </c>
      <c r="X55" s="3170">
        <v>3</v>
      </c>
      <c r="Y55" s="3170">
        <v>263</v>
      </c>
    </row>
    <row r="56" spans="16:27" ht="14.25">
      <c r="Q56" s="3170" t="s">
        <v>4203</v>
      </c>
      <c r="R56" s="3170" t="s">
        <v>3427</v>
      </c>
      <c r="S56" s="3170" t="s">
        <v>3427</v>
      </c>
      <c r="T56" s="3170" t="s">
        <v>3427</v>
      </c>
      <c r="U56" s="3170" t="s">
        <v>3427</v>
      </c>
      <c r="V56" s="3170" t="s">
        <v>3427</v>
      </c>
      <c r="W56" s="3170" t="s">
        <v>3427</v>
      </c>
      <c r="X56" s="3170">
        <v>3</v>
      </c>
      <c r="Y56" s="3170">
        <v>263</v>
      </c>
    </row>
    <row r="57" spans="16:27" ht="14.25">
      <c r="Q57" s="3170" t="s">
        <v>4884</v>
      </c>
      <c r="R57" s="3170">
        <v>1</v>
      </c>
      <c r="S57" s="3170">
        <v>271</v>
      </c>
      <c r="T57" s="3170">
        <v>24566</v>
      </c>
      <c r="U57" s="3170">
        <v>665.33</v>
      </c>
      <c r="V57" s="3170" t="s">
        <v>3427</v>
      </c>
      <c r="W57" s="3170" t="s">
        <v>3427</v>
      </c>
      <c r="X57" s="3170">
        <v>3</v>
      </c>
      <c r="Y57" s="3170">
        <v>263</v>
      </c>
    </row>
    <row r="58" spans="16:27" ht="14.25">
      <c r="Q58" s="3170" t="s">
        <v>4201</v>
      </c>
      <c r="R58" s="3170">
        <v>2</v>
      </c>
      <c r="S58" s="3170">
        <v>74</v>
      </c>
      <c r="T58" s="3170">
        <v>24660</v>
      </c>
      <c r="U58" s="3170">
        <v>182.44</v>
      </c>
      <c r="V58" s="3170" t="s">
        <v>3427</v>
      </c>
      <c r="W58" s="3170" t="s">
        <v>3427</v>
      </c>
      <c r="X58" s="3170">
        <v>3</v>
      </c>
      <c r="Y58" s="3170">
        <v>263</v>
      </c>
    </row>
    <row r="59" spans="16:27" ht="14.25">
      <c r="Q59" s="3170" t="s">
        <v>4885</v>
      </c>
      <c r="R59" s="3170" t="s">
        <v>3427</v>
      </c>
      <c r="S59" s="3170" t="s">
        <v>3427</v>
      </c>
      <c r="T59" s="3170" t="s">
        <v>3427</v>
      </c>
      <c r="U59" s="3170" t="s">
        <v>3427</v>
      </c>
      <c r="V59" s="3170" t="s">
        <v>3427</v>
      </c>
      <c r="W59" s="3170" t="s">
        <v>3427</v>
      </c>
      <c r="X59" s="3170">
        <v>3</v>
      </c>
      <c r="Y59" s="3170">
        <v>263</v>
      </c>
    </row>
    <row r="60" spans="16:27" ht="14.25">
      <c r="Q60" s="3170" t="s">
        <v>4896</v>
      </c>
      <c r="R60" s="3170">
        <v>1</v>
      </c>
      <c r="S60" s="3170">
        <v>52</v>
      </c>
      <c r="T60" s="3170">
        <v>24667</v>
      </c>
      <c r="U60" s="3170">
        <v>128.94</v>
      </c>
      <c r="V60" s="3170" t="s">
        <v>3427</v>
      </c>
      <c r="W60" s="3170" t="s">
        <v>3427</v>
      </c>
      <c r="X60" s="3170">
        <v>3</v>
      </c>
      <c r="Y60" s="3170">
        <v>263</v>
      </c>
    </row>
    <row r="61" spans="16:27" ht="14.25">
      <c r="P61" s="1405" t="s">
        <v>4909</v>
      </c>
      <c r="Q61" s="3500" t="s">
        <v>4877</v>
      </c>
      <c r="R61" s="3500" t="s">
        <v>3419</v>
      </c>
      <c r="S61" s="3500" t="s">
        <v>3420</v>
      </c>
      <c r="T61" s="3500" t="s">
        <v>4878</v>
      </c>
      <c r="U61" s="3500" t="s">
        <v>4879</v>
      </c>
      <c r="V61" s="3500" t="s">
        <v>4880</v>
      </c>
      <c r="W61" s="3500" t="s">
        <v>4881</v>
      </c>
      <c r="X61" s="3500" t="s">
        <v>4882</v>
      </c>
      <c r="Y61" s="3500" t="s">
        <v>4883</v>
      </c>
    </row>
    <row r="62" spans="16:27" ht="14.25">
      <c r="Q62" s="3170" t="s">
        <v>4871</v>
      </c>
      <c r="R62" s="3170">
        <v>1140</v>
      </c>
      <c r="S62" s="3170">
        <v>35549</v>
      </c>
      <c r="T62" s="3170">
        <v>5097</v>
      </c>
      <c r="U62" s="3170">
        <v>18119.63</v>
      </c>
      <c r="V62" s="3170">
        <v>3223</v>
      </c>
      <c r="W62" s="3170">
        <v>102339</v>
      </c>
      <c r="X62" s="3170">
        <v>83</v>
      </c>
      <c r="Y62" s="3170">
        <v>2049</v>
      </c>
    </row>
    <row r="63" spans="16:27" ht="14.25">
      <c r="Q63" s="3210" t="s">
        <v>3584</v>
      </c>
      <c r="R63" s="3210">
        <v>4</v>
      </c>
      <c r="S63" s="3210">
        <v>120</v>
      </c>
      <c r="T63" s="3210">
        <v>5181</v>
      </c>
      <c r="U63" s="3210">
        <v>61.97</v>
      </c>
      <c r="V63" s="3210" t="s">
        <v>3427</v>
      </c>
      <c r="W63" s="3210" t="s">
        <v>3427</v>
      </c>
      <c r="X63" s="3210">
        <v>83</v>
      </c>
      <c r="Y63" s="3210">
        <v>2049</v>
      </c>
      <c r="AA63" s="3245">
        <f>U63/R63</f>
        <v>15.4925</v>
      </c>
    </row>
    <row r="64" spans="16:27" ht="14.25">
      <c r="Q64" s="3170" t="s">
        <v>3573</v>
      </c>
      <c r="R64" s="3170">
        <v>15</v>
      </c>
      <c r="S64" s="3170">
        <v>467</v>
      </c>
      <c r="T64" s="3170">
        <v>5177</v>
      </c>
      <c r="U64" s="3170">
        <v>241.73</v>
      </c>
      <c r="V64" s="3170" t="s">
        <v>3427</v>
      </c>
      <c r="W64" s="3170" t="s">
        <v>3427</v>
      </c>
      <c r="X64" s="3170">
        <v>83</v>
      </c>
      <c r="Y64" s="3170">
        <v>2049</v>
      </c>
      <c r="AA64" s="3245">
        <f t="shared" ref="AA64:AA74" si="2">U64/R64</f>
        <v>16.115333333333332</v>
      </c>
    </row>
    <row r="65" spans="16:27" ht="14.25">
      <c r="Q65" s="3170" t="s">
        <v>4872</v>
      </c>
      <c r="R65" s="3170">
        <v>10</v>
      </c>
      <c r="S65" s="3170">
        <v>294</v>
      </c>
      <c r="T65" s="3170">
        <v>5179</v>
      </c>
      <c r="U65" s="3170">
        <v>152.01</v>
      </c>
      <c r="V65" s="3170" t="s">
        <v>3427</v>
      </c>
      <c r="W65" s="3170" t="s">
        <v>3427</v>
      </c>
      <c r="X65" s="3170">
        <v>86</v>
      </c>
      <c r="Y65" s="3170">
        <v>2143</v>
      </c>
      <c r="AA65" s="3245">
        <f t="shared" si="2"/>
        <v>15.200999999999999</v>
      </c>
    </row>
    <row r="66" spans="16:27" ht="14.25">
      <c r="Q66" s="3170" t="s">
        <v>3495</v>
      </c>
      <c r="R66" s="3170" t="s">
        <v>3427</v>
      </c>
      <c r="S66" s="3170" t="s">
        <v>3427</v>
      </c>
      <c r="T66" s="3170" t="s">
        <v>3427</v>
      </c>
      <c r="U66" s="3170" t="s">
        <v>3427</v>
      </c>
      <c r="V66" s="3170" t="s">
        <v>3427</v>
      </c>
      <c r="W66" s="3170" t="s">
        <v>3427</v>
      </c>
      <c r="X66" s="3170">
        <v>86</v>
      </c>
      <c r="Y66" s="3170">
        <v>2143</v>
      </c>
      <c r="AA66" s="3245"/>
    </row>
    <row r="67" spans="16:27" ht="14.25">
      <c r="Q67" s="3170" t="s">
        <v>4873</v>
      </c>
      <c r="R67" s="3170">
        <v>3</v>
      </c>
      <c r="S67" s="3170">
        <v>88</v>
      </c>
      <c r="T67" s="3170">
        <v>5186</v>
      </c>
      <c r="U67" s="3170">
        <v>45.88</v>
      </c>
      <c r="V67" s="3170" t="s">
        <v>3427</v>
      </c>
      <c r="W67" s="3170" t="s">
        <v>3427</v>
      </c>
      <c r="X67" s="3170">
        <v>86</v>
      </c>
      <c r="Y67" s="3170">
        <v>2143</v>
      </c>
      <c r="AA67" s="3245">
        <f t="shared" si="2"/>
        <v>15.293333333333335</v>
      </c>
    </row>
    <row r="68" spans="16:27" ht="14.25">
      <c r="Q68" s="3170" t="s">
        <v>4874</v>
      </c>
      <c r="R68" s="3170">
        <v>2</v>
      </c>
      <c r="S68" s="3170">
        <v>62</v>
      </c>
      <c r="T68" s="3170">
        <v>5182</v>
      </c>
      <c r="U68" s="3170">
        <v>32.26</v>
      </c>
      <c r="V68" s="3170" t="s">
        <v>3427</v>
      </c>
      <c r="W68" s="3170" t="s">
        <v>3427</v>
      </c>
      <c r="X68" s="3170">
        <v>88</v>
      </c>
      <c r="Y68" s="3170">
        <v>2202</v>
      </c>
      <c r="AA68" s="3245">
        <f t="shared" si="2"/>
        <v>16.13</v>
      </c>
    </row>
    <row r="69" spans="16:27" ht="14.25">
      <c r="Q69" s="3170" t="s">
        <v>3489</v>
      </c>
      <c r="R69" s="3170">
        <v>1</v>
      </c>
      <c r="S69" s="3170">
        <v>29</v>
      </c>
      <c r="T69" s="3170">
        <v>5182</v>
      </c>
      <c r="U69" s="3170">
        <v>15.28</v>
      </c>
      <c r="V69" s="3170" t="s">
        <v>3427</v>
      </c>
      <c r="W69" s="3170" t="s">
        <v>3427</v>
      </c>
      <c r="X69" s="3170">
        <v>86</v>
      </c>
      <c r="Y69" s="3170">
        <v>2142</v>
      </c>
      <c r="AA69" s="3245">
        <f t="shared" si="2"/>
        <v>15.28</v>
      </c>
    </row>
    <row r="70" spans="16:27" ht="14.25">
      <c r="Q70" s="3170" t="s">
        <v>3493</v>
      </c>
      <c r="R70" s="3170">
        <v>2</v>
      </c>
      <c r="S70" s="3170">
        <v>69</v>
      </c>
      <c r="T70" s="3170">
        <v>5187</v>
      </c>
      <c r="U70" s="3170">
        <v>35.76</v>
      </c>
      <c r="V70" s="3170" t="s">
        <v>3427</v>
      </c>
      <c r="W70" s="3170" t="s">
        <v>3427</v>
      </c>
      <c r="X70" s="3170">
        <v>89</v>
      </c>
      <c r="Y70" s="3170">
        <v>2234</v>
      </c>
      <c r="AA70" s="3245">
        <f t="shared" si="2"/>
        <v>17.88</v>
      </c>
    </row>
    <row r="71" spans="16:27" ht="14.25">
      <c r="Q71" s="3170" t="s">
        <v>3581</v>
      </c>
      <c r="R71" s="3170">
        <v>9</v>
      </c>
      <c r="S71" s="3170">
        <v>279</v>
      </c>
      <c r="T71" s="3170">
        <v>5179</v>
      </c>
      <c r="U71" s="3170">
        <v>144.26</v>
      </c>
      <c r="V71" s="3170" t="s">
        <v>3427</v>
      </c>
      <c r="W71" s="3170" t="s">
        <v>3427</v>
      </c>
      <c r="X71" s="3170">
        <v>88</v>
      </c>
      <c r="Y71" s="3170">
        <v>2208</v>
      </c>
      <c r="AA71" s="3245">
        <f t="shared" si="2"/>
        <v>16.028888888888886</v>
      </c>
    </row>
    <row r="72" spans="16:27" ht="14.25">
      <c r="Q72" s="3170" t="s">
        <v>3578</v>
      </c>
      <c r="R72" s="3170">
        <v>4</v>
      </c>
      <c r="S72" s="3170">
        <v>123</v>
      </c>
      <c r="T72" s="3170">
        <v>5177</v>
      </c>
      <c r="U72" s="3170">
        <v>63.61</v>
      </c>
      <c r="V72" s="3170" t="s">
        <v>3427</v>
      </c>
      <c r="W72" s="3170" t="s">
        <v>3427</v>
      </c>
      <c r="X72" s="3170">
        <v>90</v>
      </c>
      <c r="Y72" s="3170">
        <v>2263</v>
      </c>
      <c r="AA72" s="3245">
        <f t="shared" si="2"/>
        <v>15.9025</v>
      </c>
    </row>
    <row r="73" spans="16:27" ht="14.25">
      <c r="Q73" s="3170" t="s">
        <v>4875</v>
      </c>
      <c r="R73" s="3170">
        <v>1</v>
      </c>
      <c r="S73" s="3170">
        <v>31</v>
      </c>
      <c r="T73" s="3170">
        <v>5169</v>
      </c>
      <c r="U73" s="3170">
        <v>16.09</v>
      </c>
      <c r="V73" s="3170" t="s">
        <v>3427</v>
      </c>
      <c r="W73" s="3170" t="s">
        <v>3427</v>
      </c>
      <c r="X73" s="3170">
        <v>88</v>
      </c>
      <c r="Y73" s="3170">
        <v>2200</v>
      </c>
      <c r="AA73" s="3245">
        <f t="shared" si="2"/>
        <v>16.09</v>
      </c>
    </row>
    <row r="74" spans="16:27" ht="14.25">
      <c r="Q74" s="3170" t="s">
        <v>4078</v>
      </c>
      <c r="R74" s="3170">
        <v>1</v>
      </c>
      <c r="S74" s="3170">
        <v>29</v>
      </c>
      <c r="T74" s="3170">
        <v>5182</v>
      </c>
      <c r="U74" s="3170">
        <v>15.28</v>
      </c>
      <c r="V74" s="3170" t="s">
        <v>3427</v>
      </c>
      <c r="W74" s="3170" t="s">
        <v>3427</v>
      </c>
      <c r="X74" s="3170">
        <v>165</v>
      </c>
      <c r="Y74" s="3170">
        <v>3898</v>
      </c>
      <c r="AA74" s="3245">
        <f t="shared" si="2"/>
        <v>15.28</v>
      </c>
    </row>
    <row r="75" spans="16:27" ht="14.25">
      <c r="Q75" s="3170" t="s">
        <v>3849</v>
      </c>
      <c r="R75" s="3170">
        <v>2</v>
      </c>
      <c r="S75" s="3170">
        <v>65</v>
      </c>
      <c r="T75" s="3170">
        <v>5189</v>
      </c>
      <c r="U75" s="3170">
        <v>33.71</v>
      </c>
      <c r="V75" s="3170" t="s">
        <v>3427</v>
      </c>
      <c r="W75" s="3170" t="s">
        <v>3427</v>
      </c>
      <c r="X75" s="3170">
        <v>182</v>
      </c>
      <c r="Y75" s="3170">
        <v>4408</v>
      </c>
      <c r="AA75" s="3245"/>
    </row>
    <row r="76" spans="16:27" ht="14.25">
      <c r="Q76" s="3170" t="s">
        <v>3781</v>
      </c>
      <c r="R76" s="3170">
        <v>3</v>
      </c>
      <c r="S76" s="3170">
        <v>91</v>
      </c>
      <c r="T76" s="3170">
        <v>5184</v>
      </c>
      <c r="U76" s="3170">
        <v>47.41</v>
      </c>
      <c r="V76" s="3170">
        <v>147</v>
      </c>
      <c r="W76" s="3170">
        <v>3324</v>
      </c>
      <c r="X76" s="3170">
        <v>40</v>
      </c>
      <c r="Y76" s="3170">
        <v>1242</v>
      </c>
    </row>
    <row r="77" spans="16:27" ht="14.25">
      <c r="P77" s="1405" t="s">
        <v>4910</v>
      </c>
      <c r="Q77" s="3500" t="s">
        <v>4877</v>
      </c>
      <c r="R77" s="3500" t="s">
        <v>3419</v>
      </c>
      <c r="S77" s="3500" t="s">
        <v>3420</v>
      </c>
      <c r="T77" s="3500" t="s">
        <v>4878</v>
      </c>
      <c r="U77" s="3500" t="s">
        <v>4879</v>
      </c>
      <c r="V77" s="3500" t="s">
        <v>4880</v>
      </c>
      <c r="W77" s="3500" t="s">
        <v>4881</v>
      </c>
      <c r="X77" s="3500" t="s">
        <v>4882</v>
      </c>
      <c r="Y77" s="3500" t="s">
        <v>4883</v>
      </c>
    </row>
    <row r="78" spans="16:27" ht="14.25">
      <c r="Q78" s="3170" t="s">
        <v>4871</v>
      </c>
      <c r="R78" s="3170">
        <v>811</v>
      </c>
      <c r="S78" s="3170">
        <v>32466</v>
      </c>
      <c r="T78" s="3170">
        <v>12761</v>
      </c>
      <c r="U78" s="3170">
        <v>41428.5</v>
      </c>
      <c r="V78" s="3170">
        <v>1776</v>
      </c>
      <c r="W78" s="3170">
        <v>71524</v>
      </c>
      <c r="X78" s="3170">
        <v>1</v>
      </c>
      <c r="Y78" s="3170">
        <v>54</v>
      </c>
    </row>
    <row r="79" spans="16:27" ht="14.25">
      <c r="Q79" s="3208" t="s">
        <v>3581</v>
      </c>
      <c r="R79" s="3208">
        <v>1</v>
      </c>
      <c r="S79" s="3208">
        <v>38</v>
      </c>
      <c r="T79" s="3208">
        <v>8401</v>
      </c>
      <c r="U79" s="3208">
        <v>31.99</v>
      </c>
      <c r="V79" s="3208" t="s">
        <v>3427</v>
      </c>
      <c r="W79" s="3208" t="s">
        <v>3427</v>
      </c>
      <c r="X79" s="3208">
        <v>10</v>
      </c>
      <c r="Y79" s="3208">
        <v>428</v>
      </c>
    </row>
    <row r="80" spans="16:27" ht="14.25">
      <c r="Q80" s="3170" t="s">
        <v>3578</v>
      </c>
      <c r="R80" s="3170" t="s">
        <v>3427</v>
      </c>
      <c r="S80" s="3170" t="s">
        <v>3427</v>
      </c>
      <c r="T80" s="3170" t="s">
        <v>3427</v>
      </c>
      <c r="U80" s="3170" t="s">
        <v>3427</v>
      </c>
      <c r="V80" s="3170" t="s">
        <v>3427</v>
      </c>
      <c r="W80" s="3170" t="s">
        <v>3427</v>
      </c>
      <c r="X80" s="3170">
        <v>4</v>
      </c>
      <c r="Y80" s="3170">
        <v>177</v>
      </c>
    </row>
    <row r="81" spans="17:25" ht="14.25">
      <c r="Q81" s="3170" t="s">
        <v>4875</v>
      </c>
      <c r="R81" s="3170" t="s">
        <v>3427</v>
      </c>
      <c r="S81" s="3170" t="s">
        <v>3427</v>
      </c>
      <c r="T81" s="3170" t="s">
        <v>3427</v>
      </c>
      <c r="U81" s="3170" t="s">
        <v>3427</v>
      </c>
      <c r="V81" s="3170" t="s">
        <v>3427</v>
      </c>
      <c r="W81" s="3170" t="s">
        <v>3427</v>
      </c>
      <c r="X81" s="3170">
        <v>1</v>
      </c>
      <c r="Y81" s="3170">
        <v>54</v>
      </c>
    </row>
    <row r="82" spans="17:25" ht="14.25">
      <c r="Q82" s="3170" t="s">
        <v>4078</v>
      </c>
      <c r="R82" s="3170">
        <v>2</v>
      </c>
      <c r="S82" s="3170">
        <v>76</v>
      </c>
      <c r="T82" s="3170">
        <v>8546</v>
      </c>
      <c r="U82" s="3170">
        <v>65.040000000000006</v>
      </c>
      <c r="V82" s="3170" t="s">
        <v>3427</v>
      </c>
      <c r="W82" s="3170" t="s">
        <v>3427</v>
      </c>
      <c r="X82" s="3170">
        <v>1</v>
      </c>
      <c r="Y82" s="3170">
        <v>54</v>
      </c>
    </row>
    <row r="83" spans="17:25" ht="14.25">
      <c r="Q83" s="3170" t="s">
        <v>3849</v>
      </c>
      <c r="R83" s="3170">
        <v>3</v>
      </c>
      <c r="S83" s="3170">
        <v>114</v>
      </c>
      <c r="T83" s="3170">
        <v>8467</v>
      </c>
      <c r="U83" s="3170">
        <v>96.73</v>
      </c>
      <c r="V83" s="3170" t="s">
        <v>3427</v>
      </c>
      <c r="W83" s="3170" t="s">
        <v>3427</v>
      </c>
      <c r="X83" s="3170">
        <v>1</v>
      </c>
      <c r="Y83" s="3170">
        <v>54</v>
      </c>
    </row>
    <row r="84" spans="17:25" ht="14.25">
      <c r="Q84" s="3170" t="s">
        <v>3781</v>
      </c>
      <c r="R84" s="3170">
        <v>3</v>
      </c>
      <c r="S84" s="3170">
        <v>150</v>
      </c>
      <c r="T84" s="3170">
        <v>8335</v>
      </c>
      <c r="U84" s="3170">
        <v>124.75</v>
      </c>
      <c r="V84" s="3170" t="s">
        <v>3427</v>
      </c>
      <c r="W84" s="3170" t="s">
        <v>3427</v>
      </c>
      <c r="X84" s="3170">
        <v>7</v>
      </c>
      <c r="Y84" s="3170">
        <v>306</v>
      </c>
    </row>
    <row r="85" spans="17:25" ht="14.25">
      <c r="Q85" s="3170" t="s">
        <v>4895</v>
      </c>
      <c r="R85" s="3170">
        <v>10</v>
      </c>
      <c r="S85" s="3170">
        <v>386</v>
      </c>
      <c r="T85" s="3170">
        <v>8391</v>
      </c>
      <c r="U85" s="3170">
        <v>324.27999999999997</v>
      </c>
      <c r="V85" s="3170" t="s">
        <v>3427</v>
      </c>
      <c r="W85" s="3170" t="s">
        <v>3427</v>
      </c>
      <c r="X85" s="3170">
        <v>9</v>
      </c>
      <c r="Y85" s="3170">
        <v>416</v>
      </c>
    </row>
    <row r="86" spans="17:25" ht="14.25">
      <c r="Q86" s="3170"/>
      <c r="R86" s="3170"/>
      <c r="S86" s="3170"/>
      <c r="T86" s="3170"/>
      <c r="U86" s="3170"/>
      <c r="V86" s="3170"/>
      <c r="W86" s="3170"/>
      <c r="X86" s="3170"/>
      <c r="Y86" s="3170"/>
    </row>
    <row r="94" spans="17:25" ht="14.25">
      <c r="Q94" s="3170"/>
      <c r="R94" s="3170"/>
      <c r="S94" s="3170"/>
      <c r="T94" s="3170"/>
      <c r="U94" s="3170"/>
      <c r="V94" s="3170"/>
      <c r="W94" s="3170"/>
      <c r="X94" s="3170"/>
      <c r="Y94" s="3170"/>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20" sqref="C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4766</v>
      </c>
      <c r="D4" s="1626" t="s">
        <v>4917</v>
      </c>
      <c r="E4" s="3410" t="s">
        <v>1265</v>
      </c>
      <c r="F4" s="3411"/>
      <c r="G4" s="3411"/>
      <c r="H4" s="3411"/>
      <c r="I4" s="3412"/>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1674.9045000000001</v>
      </c>
      <c r="D19" s="127">
        <f ca="1">SUMIF(INDIRECT("'"&amp;D4&amp;"'"&amp;"!A:A"),'结果表-办公'!B19,INDIRECT("'"&amp;D4&amp;"'"&amp;"!B:B"))</f>
        <v>2097.8521999999998</v>
      </c>
      <c r="E19" s="1630" t="s">
        <v>1290</v>
      </c>
      <c r="F19" s="1631" t="s">
        <v>1289</v>
      </c>
      <c r="G19" s="128">
        <f ca="1">ROUND(C19*$C$18+D19*$D$18,0)</f>
        <v>1802</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5433</v>
      </c>
      <c r="D20" s="130">
        <f ca="1">SUMIF(INDIRECT("'"&amp;D4&amp;"'"&amp;"!A:A"),'结果表-办公'!B20,INDIRECT("'"&amp;D4&amp;"'"&amp;"!B:B"))</f>
        <v>6805</v>
      </c>
      <c r="E20" s="1633"/>
      <c r="F20" s="43" t="s">
        <v>1293</v>
      </c>
      <c r="G20" s="131">
        <f ca="1">ROUND(C20*$C$18+D20*$D$18,0)</f>
        <v>5845</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0.25252048698895946</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5845</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IF(AND(J55="",J56=""),4,IF(项目基本情况!K6="上海银行",'结果表-办公'!J56+1,'结果表-办公'!J55+1))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(元)-办公</v>
      </c>
      <c r="D101" s="2372" t="str">
        <f>D4</f>
        <v>比较法-办公</v>
      </c>
      <c r="E101" s="3341" t="s">
        <v>1429</v>
      </c>
      <c r="F101" s="3342"/>
      <c r="G101" s="1687" t="s">
        <v>1430</v>
      </c>
      <c r="H101" s="2381" t="e">
        <f ca="1">H118</f>
        <v>#REF!</v>
      </c>
      <c r="I101" s="121"/>
    </row>
    <row r="102" spans="1:35" ht="18.75" customHeight="1">
      <c r="A102" s="3373" t="s">
        <v>1431</v>
      </c>
      <c r="B102" s="2370" t="s">
        <v>1430</v>
      </c>
      <c r="C102" s="2371">
        <f ca="1">IF(D32="楼面单价",ROUND(C19,0),C19)</f>
        <v>1674.9045000000001</v>
      </c>
      <c r="D102" s="2372">
        <f ca="1">IF(D32="楼面单价",ROUND(D19,0),D19)</f>
        <v>2097.8521999999998</v>
      </c>
      <c r="E102" s="3341"/>
      <c r="F102" s="3342"/>
      <c r="G102" s="1687" t="s">
        <v>1432</v>
      </c>
      <c r="H102" s="2341" t="e">
        <f ca="1">I118</f>
        <v>#REF!</v>
      </c>
      <c r="I102" s="121"/>
    </row>
    <row r="103" spans="1:35" ht="42.75" customHeight="1">
      <c r="A103" s="3373"/>
      <c r="B103" s="2370" t="s">
        <v>1432</v>
      </c>
      <c r="C103" s="2373">
        <f ca="1">C20</f>
        <v>5433</v>
      </c>
      <c r="D103" s="2374">
        <f ca="1">D20</f>
        <v>6805</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topLeftCell="A19"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1674.9045000000001</v>
      </c>
      <c r="C2" s="1289" t="s">
        <v>804</v>
      </c>
      <c r="D2" s="1375">
        <f ca="1">C40+J29+L46</f>
        <v>16749045</v>
      </c>
      <c r="E2" s="1295" t="s">
        <v>879</v>
      </c>
      <c r="F2" s="1296"/>
      <c r="G2" s="2479"/>
      <c r="H2" s="2469"/>
      <c r="I2" s="2469"/>
      <c r="J2" s="2469"/>
      <c r="K2" s="2470"/>
      <c r="L2" s="2469"/>
      <c r="M2" s="2469"/>
    </row>
    <row r="3" spans="1:37" ht="18" customHeight="1" thickBot="1">
      <c r="A3" s="1297" t="s">
        <v>805</v>
      </c>
      <c r="B3" s="1298">
        <f ca="1">IF(ISERROR(D2/F43),0,ROUND(D2/F43,0))</f>
        <v>5433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1316514</v>
      </c>
      <c r="D6" s="147" t="s">
        <v>2104</v>
      </c>
      <c r="E6" s="294" t="s">
        <v>695</v>
      </c>
      <c r="F6" s="295">
        <f ca="1">INDIRECT("'数据-取费表'!u"&amp;$G$1)</f>
        <v>1.3</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3082.8099999999981</v>
      </c>
      <c r="G7" s="1292"/>
      <c r="H7" s="296"/>
      <c r="I7" s="3434"/>
      <c r="J7" s="298"/>
      <c r="K7" s="299"/>
      <c r="L7" s="294" t="s">
        <v>696</v>
      </c>
      <c r="M7" s="295">
        <f ca="1">F7</f>
        <v>3082.8099999999981</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0.1</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13090944</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10789835</v>
      </c>
      <c r="D14" s="1257" t="s">
        <v>707</v>
      </c>
      <c r="E14" s="1255"/>
      <c r="F14" s="311"/>
      <c r="G14" s="1292"/>
      <c r="H14" s="928" t="s">
        <v>398</v>
      </c>
      <c r="I14" s="294" t="s">
        <v>708</v>
      </c>
      <c r="J14" s="21">
        <f ca="1">C29</f>
        <v>15401110</v>
      </c>
      <c r="K14" s="12"/>
      <c r="L14" s="759"/>
      <c r="M14" s="760"/>
    </row>
    <row r="15" spans="1:37" s="1304" customFormat="1" ht="18" customHeight="1" thickBot="1">
      <c r="A15" s="928" t="s">
        <v>399</v>
      </c>
      <c r="B15" s="294" t="s">
        <v>709</v>
      </c>
      <c r="C15" s="21">
        <f ca="1">ROUND(C14*F15,0)</f>
        <v>539492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30802</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215797</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12303495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123035</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30802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388950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-30802</v>
      </c>
      <c r="K25" s="1032" t="s">
        <v>752</v>
      </c>
      <c r="L25" s="1033"/>
      <c r="M25" s="1034"/>
    </row>
    <row r="26" spans="1:37" ht="18" customHeight="1">
      <c r="A26" s="928" t="s">
        <v>397</v>
      </c>
      <c r="B26" s="294" t="s">
        <v>753</v>
      </c>
      <c r="C26" s="21">
        <f ca="1">ROUND((C19+C20)*F26,0)</f>
        <v>1242653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15401110</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277748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30802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13091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1040412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16090740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5220</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658305</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16090740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658305</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15401110</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4654446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16749045</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13090944</v>
      </c>
      <c r="D56" s="1352"/>
      <c r="E56" s="1353"/>
      <c r="F56" s="1345"/>
      <c r="I56" s="1354" t="s">
        <v>841</v>
      </c>
      <c r="J56" s="1355" t="s">
        <v>4789</v>
      </c>
      <c r="K56" s="1328" t="s">
        <v>842</v>
      </c>
      <c r="L56" s="1331" t="str">
        <f ca="1">IF(L48&lt;J51,"——",L48-J51)</f>
        <v>——</v>
      </c>
      <c r="O56" s="1325" t="s">
        <v>403</v>
      </c>
      <c r="P56" s="1326" t="s">
        <v>816</v>
      </c>
      <c r="Q56" s="1327">
        <f ca="1">C40+J29</f>
        <v>16090740</v>
      </c>
      <c r="R56" s="1327" t="s">
        <v>817</v>
      </c>
    </row>
    <row r="57" spans="1:18" s="1292" customFormat="1" ht="24.75" thickBot="1">
      <c r="A57" s="1356"/>
      <c r="B57" s="896" t="s">
        <v>766</v>
      </c>
      <c r="C57" s="230">
        <f ca="1">C29</f>
        <v>15401110</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43893</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6160444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658305</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16090740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30802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13091</v>
      </c>
      <c r="D65" s="910" t="s">
        <v>742</v>
      </c>
      <c r="E65" s="896" t="s">
        <v>711</v>
      </c>
      <c r="F65" s="321">
        <f t="shared" ca="1" si="0"/>
        <v>1E-3</v>
      </c>
      <c r="I65" s="1367" t="s">
        <v>866</v>
      </c>
      <c r="J65" s="610">
        <v>40</v>
      </c>
      <c r="K65" s="610">
        <v>30</v>
      </c>
      <c r="L65" s="610">
        <v>50</v>
      </c>
      <c r="M65" s="1369">
        <v>0.02</v>
      </c>
      <c r="O65" s="1325" t="s">
        <v>403</v>
      </c>
      <c r="P65" s="1326" t="s">
        <v>816</v>
      </c>
      <c r="Q65" s="1327">
        <f ca="1">C40+J29</f>
        <v>16090740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-43893</v>
      </c>
      <c r="D67" s="909" t="s">
        <v>752</v>
      </c>
      <c r="E67" s="914"/>
      <c r="F67" s="915"/>
      <c r="O67" s="1334" t="s">
        <v>405</v>
      </c>
      <c r="P67" s="1326" t="s">
        <v>849</v>
      </c>
      <c r="Q67" s="1370">
        <f ca="1">L51</f>
        <v>4654446</v>
      </c>
      <c r="R67" s="1327" t="s">
        <v>869</v>
      </c>
    </row>
    <row r="68" spans="1:18" s="1292" customFormat="1" ht="16.5" thickBot="1">
      <c r="A68" s="893" t="s">
        <v>395</v>
      </c>
      <c r="B68" s="894" t="s">
        <v>773</v>
      </c>
      <c r="C68" s="293">
        <f ca="1">ROUND(C67*(1-((1+F70)/(1+F68))^F69)/(F68-F70),0)</f>
        <v>-678838</v>
      </c>
      <c r="D68" s="911" t="s">
        <v>757</v>
      </c>
      <c r="E68" s="896" t="s">
        <v>758</v>
      </c>
      <c r="F68" s="304">
        <f ca="1">F40</f>
        <v>5.5E-2</v>
      </c>
      <c r="O68" s="1334" t="s">
        <v>406</v>
      </c>
      <c r="P68" s="1371" t="s">
        <v>870</v>
      </c>
      <c r="Q68" s="1327">
        <f ca="1">ROUND(Q69-Q70*Q71,0)</f>
        <v>254955</v>
      </c>
      <c r="R68" s="1327" t="s">
        <v>414</v>
      </c>
    </row>
    <row r="69" spans="1:18" s="1292" customFormat="1" ht="13.5" thickBot="1">
      <c r="A69" s="897"/>
      <c r="B69" s="898"/>
      <c r="C69" s="298"/>
      <c r="D69" s="916" t="s">
        <v>761</v>
      </c>
      <c r="E69" s="896" t="s">
        <v>762</v>
      </c>
      <c r="F69" s="324">
        <f ca="1">F41</f>
        <v>35.51</v>
      </c>
      <c r="O69" s="1334" t="s">
        <v>411</v>
      </c>
      <c r="P69" s="1371" t="s">
        <v>871</v>
      </c>
      <c r="Q69" s="1327">
        <f ca="1">C39</f>
        <v>1040412</v>
      </c>
      <c r="R69" s="1327" t="s">
        <v>817</v>
      </c>
    </row>
    <row r="70" spans="1:18" s="1292" customFormat="1" ht="13.5" thickBot="1">
      <c r="A70" s="900"/>
      <c r="B70" s="901"/>
      <c r="C70" s="302"/>
      <c r="D70" s="912"/>
      <c r="E70" s="896" t="s">
        <v>765</v>
      </c>
      <c r="F70" s="991"/>
      <c r="O70" s="1334" t="s">
        <v>412</v>
      </c>
      <c r="P70" s="1371" t="s">
        <v>872</v>
      </c>
      <c r="Q70" s="1327">
        <f ca="1">C13</f>
        <v>13090944</v>
      </c>
      <c r="R70" s="1327" t="s">
        <v>817</v>
      </c>
    </row>
    <row r="71" spans="1:18" s="1292" customFormat="1" ht="13.5" thickBot="1">
      <c r="A71" s="917" t="s">
        <v>396</v>
      </c>
      <c r="B71" s="918" t="s">
        <v>775</v>
      </c>
      <c r="C71" s="327">
        <f ca="1">ROUND(C68/F71,0)</f>
        <v>-220</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785457</v>
      </c>
      <c r="D75" s="1292"/>
      <c r="E75" s="1292"/>
      <c r="F75" s="1292"/>
      <c r="K75" s="1309"/>
      <c r="L75" s="1292"/>
      <c r="O75" s="1325" t="s">
        <v>409</v>
      </c>
      <c r="P75" s="1326" t="s">
        <v>837</v>
      </c>
      <c r="Q75" s="1327">
        <f ca="1">Q65+Q66</f>
        <v>16090740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0.245</v>
      </c>
    </row>
    <row r="80" spans="1:18">
      <c r="B80" s="331" t="s">
        <v>799</v>
      </c>
      <c r="C80" s="266">
        <f ca="1">ROUND(C75/C39,3)</f>
        <v>0.755</v>
      </c>
    </row>
    <row r="81" spans="2:3">
      <c r="B81" s="262" t="s">
        <v>800</v>
      </c>
      <c r="C81" s="230"/>
    </row>
    <row r="82" spans="2:3">
      <c r="B82" s="265" t="s">
        <v>801</v>
      </c>
      <c r="C82" s="267">
        <f ca="1">1-C83</f>
        <v>0.18600000000000005</v>
      </c>
    </row>
    <row r="83" spans="2:3">
      <c r="B83" s="265" t="s">
        <v>802</v>
      </c>
      <c r="C83" s="266">
        <f ca="1">ROUND(C13/C40,3)</f>
        <v>0.81399999999999995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54">
      <c r="A10" s="1382" t="str">
        <f>"估价对象为"&amp;项目基本情况!S2&amp;IF('结果表-2号楼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"本次评估采用的主估价方法为"&amp;'结果表-2号楼1层商业'!K4&amp;"和"&amp;'结果表-2号楼1层商业'!L4&amp;"。"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115" zoomScaleNormal="70" zoomScaleSheetLayoutView="115" workbookViewId="0">
      <selection activeCell="B44" sqref="B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2097.8521999999998</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6805</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508" t="s">
        <v>1773</v>
      </c>
      <c r="Q4" s="3509"/>
      <c r="R4" s="3502" t="s">
        <v>1769</v>
      </c>
      <c r="S4" s="3503"/>
      <c r="T4" s="3502" t="s">
        <v>1770</v>
      </c>
      <c r="U4" s="3503"/>
      <c r="V4" s="3512" t="s">
        <v>1771</v>
      </c>
      <c r="W4" s="3512"/>
      <c r="X4" s="1809"/>
      <c r="Y4" s="3502" t="s">
        <v>1773</v>
      </c>
      <c r="Z4" s="3503"/>
      <c r="AA4" s="3501" t="s">
        <v>1769</v>
      </c>
      <c r="AB4" s="3501" t="s">
        <v>1770</v>
      </c>
      <c r="AC4" s="3505" t="s">
        <v>1771</v>
      </c>
    </row>
    <row r="5" spans="1:29" ht="15">
      <c r="A5" s="348"/>
      <c r="B5" s="349"/>
      <c r="C5" s="3467" t="s">
        <v>1671</v>
      </c>
      <c r="D5" s="3468"/>
      <c r="E5" s="3465" t="str">
        <f>市场售价案例!$C$39</f>
        <v>泉星小区办公</v>
      </c>
      <c r="F5" s="3466"/>
      <c r="G5" s="3467" t="str">
        <f>市场售价案例!$P$77</f>
        <v>世茂天城办公</v>
      </c>
      <c r="H5" s="3468"/>
      <c r="I5" s="3504" t="s">
        <v>4918</v>
      </c>
      <c r="J5" s="3468"/>
      <c r="K5" s="537"/>
      <c r="L5" s="2487"/>
      <c r="M5" s="2488"/>
      <c r="N5" s="2488"/>
      <c r="O5" s="2488"/>
      <c r="P5" s="3510"/>
      <c r="Q5" s="3481"/>
      <c r="R5" s="3463"/>
      <c r="S5" s="3464"/>
      <c r="T5" s="3463"/>
      <c r="U5" s="3464"/>
      <c r="V5" s="3458"/>
      <c r="W5" s="3458"/>
      <c r="X5" s="1265"/>
      <c r="Y5" s="3463"/>
      <c r="Z5" s="3464"/>
      <c r="AA5" s="3456"/>
      <c r="AB5" s="3456"/>
      <c r="AC5" s="350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511"/>
      <c r="Q6" s="3483"/>
      <c r="R6" s="3463"/>
      <c r="S6" s="3464"/>
      <c r="T6" s="3484"/>
      <c r="U6" s="3485"/>
      <c r="V6" s="3458"/>
      <c r="W6" s="3458"/>
      <c r="X6" s="1265"/>
      <c r="Y6" s="3484"/>
      <c r="Z6" s="3485"/>
      <c r="AA6" s="3457"/>
      <c r="AB6" s="3457"/>
      <c r="AC6" s="3507"/>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513" t="s">
        <v>1678</v>
      </c>
      <c r="Q7" s="3486"/>
      <c r="R7" s="664" t="s">
        <v>14</v>
      </c>
      <c r="S7" s="665">
        <f t="shared" ref="S7:S15" si="0">F7</f>
        <v>101</v>
      </c>
      <c r="T7" s="664" t="s">
        <v>14</v>
      </c>
      <c r="U7" s="665">
        <f t="shared" ref="U7:U15" si="1">H7</f>
        <v>100</v>
      </c>
      <c r="V7" s="664" t="s">
        <v>14</v>
      </c>
      <c r="W7" s="665">
        <f t="shared" ref="W7:W15" si="2">J7</f>
        <v>101</v>
      </c>
      <c r="X7" s="666"/>
      <c r="Y7" s="3459" t="s">
        <v>1678</v>
      </c>
      <c r="Z7" s="3460"/>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13" t="s">
        <v>1681</v>
      </c>
      <c r="Q8" s="3460"/>
      <c r="R8" s="664" t="s">
        <v>14</v>
      </c>
      <c r="S8" s="665">
        <f t="shared" si="0"/>
        <v>100</v>
      </c>
      <c r="T8" s="664" t="s">
        <v>14</v>
      </c>
      <c r="U8" s="665">
        <f t="shared" si="1"/>
        <v>100</v>
      </c>
      <c r="V8" s="664" t="s">
        <v>14</v>
      </c>
      <c r="W8" s="665">
        <f t="shared" si="2"/>
        <v>100</v>
      </c>
      <c r="X8" s="666"/>
      <c r="Y8" s="3459" t="s">
        <v>1681</v>
      </c>
      <c r="Z8" s="346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105</v>
      </c>
      <c r="I10" s="3133" t="s">
        <v>4934</v>
      </c>
      <c r="J10" s="119">
        <f>SUMIF(66:66,I10,67:67)-SUMIF(66:66,C10,67:67)+100</f>
        <v>100</v>
      </c>
      <c r="K10" s="38"/>
      <c r="L10" s="2490"/>
      <c r="M10" s="2491"/>
      <c r="N10" s="2491"/>
      <c r="O10" s="2491"/>
      <c r="P10" s="3473"/>
      <c r="Q10" s="530" t="str">
        <f t="shared" si="6"/>
        <v>土地使用年限（年）</v>
      </c>
      <c r="R10" s="664" t="s">
        <v>14</v>
      </c>
      <c r="S10" s="665">
        <f t="shared" si="0"/>
        <v>100</v>
      </c>
      <c r="T10" s="664" t="s">
        <v>14</v>
      </c>
      <c r="U10" s="665">
        <f t="shared" si="1"/>
        <v>105</v>
      </c>
      <c r="V10" s="664" t="s">
        <v>14</v>
      </c>
      <c r="W10" s="665">
        <f t="shared" si="2"/>
        <v>100</v>
      </c>
      <c r="X10" s="666"/>
      <c r="Y10" s="3404"/>
      <c r="Z10" s="50" t="str">
        <f t="shared" si="7"/>
        <v>土地使用年限（年）</v>
      </c>
      <c r="AA10" s="50">
        <f t="shared" si="3"/>
        <v>1</v>
      </c>
      <c r="AB10" s="50">
        <f t="shared" si="4"/>
        <v>0.95238095238095233</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73"/>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73"/>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105</v>
      </c>
      <c r="I15" s="381"/>
      <c r="J15" s="380">
        <f>SUMIF(77:77,I16,78:78)-SUMIF(77:77,C16,78:78)+100</f>
        <v>100</v>
      </c>
      <c r="K15" s="540">
        <v>5</v>
      </c>
      <c r="L15" s="2493"/>
      <c r="M15" s="2488"/>
      <c r="N15" s="2488"/>
      <c r="O15" s="2488"/>
      <c r="P15" s="3487" t="s">
        <v>1689</v>
      </c>
      <c r="Q15" s="1263" t="str">
        <f t="shared" si="6"/>
        <v>办公集聚程度</v>
      </c>
      <c r="R15" s="667" t="s">
        <v>14</v>
      </c>
      <c r="S15" s="668">
        <f t="shared" si="0"/>
        <v>100</v>
      </c>
      <c r="T15" s="667" t="s">
        <v>14</v>
      </c>
      <c r="U15" s="668">
        <f t="shared" si="1"/>
        <v>105</v>
      </c>
      <c r="V15" s="667" t="s">
        <v>14</v>
      </c>
      <c r="W15" s="668">
        <f t="shared" si="2"/>
        <v>100</v>
      </c>
      <c r="X15" s="1265"/>
      <c r="Y15" s="3489" t="s">
        <v>1689</v>
      </c>
      <c r="Z15" s="1264" t="str">
        <f t="shared" si="7"/>
        <v>办公集聚程度</v>
      </c>
      <c r="AA15" s="1264">
        <f t="shared" si="3"/>
        <v>1</v>
      </c>
      <c r="AB15" s="1264">
        <f t="shared" si="4"/>
        <v>0.95238095238095233</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88"/>
      <c r="Q16" s="1263"/>
      <c r="R16" s="667"/>
      <c r="S16" s="668"/>
      <c r="T16" s="667"/>
      <c r="U16" s="668"/>
      <c r="V16" s="667"/>
      <c r="W16" s="668"/>
      <c r="X16" s="1265"/>
      <c r="Y16" s="349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88"/>
      <c r="Q17" s="1263" t="str">
        <f>B17</f>
        <v>交通便捷度</v>
      </c>
      <c r="R17" s="667" t="s">
        <v>14</v>
      </c>
      <c r="S17" s="668">
        <f>F17</f>
        <v>102</v>
      </c>
      <c r="T17" s="667" t="s">
        <v>14</v>
      </c>
      <c r="U17" s="668">
        <f>H17</f>
        <v>102</v>
      </c>
      <c r="V17" s="667" t="s">
        <v>14</v>
      </c>
      <c r="W17" s="668">
        <f>J17</f>
        <v>100</v>
      </c>
      <c r="X17" s="1265"/>
      <c r="Y17" s="3490"/>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88"/>
      <c r="Q18" s="1263"/>
      <c r="R18" s="667"/>
      <c r="S18" s="668"/>
      <c r="T18" s="667"/>
      <c r="U18" s="668"/>
      <c r="V18" s="667"/>
      <c r="W18" s="668"/>
      <c r="X18" s="1265"/>
      <c r="Y18" s="349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8"/>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8"/>
      <c r="Q20" s="1263"/>
      <c r="R20" s="667"/>
      <c r="S20" s="668"/>
      <c r="T20" s="667"/>
      <c r="U20" s="668"/>
      <c r="V20" s="667"/>
      <c r="W20" s="668"/>
      <c r="X20" s="1265"/>
      <c r="Y20" s="349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8"/>
      <c r="Q22" s="1263"/>
      <c r="R22" s="667"/>
      <c r="S22" s="668"/>
      <c r="T22" s="667"/>
      <c r="U22" s="668"/>
      <c r="V22" s="667"/>
      <c r="W22" s="668"/>
      <c r="X22" s="1265"/>
      <c r="Y22" s="349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8"/>
      <c r="Q23" s="1263" t="str">
        <f>B23</f>
        <v>环境质量</v>
      </c>
      <c r="R23" s="667" t="s">
        <v>14</v>
      </c>
      <c r="S23" s="668">
        <f>F23</f>
        <v>100</v>
      </c>
      <c r="T23" s="667" t="s">
        <v>14</v>
      </c>
      <c r="U23" s="668">
        <f>H23</f>
        <v>100</v>
      </c>
      <c r="V23" s="667" t="s">
        <v>14</v>
      </c>
      <c r="W23" s="668">
        <f>J23</f>
        <v>100</v>
      </c>
      <c r="X23" s="1265"/>
      <c r="Y23" s="34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8"/>
      <c r="Q24" s="1263"/>
      <c r="R24" s="667"/>
      <c r="S24" s="668"/>
      <c r="T24" s="667"/>
      <c r="U24" s="668"/>
      <c r="V24" s="667"/>
      <c r="W24" s="668"/>
      <c r="X24" s="1265"/>
      <c r="Y24" s="349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8"/>
      <c r="Q25" s="1263" t="str">
        <f>B25</f>
        <v>毗邻道路的类型与等级</v>
      </c>
      <c r="R25" s="667" t="s">
        <v>14</v>
      </c>
      <c r="S25" s="668">
        <f>F25</f>
        <v>100</v>
      </c>
      <c r="T25" s="667" t="s">
        <v>14</v>
      </c>
      <c r="U25" s="668">
        <f>H25</f>
        <v>100</v>
      </c>
      <c r="V25" s="667" t="s">
        <v>14</v>
      </c>
      <c r="W25" s="668">
        <f>J25</f>
        <v>100</v>
      </c>
      <c r="X25" s="1265"/>
      <c r="Y25" s="34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8"/>
      <c r="Q26" s="1263"/>
      <c r="R26" s="667"/>
      <c r="S26" s="668"/>
      <c r="T26" s="667"/>
      <c r="U26" s="668"/>
      <c r="V26" s="667"/>
      <c r="W26" s="668"/>
      <c r="X26" s="1265"/>
      <c r="Y26" s="349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8"/>
      <c r="Q27" s="1263" t="str">
        <f t="shared" ref="Q27:Q47" si="11">B27</f>
        <v>楼层</v>
      </c>
      <c r="R27" s="667" t="s">
        <v>14</v>
      </c>
      <c r="S27" s="668">
        <f>F27</f>
        <v>100</v>
      </c>
      <c r="T27" s="667" t="s">
        <v>14</v>
      </c>
      <c r="U27" s="668">
        <f>H27</f>
        <v>100</v>
      </c>
      <c r="V27" s="667" t="s">
        <v>14</v>
      </c>
      <c r="W27" s="668">
        <f>J27</f>
        <v>100</v>
      </c>
      <c r="X27" s="1265"/>
      <c r="Y27" s="349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8"/>
      <c r="Q28" s="530" t="str">
        <f t="shared" si="11"/>
        <v>朝向</v>
      </c>
      <c r="R28" s="664" t="s">
        <v>14</v>
      </c>
      <c r="S28" s="665">
        <f>F28</f>
        <v>100</v>
      </c>
      <c r="T28" s="664" t="s">
        <v>14</v>
      </c>
      <c r="U28" s="665">
        <f>H28</f>
        <v>100</v>
      </c>
      <c r="V28" s="664" t="s">
        <v>14</v>
      </c>
      <c r="W28" s="665">
        <f>J28</f>
        <v>100</v>
      </c>
      <c r="X28" s="666"/>
      <c r="Y28" s="34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8"/>
      <c r="Q29" s="1263">
        <f t="shared" si="11"/>
        <v>111</v>
      </c>
      <c r="R29" s="667" t="s">
        <v>14</v>
      </c>
      <c r="S29" s="668">
        <f t="shared" ref="S29:S47" si="12">F29</f>
        <v>100</v>
      </c>
      <c r="T29" s="667" t="s">
        <v>14</v>
      </c>
      <c r="U29" s="668">
        <f t="shared" ref="U29:U47" si="13">H29</f>
        <v>100</v>
      </c>
      <c r="V29" s="667" t="s">
        <v>14</v>
      </c>
      <c r="W29" s="668">
        <f t="shared" ref="W29:W47" si="14">J29</f>
        <v>100</v>
      </c>
      <c r="X29" s="1265"/>
      <c r="Y29" s="34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8"/>
      <c r="Q30" s="1263">
        <f t="shared" si="11"/>
        <v>111</v>
      </c>
      <c r="R30" s="667" t="s">
        <v>14</v>
      </c>
      <c r="S30" s="668">
        <f t="shared" si="12"/>
        <v>100</v>
      </c>
      <c r="T30" s="667" t="s">
        <v>14</v>
      </c>
      <c r="U30" s="668">
        <f t="shared" si="13"/>
        <v>100</v>
      </c>
      <c r="V30" s="667" t="s">
        <v>14</v>
      </c>
      <c r="W30" s="668">
        <f t="shared" si="14"/>
        <v>100</v>
      </c>
      <c r="X30" s="1265"/>
      <c r="Y30" s="34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8"/>
      <c r="Q31" s="1263">
        <f t="shared" si="11"/>
        <v>111</v>
      </c>
      <c r="R31" s="667" t="s">
        <v>14</v>
      </c>
      <c r="S31" s="668">
        <f t="shared" si="12"/>
        <v>100</v>
      </c>
      <c r="T31" s="667" t="s">
        <v>14</v>
      </c>
      <c r="U31" s="668">
        <f t="shared" si="13"/>
        <v>100</v>
      </c>
      <c r="V31" s="667" t="s">
        <v>14</v>
      </c>
      <c r="W31" s="668">
        <f t="shared" si="14"/>
        <v>100</v>
      </c>
      <c r="X31" s="1265"/>
      <c r="Y31" s="34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8"/>
      <c r="Q32" s="1263">
        <f t="shared" si="11"/>
        <v>111</v>
      </c>
      <c r="R32" s="667" t="s">
        <v>14</v>
      </c>
      <c r="S32" s="668">
        <f t="shared" si="12"/>
        <v>100</v>
      </c>
      <c r="T32" s="667" t="s">
        <v>14</v>
      </c>
      <c r="U32" s="668">
        <f t="shared" si="13"/>
        <v>100</v>
      </c>
      <c r="V32" s="667" t="s">
        <v>14</v>
      </c>
      <c r="W32" s="668">
        <f t="shared" si="14"/>
        <v>100</v>
      </c>
      <c r="X32" s="1265"/>
      <c r="Y32" s="349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91" t="s">
        <v>1694</v>
      </c>
      <c r="Q33" s="1263" t="str">
        <f t="shared" si="11"/>
        <v>建筑类型</v>
      </c>
      <c r="R33" s="667" t="s">
        <v>14</v>
      </c>
      <c r="S33" s="668">
        <f t="shared" si="12"/>
        <v>100</v>
      </c>
      <c r="T33" s="667" t="s">
        <v>14</v>
      </c>
      <c r="U33" s="668">
        <f t="shared" si="13"/>
        <v>100</v>
      </c>
      <c r="V33" s="667" t="s">
        <v>14</v>
      </c>
      <c r="W33" s="668">
        <f t="shared" si="14"/>
        <v>100</v>
      </c>
      <c r="X33" s="1265"/>
      <c r="Y33" s="3494"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92"/>
      <c r="Q34" s="531" t="str">
        <f t="shared" si="11"/>
        <v>项目建筑规模</v>
      </c>
      <c r="R34" s="669" t="s">
        <v>14</v>
      </c>
      <c r="S34" s="670">
        <f t="shared" si="12"/>
        <v>100</v>
      </c>
      <c r="T34" s="669" t="s">
        <v>14</v>
      </c>
      <c r="U34" s="670">
        <f t="shared" si="13"/>
        <v>102</v>
      </c>
      <c r="V34" s="669" t="s">
        <v>14</v>
      </c>
      <c r="W34" s="670">
        <f t="shared" si="14"/>
        <v>102</v>
      </c>
      <c r="X34" s="671"/>
      <c r="Y34" s="3494"/>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92"/>
      <c r="Q35" s="1263" t="str">
        <f t="shared" si="11"/>
        <v>建筑结构</v>
      </c>
      <c r="R35" s="667" t="s">
        <v>14</v>
      </c>
      <c r="S35" s="668">
        <f t="shared" si="12"/>
        <v>100</v>
      </c>
      <c r="T35" s="667" t="s">
        <v>14</v>
      </c>
      <c r="U35" s="668">
        <f t="shared" si="13"/>
        <v>100</v>
      </c>
      <c r="V35" s="667" t="s">
        <v>14</v>
      </c>
      <c r="W35" s="668">
        <f t="shared" si="14"/>
        <v>100</v>
      </c>
      <c r="X35" s="1265"/>
      <c r="Y35" s="349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92"/>
      <c r="Q36" s="1263" t="str">
        <f t="shared" si="11"/>
        <v>公共部分装修</v>
      </c>
      <c r="R36" s="667" t="s">
        <v>14</v>
      </c>
      <c r="S36" s="668">
        <f t="shared" si="12"/>
        <v>100</v>
      </c>
      <c r="T36" s="667" t="s">
        <v>14</v>
      </c>
      <c r="U36" s="668">
        <f t="shared" si="13"/>
        <v>100</v>
      </c>
      <c r="V36" s="667" t="s">
        <v>14</v>
      </c>
      <c r="W36" s="668">
        <f t="shared" si="14"/>
        <v>100</v>
      </c>
      <c r="X36" s="1265"/>
      <c r="Y36" s="3494"/>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92"/>
      <c r="Q37" s="1263" t="str">
        <f t="shared" si="11"/>
        <v>成新度</v>
      </c>
      <c r="R37" s="667" t="s">
        <v>14</v>
      </c>
      <c r="S37" s="668">
        <f t="shared" si="12"/>
        <v>100</v>
      </c>
      <c r="T37" s="667" t="s">
        <v>14</v>
      </c>
      <c r="U37" s="668">
        <f t="shared" si="13"/>
        <v>102</v>
      </c>
      <c r="V37" s="667" t="s">
        <v>14</v>
      </c>
      <c r="W37" s="668">
        <f t="shared" si="14"/>
        <v>100</v>
      </c>
      <c r="X37" s="1265"/>
      <c r="Y37" s="3494"/>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92"/>
      <c r="Q38" s="530" t="str">
        <f t="shared" si="11"/>
        <v>写字楼等级</v>
      </c>
      <c r="R38" s="664" t="s">
        <v>14</v>
      </c>
      <c r="S38" s="665">
        <f t="shared" si="12"/>
        <v>100</v>
      </c>
      <c r="T38" s="664" t="s">
        <v>14</v>
      </c>
      <c r="U38" s="665">
        <f t="shared" si="13"/>
        <v>100</v>
      </c>
      <c r="V38" s="664" t="s">
        <v>14</v>
      </c>
      <c r="W38" s="665">
        <f t="shared" si="14"/>
        <v>100</v>
      </c>
      <c r="X38" s="666"/>
      <c r="Y38" s="349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92" t="s">
        <v>1694</v>
      </c>
      <c r="Q39" s="1263" t="str">
        <f t="shared" si="11"/>
        <v>物业管理</v>
      </c>
      <c r="R39" s="667" t="s">
        <v>14</v>
      </c>
      <c r="S39" s="668">
        <f t="shared" si="12"/>
        <v>100</v>
      </c>
      <c r="T39" s="667" t="s">
        <v>14</v>
      </c>
      <c r="U39" s="668">
        <f t="shared" si="13"/>
        <v>100</v>
      </c>
      <c r="V39" s="667" t="s">
        <v>14</v>
      </c>
      <c r="W39" s="668">
        <f t="shared" si="14"/>
        <v>100</v>
      </c>
      <c r="X39" s="1265"/>
      <c r="Y39" s="349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92"/>
      <c r="Q40" s="1263" t="str">
        <f t="shared" si="11"/>
        <v>市政基础设施</v>
      </c>
      <c r="R40" s="667" t="s">
        <v>14</v>
      </c>
      <c r="S40" s="668">
        <f t="shared" si="12"/>
        <v>100</v>
      </c>
      <c r="T40" s="667" t="s">
        <v>14</v>
      </c>
      <c r="U40" s="668">
        <f t="shared" si="13"/>
        <v>100</v>
      </c>
      <c r="V40" s="667" t="s">
        <v>14</v>
      </c>
      <c r="W40" s="668">
        <f t="shared" si="14"/>
        <v>100</v>
      </c>
      <c r="X40" s="1265"/>
      <c r="Y40" s="349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92"/>
      <c r="Q41" s="1263" t="str">
        <f t="shared" si="11"/>
        <v>层高</v>
      </c>
      <c r="R41" s="667" t="s">
        <v>14</v>
      </c>
      <c r="S41" s="668">
        <f t="shared" si="12"/>
        <v>100</v>
      </c>
      <c r="T41" s="667" t="s">
        <v>14</v>
      </c>
      <c r="U41" s="668">
        <f t="shared" si="13"/>
        <v>100</v>
      </c>
      <c r="V41" s="667" t="s">
        <v>14</v>
      </c>
      <c r="W41" s="668">
        <f t="shared" si="14"/>
        <v>100</v>
      </c>
      <c r="X41" s="1265"/>
      <c r="Y41" s="349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92"/>
      <c r="Q42" s="531" t="str">
        <f t="shared" si="11"/>
        <v>单套建筑面积</v>
      </c>
      <c r="R42" s="669" t="s">
        <v>14</v>
      </c>
      <c r="S42" s="670">
        <f t="shared" si="12"/>
        <v>100</v>
      </c>
      <c r="T42" s="669" t="s">
        <v>14</v>
      </c>
      <c r="U42" s="670">
        <f t="shared" si="13"/>
        <v>100</v>
      </c>
      <c r="V42" s="669" t="s">
        <v>14</v>
      </c>
      <c r="W42" s="670">
        <f t="shared" si="14"/>
        <v>100</v>
      </c>
      <c r="X42" s="671"/>
      <c r="Y42" s="349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92"/>
      <c r="Q43" s="1263" t="str">
        <f t="shared" si="11"/>
        <v>内部装修</v>
      </c>
      <c r="R43" s="667" t="s">
        <v>14</v>
      </c>
      <c r="S43" s="668">
        <f t="shared" si="12"/>
        <v>100</v>
      </c>
      <c r="T43" s="667" t="s">
        <v>14</v>
      </c>
      <c r="U43" s="668">
        <f t="shared" si="13"/>
        <v>100</v>
      </c>
      <c r="V43" s="667" t="s">
        <v>14</v>
      </c>
      <c r="W43" s="668">
        <f t="shared" si="14"/>
        <v>100</v>
      </c>
      <c r="X43" s="1265"/>
      <c r="Y43" s="3494"/>
      <c r="Z43" s="1264" t="str">
        <f t="shared" si="15"/>
        <v>内部装修</v>
      </c>
      <c r="AA43" s="1264">
        <f t="shared" si="3"/>
        <v>1</v>
      </c>
      <c r="AB43" s="1264">
        <f t="shared" si="4"/>
        <v>1</v>
      </c>
      <c r="AC43" s="1812">
        <f t="shared" si="5"/>
        <v>1</v>
      </c>
    </row>
    <row r="44" spans="1:29" ht="15">
      <c r="A44" s="409"/>
      <c r="B44" s="3596" t="s">
        <v>1705</v>
      </c>
      <c r="C44" s="399" t="s">
        <v>4929</v>
      </c>
      <c r="D44" s="374">
        <v>100</v>
      </c>
      <c r="E44" s="1760" t="s">
        <v>4928</v>
      </c>
      <c r="F44" s="400">
        <f>SUMIF(125:125,E44,126:126)-SUMIF(125:125,C44,126:126)+100</f>
        <v>105</v>
      </c>
      <c r="G44" s="1760" t="s">
        <v>4928</v>
      </c>
      <c r="H44" s="374">
        <f>SUMIF(125:125,G44,126:126)-SUMIF(125:125,C44,126:126)+100</f>
        <v>105</v>
      </c>
      <c r="I44" s="1760" t="s">
        <v>4928</v>
      </c>
      <c r="J44" s="374">
        <f>SUMIF(125:125,I44,126:126)-SUMIF(125:125,C44,126:126)+100</f>
        <v>105</v>
      </c>
      <c r="K44" s="538">
        <v>5</v>
      </c>
      <c r="L44" s="2493"/>
      <c r="M44" s="2488"/>
      <c r="N44" s="2488"/>
      <c r="O44" s="2488"/>
      <c r="P44" s="3492"/>
      <c r="Q44" s="1263" t="str">
        <f t="shared" si="11"/>
        <v>内部装修维护情况</v>
      </c>
      <c r="R44" s="667" t="s">
        <v>14</v>
      </c>
      <c r="S44" s="668">
        <f t="shared" si="12"/>
        <v>105</v>
      </c>
      <c r="T44" s="667" t="s">
        <v>14</v>
      </c>
      <c r="U44" s="668">
        <f t="shared" si="13"/>
        <v>105</v>
      </c>
      <c r="V44" s="667" t="s">
        <v>14</v>
      </c>
      <c r="W44" s="668">
        <f t="shared" si="14"/>
        <v>105</v>
      </c>
      <c r="X44" s="1265"/>
      <c r="Y44" s="3494"/>
      <c r="Z44" s="1264" t="str">
        <f t="shared" si="15"/>
        <v>内部装修维护情况</v>
      </c>
      <c r="AA44" s="1264">
        <f t="shared" si="3"/>
        <v>0.95238095238095233</v>
      </c>
      <c r="AB44" s="1264">
        <f t="shared" si="4"/>
        <v>0.95238095238095233</v>
      </c>
      <c r="AC44" s="1812">
        <f t="shared" si="5"/>
        <v>0.95238095238095233</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92"/>
      <c r="Q45" s="530">
        <f t="shared" si="11"/>
        <v>111</v>
      </c>
      <c r="R45" s="664" t="s">
        <v>14</v>
      </c>
      <c r="S45" s="665">
        <f t="shared" si="12"/>
        <v>100</v>
      </c>
      <c r="T45" s="664" t="s">
        <v>14</v>
      </c>
      <c r="U45" s="665">
        <f t="shared" si="13"/>
        <v>100</v>
      </c>
      <c r="V45" s="664" t="s">
        <v>14</v>
      </c>
      <c r="W45" s="665">
        <f t="shared" si="14"/>
        <v>100</v>
      </c>
      <c r="X45" s="666"/>
      <c r="Y45" s="34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92"/>
      <c r="Q46" s="1263">
        <f t="shared" si="11"/>
        <v>111</v>
      </c>
      <c r="R46" s="667" t="s">
        <v>14</v>
      </c>
      <c r="S46" s="668">
        <f t="shared" si="12"/>
        <v>100</v>
      </c>
      <c r="T46" s="667" t="s">
        <v>14</v>
      </c>
      <c r="U46" s="668">
        <f t="shared" si="13"/>
        <v>100</v>
      </c>
      <c r="V46" s="667" t="s">
        <v>14</v>
      </c>
      <c r="W46" s="668">
        <f t="shared" si="14"/>
        <v>100</v>
      </c>
      <c r="X46" s="1265"/>
      <c r="Y46" s="34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93"/>
      <c r="Q47" s="1263">
        <f t="shared" si="11"/>
        <v>111</v>
      </c>
      <c r="R47" s="667" t="s">
        <v>14</v>
      </c>
      <c r="S47" s="668">
        <f t="shared" si="12"/>
        <v>100</v>
      </c>
      <c r="T47" s="667" t="s">
        <v>14</v>
      </c>
      <c r="U47" s="668">
        <f t="shared" si="13"/>
        <v>100</v>
      </c>
      <c r="V47" s="667" t="s">
        <v>14</v>
      </c>
      <c r="W47" s="668">
        <f t="shared" si="14"/>
        <v>100</v>
      </c>
      <c r="X47" s="1265"/>
      <c r="Y47" s="3495"/>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73" t="str">
        <f>A48</f>
        <v>成交单价（元/平方米）</v>
      </c>
      <c r="Q48" s="3496"/>
      <c r="R48" s="3458">
        <f>E48</f>
        <v>8002</v>
      </c>
      <c r="S48" s="3458"/>
      <c r="T48" s="3458">
        <f>G48</f>
        <v>8401</v>
      </c>
      <c r="U48" s="3458"/>
      <c r="V48" s="3458">
        <f>I48</f>
        <v>6683</v>
      </c>
      <c r="W48" s="3458"/>
      <c r="X48" s="385"/>
      <c r="Y48" s="673"/>
      <c r="Z48" s="385"/>
      <c r="AA48" s="385"/>
      <c r="AB48" s="385"/>
      <c r="AC48" s="555"/>
    </row>
    <row r="49" spans="1:29" ht="15.75" thickBot="1">
      <c r="A49" s="423" t="s">
        <v>1791</v>
      </c>
      <c r="B49" s="424"/>
      <c r="C49" s="1082">
        <f>R50</f>
        <v>6805</v>
      </c>
      <c r="D49" s="2141" t="s">
        <v>2136</v>
      </c>
      <c r="E49" s="1083">
        <f>R49</f>
        <v>7398</v>
      </c>
      <c r="F49" s="2142"/>
      <c r="G49" s="1082">
        <f>T49</f>
        <v>6839</v>
      </c>
      <c r="H49" s="2142"/>
      <c r="I49" s="1083">
        <f>V49</f>
        <v>6178</v>
      </c>
      <c r="J49" s="2142"/>
      <c r="K49" s="2144">
        <f>F49+H49+J49</f>
        <v>0</v>
      </c>
      <c r="L49" s="2495"/>
      <c r="M49" s="2488"/>
      <c r="N49" s="2488"/>
      <c r="O49" s="2488"/>
      <c r="P49" s="3473" t="str">
        <f>A49</f>
        <v>比较价值（元/平方米）</v>
      </c>
      <c r="Q49" s="3496"/>
      <c r="R49" s="3458">
        <f>IF(F1="售价",ROUND(PRODUCT(R48,AA7:AA47),0),ROUND(PRODUCT(R48,AA7:AA47),1))</f>
        <v>7398</v>
      </c>
      <c r="S49" s="3458"/>
      <c r="T49" s="3458">
        <f>IF(F1="售价",ROUND(PRODUCT(T48,AB7:AB47),0),ROUND(PRODUCT(T48,AB7:AB47),1))</f>
        <v>6839</v>
      </c>
      <c r="U49" s="3458"/>
      <c r="V49" s="3458">
        <f>IF(F1="售价",ROUND(PRODUCT(V48,AC7:AC47),0),ROUND(PRODUCT(V48,AC7:AC47),1))</f>
        <v>6178</v>
      </c>
      <c r="W49" s="3458"/>
      <c r="X49" s="385"/>
      <c r="Y49" s="385"/>
      <c r="Z49" s="385"/>
      <c r="AA49" s="385"/>
      <c r="AB49" s="385"/>
      <c r="AC49" s="555"/>
    </row>
    <row r="50" spans="1:29" ht="15.75" thickBot="1">
      <c r="A50" s="427" t="s">
        <v>1792</v>
      </c>
      <c r="B50" s="428"/>
      <c r="C50" s="351">
        <f>R50</f>
        <v>6805</v>
      </c>
      <c r="D50" s="351"/>
      <c r="E50" s="351"/>
      <c r="F50" s="351"/>
      <c r="G50" s="351"/>
      <c r="H50" s="351"/>
      <c r="I50" s="351"/>
      <c r="J50" s="429"/>
      <c r="K50" s="675"/>
      <c r="L50" s="2495"/>
      <c r="M50" s="2488"/>
      <c r="N50" s="2488"/>
      <c r="O50" s="2488"/>
      <c r="P50" s="3514" t="str">
        <f>A50</f>
        <v>估价对象XX用房的比较价值（楼面单价，元/平方米）</v>
      </c>
      <c r="Q50" s="3515"/>
      <c r="R50" s="3516">
        <f>IF(F1="售价",ROUND(IF(D49="简单平均",AVERAGE(R49:V49),R49*F49+T49*H49+V49*J49),0),ROUND(IF(D49="简单平均",AVERAGE(R49:V49),R49*F49+T49*H49+V49*J49),1))</f>
        <v>6805</v>
      </c>
      <c r="S50" s="3516"/>
      <c r="T50" s="3516"/>
      <c r="U50" s="3516"/>
      <c r="V50" s="3516"/>
      <c r="W50" s="35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8.1643687483103466E-2</v>
      </c>
      <c r="F53" s="435" t="str">
        <f>IF(OR(E53&gt;=0.3,E53&lt;=-0.3),"超过30%","")</f>
        <v/>
      </c>
      <c r="G53" s="434">
        <f>IF(G48&lt;G49,G49/G48-1,G48/G49-1)</f>
        <v>0.22839596432226927</v>
      </c>
      <c r="H53" s="435" t="str">
        <f>IF(OR(G53&gt;=0.3,G53&lt;=-0.3),"超过30%","")</f>
        <v/>
      </c>
      <c r="I53" s="434">
        <f>IF(I48&lt;I49,I49/I48-1,I48/I49-1)</f>
        <v>8.1741663968921907E-2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8.173709606667634E-2</v>
      </c>
      <c r="F54" s="435" t="str">
        <f>IF(OR(E54&gt;=0.2,E54&lt;=-0.2),"超过20%","")</f>
        <v/>
      </c>
      <c r="G54" s="434">
        <f>IF(G49&lt;I49,I49/G49-1,G49/I49-1)</f>
        <v>0.10699255422466813</v>
      </c>
      <c r="H54" s="435" t="str">
        <f>IF(OR(G54&gt;=0.2,G54&lt;=-0.2),"超过20%","")</f>
        <v/>
      </c>
      <c r="I54" s="434">
        <f>IF(I49&lt;E49,E49/I49-1,I49/E49-1)</f>
        <v>0.19747491097442538</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212">
        <f t="shared" ref="P59" si="17">EDATE(O59,-1)</f>
        <v>45566</v>
      </c>
      <c r="Q59" s="3212">
        <f t="shared" ref="Q59" si="18">EDATE(P59,-1)</f>
        <v>45536</v>
      </c>
      <c r="R59" s="3212">
        <f t="shared" ref="R59" si="19">EDATE(Q59,-1)</f>
        <v>45505</v>
      </c>
      <c r="S59" s="3212">
        <f t="shared" ref="S59" si="20">EDATE(R59,-1)</f>
        <v>45474</v>
      </c>
      <c r="T59" s="3212">
        <f t="shared" ref="T59" si="21">EDATE(S59,-1)</f>
        <v>45444</v>
      </c>
      <c r="U59" s="3212">
        <f t="shared" ref="U59" si="22">EDATE(T59,-1)</f>
        <v>45413</v>
      </c>
      <c r="V59" s="3212">
        <f t="shared" ref="V59" si="23">EDATE(U59,-1)</f>
        <v>45383</v>
      </c>
      <c r="W59" s="3212">
        <f t="shared" ref="W59" si="24">EDATE(V59,-1)</f>
        <v>45352</v>
      </c>
      <c r="X59" s="3212">
        <f t="shared" ref="X59" si="25">EDATE(W59,-1)</f>
        <v>45323</v>
      </c>
      <c r="Y59" s="3212">
        <f t="shared" ref="Y59" si="26">EDATE(X59,-1)</f>
        <v>45292</v>
      </c>
      <c r="Z59" s="3212">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105</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95</v>
      </c>
      <c r="E78" s="475">
        <f>D78-$K15</f>
        <v>90</v>
      </c>
      <c r="F78" s="475">
        <f>E78-$K15</f>
        <v>85</v>
      </c>
      <c r="G78" s="475">
        <f>F78-$K15</f>
        <v>80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95</v>
      </c>
      <c r="E126" s="475">
        <f>D126-$K44</f>
        <v>90</v>
      </c>
      <c r="F126" s="475">
        <f>E126-$K44</f>
        <v>85</v>
      </c>
      <c r="G126" s="475">
        <f>F126-$K44</f>
        <v>80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4780</v>
      </c>
      <c r="D4" s="1626" t="s">
        <v>4784</v>
      </c>
      <c r="E4" s="3410" t="s">
        <v>1265</v>
      </c>
      <c r="F4" s="3411"/>
      <c r="G4" s="3411"/>
      <c r="H4" s="3411"/>
      <c r="I4" s="3412"/>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560.71100000000001</v>
      </c>
      <c r="D19" s="127">
        <f ca="1">SUMIF(INDIRECT("'"&amp;D4&amp;"'"&amp;"!A:A"),'结果表-车位'!B19,INDIRECT("'"&amp;D4&amp;"'"&amp;"!B:B"))</f>
        <v>2802</v>
      </c>
      <c r="E19" s="1630" t="s">
        <v>1290</v>
      </c>
      <c r="F19" s="1631" t="s">
        <v>1289</v>
      </c>
      <c r="G19" s="128">
        <f ca="1">ROUND(C19*$C$18+D19*$D$18,0)</f>
        <v>1233</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841</v>
      </c>
      <c r="D20" s="130">
        <f ca="1">SUMIF(INDIRECT("'"&amp;D4&amp;"'"&amp;"!A:A"),'结果表-车位'!B20,INDIRECT("'"&amp;D4&amp;"'"&amp;"!B:B"))</f>
        <v>4203</v>
      </c>
      <c r="E20" s="1633"/>
      <c r="F20" s="43" t="s">
        <v>1293</v>
      </c>
      <c r="G20" s="131">
        <f ca="1">ROUND(C20*$C$18+D20*$D$18,0)</f>
        <v>1850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3.9972267353413793</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1850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IF(AND(J55="",J56=""),4,IF(项目基本情况!K6="上海银行",'结果表-车位'!J56+1,'结果表-车位'!J55+1))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(元)-车位</v>
      </c>
      <c r="D101" s="2372" t="str">
        <f>D4</f>
        <v>比较法-车位</v>
      </c>
      <c r="E101" s="3341" t="s">
        <v>1429</v>
      </c>
      <c r="F101" s="3342"/>
      <c r="G101" s="1687" t="s">
        <v>1430</v>
      </c>
      <c r="H101" s="2381" t="e">
        <f ca="1">H118</f>
        <v>#REF!</v>
      </c>
      <c r="I101" s="121"/>
    </row>
    <row r="102" spans="1:35" ht="18.75" customHeight="1">
      <c r="A102" s="3373" t="s">
        <v>1431</v>
      </c>
      <c r="B102" s="2370" t="s">
        <v>1430</v>
      </c>
      <c r="C102" s="2371">
        <f ca="1">IF(D32="楼面单价",ROUND(C19,0),C19)</f>
        <v>560.71100000000001</v>
      </c>
      <c r="D102" s="2372">
        <f ca="1">IF(D32="楼面单价",ROUND(D19,0),D19)</f>
        <v>2802</v>
      </c>
      <c r="E102" s="3341"/>
      <c r="F102" s="3342"/>
      <c r="G102" s="1687" t="s">
        <v>1432</v>
      </c>
      <c r="H102" s="2341" t="e">
        <f ca="1">I118</f>
        <v>#REF!</v>
      </c>
      <c r="I102" s="121"/>
    </row>
    <row r="103" spans="1:35" ht="42.75" customHeight="1">
      <c r="A103" s="3373"/>
      <c r="B103" s="2370" t="s">
        <v>1432</v>
      </c>
      <c r="C103" s="2373">
        <f ca="1">C20</f>
        <v>841</v>
      </c>
      <c r="D103" s="2374">
        <f ca="1">D20</f>
        <v>4203</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560.71100000000001</v>
      </c>
      <c r="C2" s="1289" t="s">
        <v>804</v>
      </c>
      <c r="D2" s="1375">
        <f ca="1">C40+J29+L46</f>
        <v>5607110</v>
      </c>
      <c r="E2" s="1295" t="s">
        <v>879</v>
      </c>
      <c r="F2" s="1296"/>
      <c r="G2" s="2479"/>
      <c r="H2" s="2469"/>
      <c r="I2" s="2469"/>
      <c r="J2" s="2469"/>
      <c r="K2" s="2470"/>
      <c r="L2" s="2469"/>
      <c r="M2" s="2469"/>
    </row>
    <row r="3" spans="1:37" ht="18" customHeight="1" thickBot="1">
      <c r="A3" s="1297" t="s">
        <v>805</v>
      </c>
      <c r="B3" s="1298">
        <f ca="1">IF(ISERROR(D2/F43),0,ROUND(D2/F43,0))</f>
        <v>841</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443520</v>
      </c>
      <c r="D6" s="147" t="s">
        <v>2104</v>
      </c>
      <c r="E6" s="294" t="s">
        <v>695</v>
      </c>
      <c r="F6" s="295">
        <f ca="1">INDIRECT("'数据-取费表'!u"&amp;$G$1)</f>
        <v>300</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154</v>
      </c>
      <c r="G7" s="1292"/>
      <c r="H7" s="296"/>
      <c r="I7" s="3434"/>
      <c r="J7" s="298"/>
      <c r="K7" s="299"/>
      <c r="L7" s="294" t="s">
        <v>696</v>
      </c>
      <c r="M7" s="295">
        <f ca="1">F7</f>
        <v>154</v>
      </c>
    </row>
    <row r="8" spans="1:37" ht="18" customHeight="1">
      <c r="A8" s="296"/>
      <c r="B8" s="3434"/>
      <c r="C8" s="298"/>
      <c r="D8" s="299"/>
      <c r="E8" s="294" t="s">
        <v>697</v>
      </c>
      <c r="F8" s="295">
        <f ca="1">INDIRECT("'数据-取费表'!ai"&amp;$G$1)</f>
        <v>12</v>
      </c>
      <c r="G8" s="1292"/>
      <c r="H8" s="296"/>
      <c r="I8" s="3434"/>
      <c r="J8" s="298"/>
      <c r="K8" s="299"/>
      <c r="L8" s="294" t="s">
        <v>697</v>
      </c>
      <c r="M8" s="295">
        <f ca="1">INDIRECT("'数据-取费表'!ai"&amp;$G$1)</f>
        <v>12</v>
      </c>
    </row>
    <row r="9" spans="1:37" ht="18" customHeight="1">
      <c r="A9" s="296"/>
      <c r="B9" s="3435"/>
      <c r="C9" s="298"/>
      <c r="D9" s="299"/>
      <c r="E9" s="294" t="s">
        <v>698</v>
      </c>
      <c r="F9" s="304">
        <f ca="1">INDIRECT("'数据-取费表'!w"&amp;$G$1)</f>
        <v>0.2</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27013690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23333100</v>
      </c>
      <c r="D14" s="1257" t="s">
        <v>707</v>
      </c>
      <c r="E14" s="1255"/>
      <c r="F14" s="311"/>
      <c r="G14" s="1292"/>
      <c r="H14" s="928" t="s">
        <v>398</v>
      </c>
      <c r="I14" s="294" t="s">
        <v>708</v>
      </c>
      <c r="J14" s="21">
        <f ca="1">C29</f>
        <v>31780812</v>
      </c>
      <c r="K14" s="12"/>
      <c r="L14" s="759"/>
      <c r="M14" s="760"/>
    </row>
    <row r="15" spans="1:37" s="1304" customFormat="1" ht="18" customHeight="1" thickBot="1">
      <c r="A15" s="928" t="s">
        <v>399</v>
      </c>
      <c r="B15" s="294" t="s">
        <v>709</v>
      </c>
      <c r="C15" s="21">
        <f ca="1">ROUND(C14*F15,0)</f>
        <v>1166655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63562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466662</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26606401</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266064</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63562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841108</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-63562</v>
      </c>
      <c r="K25" s="1032" t="s">
        <v>752</v>
      </c>
      <c r="L25" s="1033"/>
      <c r="M25" s="1034"/>
    </row>
    <row r="26" spans="1:37" ht="18" customHeight="1">
      <c r="A26" s="928" t="s">
        <v>397</v>
      </c>
      <c r="B26" s="294" t="s">
        <v>753</v>
      </c>
      <c r="C26" s="21">
        <f ca="1">ROUND((C19+C20)*F26,0)</f>
        <v>1343623</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31780812</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169359</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63562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27014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274715</v>
      </c>
      <c r="D39" s="1032" t="s">
        <v>752</v>
      </c>
      <c r="E39" s="1033"/>
      <c r="F39" s="1034"/>
      <c r="G39" s="1292"/>
      <c r="H39" s="2474"/>
      <c r="I39" s="1305"/>
      <c r="J39" s="1306"/>
      <c r="K39" s="2472"/>
      <c r="L39" s="2474"/>
      <c r="M39" s="2474"/>
    </row>
    <row r="40" spans="1:18" ht="18" customHeight="1">
      <c r="A40" s="291" t="s">
        <v>395</v>
      </c>
      <c r="B40" s="292" t="s">
        <v>773</v>
      </c>
      <c r="C40" s="293">
        <f ca="1">ROUND(C39*(1-((1+F42)/(1+F40))^F41)/(F40-F42),0)</f>
        <v>4248670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637</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1358440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4248670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1358440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31780812</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-24574418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5607110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27013690</v>
      </c>
      <c r="D56" s="1352"/>
      <c r="E56" s="1353"/>
      <c r="F56" s="1345"/>
      <c r="I56" s="1354" t="s">
        <v>841</v>
      </c>
      <c r="J56" s="1355" t="s">
        <v>4789</v>
      </c>
      <c r="K56" s="1328" t="s">
        <v>842</v>
      </c>
      <c r="L56" s="1331" t="str">
        <f ca="1">IF(L48&lt;J51,"——",L48-J51)</f>
        <v>——</v>
      </c>
      <c r="O56" s="1325" t="s">
        <v>403</v>
      </c>
      <c r="P56" s="1326" t="s">
        <v>816</v>
      </c>
      <c r="Q56" s="1327">
        <f ca="1">C40+J29</f>
        <v>4248670</v>
      </c>
      <c r="R56" s="1327" t="s">
        <v>817</v>
      </c>
    </row>
    <row r="57" spans="1:18" s="1292" customFormat="1" ht="24.75" thickBot="1">
      <c r="A57" s="1356"/>
      <c r="B57" s="896" t="s">
        <v>766</v>
      </c>
      <c r="C57" s="230">
        <f ca="1">C29</f>
        <v>31780812</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90576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12712325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1358440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4248670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63562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27014</v>
      </c>
      <c r="D65" s="910" t="s">
        <v>742</v>
      </c>
      <c r="E65" s="896" t="s">
        <v>711</v>
      </c>
      <c r="F65" s="321">
        <f t="shared" ca="1" si="0"/>
        <v>1E-3</v>
      </c>
      <c r="I65" s="1367" t="s">
        <v>866</v>
      </c>
      <c r="J65" s="610">
        <v>40</v>
      </c>
      <c r="K65" s="610">
        <v>30</v>
      </c>
      <c r="L65" s="610">
        <v>50</v>
      </c>
      <c r="M65" s="1369">
        <v>0.02</v>
      </c>
      <c r="O65" s="1325" t="s">
        <v>403</v>
      </c>
      <c r="P65" s="1326" t="s">
        <v>816</v>
      </c>
      <c r="Q65" s="1327">
        <f ca="1">C40+J29</f>
        <v>4248670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-90576</v>
      </c>
      <c r="D67" s="909" t="s">
        <v>752</v>
      </c>
      <c r="E67" s="914"/>
      <c r="F67" s="915"/>
      <c r="O67" s="1334" t="s">
        <v>405</v>
      </c>
      <c r="P67" s="1326" t="s">
        <v>849</v>
      </c>
      <c r="Q67" s="1370">
        <f ca="1">L51</f>
        <v>-24574418</v>
      </c>
      <c r="R67" s="1327" t="s">
        <v>869</v>
      </c>
    </row>
    <row r="68" spans="1:18" s="1292" customFormat="1" ht="16.5" thickBot="1">
      <c r="A68" s="893" t="s">
        <v>395</v>
      </c>
      <c r="B68" s="894" t="s">
        <v>773</v>
      </c>
      <c r="C68" s="293">
        <f ca="1">ROUND(C67*(1-((1+F70)/(1+F68))^F69)/(F68-F70),0)</f>
        <v>-1400825</v>
      </c>
      <c r="D68" s="911" t="s">
        <v>757</v>
      </c>
      <c r="E68" s="896" t="s">
        <v>758</v>
      </c>
      <c r="F68" s="304">
        <f ca="1">F40</f>
        <v>5.5E-2</v>
      </c>
      <c r="O68" s="1334" t="s">
        <v>406</v>
      </c>
      <c r="P68" s="1371" t="s">
        <v>870</v>
      </c>
      <c r="Q68" s="1327">
        <f ca="1">ROUND(Q69-Q70*Q71,0)</f>
        <v>-1346106</v>
      </c>
      <c r="R68" s="1327" t="s">
        <v>414</v>
      </c>
    </row>
    <row r="69" spans="1:18" s="1292" customFormat="1" ht="13.5" thickBot="1">
      <c r="A69" s="897"/>
      <c r="B69" s="898"/>
      <c r="C69" s="298"/>
      <c r="D69" s="916" t="s">
        <v>761</v>
      </c>
      <c r="E69" s="896" t="s">
        <v>762</v>
      </c>
      <c r="F69" s="324">
        <f ca="1">F41</f>
        <v>35.51</v>
      </c>
      <c r="O69" s="1334" t="s">
        <v>411</v>
      </c>
      <c r="P69" s="1371" t="s">
        <v>871</v>
      </c>
      <c r="Q69" s="1327">
        <f ca="1">C39</f>
        <v>274715</v>
      </c>
      <c r="R69" s="1327" t="s">
        <v>817</v>
      </c>
    </row>
    <row r="70" spans="1:18" s="1292" customFormat="1" ht="13.5" thickBot="1">
      <c r="A70" s="900"/>
      <c r="B70" s="901"/>
      <c r="C70" s="302"/>
      <c r="D70" s="912"/>
      <c r="E70" s="896" t="s">
        <v>765</v>
      </c>
      <c r="F70" s="991"/>
      <c r="O70" s="1334" t="s">
        <v>412</v>
      </c>
      <c r="P70" s="1371" t="s">
        <v>872</v>
      </c>
      <c r="Q70" s="1327">
        <f ca="1">C13</f>
        <v>27013690</v>
      </c>
      <c r="R70" s="1327" t="s">
        <v>817</v>
      </c>
    </row>
    <row r="71" spans="1:18" s="1292" customFormat="1" ht="13.5" thickBot="1">
      <c r="A71" s="917" t="s">
        <v>396</v>
      </c>
      <c r="B71" s="918" t="s">
        <v>775</v>
      </c>
      <c r="C71" s="327">
        <f ca="1">ROUND(C68/F71,0)</f>
        <v>-210</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1620821</v>
      </c>
      <c r="D75" s="1292"/>
      <c r="E75" s="1292"/>
      <c r="F75" s="1292"/>
      <c r="K75" s="1309"/>
      <c r="L75" s="1292"/>
      <c r="O75" s="1325" t="s">
        <v>409</v>
      </c>
      <c r="P75" s="1326" t="s">
        <v>837</v>
      </c>
      <c r="Q75" s="1327">
        <f ca="1">Q65+Q66</f>
        <v>4248670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-4.9000000000000004</v>
      </c>
    </row>
    <row r="80" spans="1:18">
      <c r="B80" s="331" t="s">
        <v>799</v>
      </c>
      <c r="C80" s="266">
        <f ca="1">ROUND(C75/C39,3)</f>
        <v>5.9</v>
      </c>
    </row>
    <row r="81" spans="2:3">
      <c r="B81" s="262" t="s">
        <v>800</v>
      </c>
      <c r="C81" s="230"/>
    </row>
    <row r="82" spans="2:3">
      <c r="B82" s="265" t="s">
        <v>801</v>
      </c>
      <c r="C82" s="267">
        <f ca="1">1-C83</f>
        <v>-5.3579999999999997</v>
      </c>
    </row>
    <row r="83" spans="2:3">
      <c r="B83" s="265" t="s">
        <v>802</v>
      </c>
      <c r="C83" s="266">
        <f ca="1">ROUND(C13/C40,3)</f>
        <v>6.3579999999999997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0" zoomScaleNormal="60" zoomScaleSheetLayoutView="100" workbookViewId="0">
      <selection activeCell="B34" sqref="B3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2802</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4203</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2802</v>
      </c>
      <c r="N3" s="2505"/>
      <c r="O3" s="2505"/>
      <c r="P3" s="1086"/>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tr">
        <f>市场售价案例!C6</f>
        <v>金科澜山公馆车位</v>
      </c>
      <c r="F5" s="3466"/>
      <c r="G5" s="3467" t="str">
        <f>市场售价案例!P1</f>
        <v>博翠明湖车位</v>
      </c>
      <c r="H5" s="3468"/>
      <c r="I5" s="3467" t="str">
        <f>市场售价案例!P61</f>
        <v>世茂天城车位</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59" t="s">
        <v>1678</v>
      </c>
      <c r="Q7" s="3486"/>
      <c r="R7" s="664" t="s">
        <v>14</v>
      </c>
      <c r="S7" s="665">
        <f t="shared" ref="S7:S14" si="0">F7</f>
        <v>100</v>
      </c>
      <c r="T7" s="664" t="s">
        <v>14</v>
      </c>
      <c r="U7" s="665">
        <f t="shared" ref="U7:U14" si="1">H7</f>
        <v>100</v>
      </c>
      <c r="V7" s="664" t="s">
        <v>14</v>
      </c>
      <c r="W7" s="665">
        <f t="shared" ref="W7:W14" si="2">J7</f>
        <v>100</v>
      </c>
      <c r="X7" s="666"/>
      <c r="Y7" s="3459" t="s">
        <v>1678</v>
      </c>
      <c r="Z7" s="3460"/>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96" t="s">
        <v>1684</v>
      </c>
      <c r="Q9" s="530" t="str">
        <f t="shared" ref="Q9:Q14" si="6">B9</f>
        <v>用途</v>
      </c>
      <c r="R9" s="664" t="s">
        <v>14</v>
      </c>
      <c r="S9" s="665">
        <f t="shared" si="0"/>
        <v>100</v>
      </c>
      <c r="T9" s="664" t="s">
        <v>14</v>
      </c>
      <c r="U9" s="665">
        <f t="shared" si="1"/>
        <v>100</v>
      </c>
      <c r="V9" s="664" t="s">
        <v>14</v>
      </c>
      <c r="W9" s="665">
        <f t="shared" si="2"/>
        <v>100</v>
      </c>
      <c r="X9" s="666"/>
      <c r="Y9" s="3404"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105</v>
      </c>
      <c r="G10" s="3134" t="s">
        <v>4935</v>
      </c>
      <c r="H10" s="119">
        <f>SUMIF(55:55,G10,56:56)-SUMIF(55:55,C10,56:56)+100</f>
        <v>105</v>
      </c>
      <c r="I10" s="3133" t="s">
        <v>4935</v>
      </c>
      <c r="J10" s="119">
        <f>SUMIF(55:55,I10,56:56)-SUMIF(55:55,C10,56:56)+100</f>
        <v>105</v>
      </c>
      <c r="K10" s="38"/>
      <c r="L10" s="2490"/>
      <c r="M10" s="2491"/>
      <c r="N10" s="2491"/>
      <c r="O10" s="2491"/>
      <c r="P10" s="3496"/>
      <c r="Q10" s="530" t="str">
        <f t="shared" si="6"/>
        <v>土地使用年限（年）</v>
      </c>
      <c r="R10" s="664" t="s">
        <v>14</v>
      </c>
      <c r="S10" s="665">
        <f t="shared" si="0"/>
        <v>105</v>
      </c>
      <c r="T10" s="664" t="s">
        <v>14</v>
      </c>
      <c r="U10" s="665">
        <f t="shared" si="1"/>
        <v>105</v>
      </c>
      <c r="V10" s="664" t="s">
        <v>14</v>
      </c>
      <c r="W10" s="665">
        <f t="shared" si="2"/>
        <v>105</v>
      </c>
      <c r="X10" s="666"/>
      <c r="Y10" s="3404"/>
      <c r="Z10" s="50" t="str">
        <f t="shared" si="7"/>
        <v>土地使用年限（年）</v>
      </c>
      <c r="AA10" s="50">
        <f t="shared" si="3"/>
        <v>0.95238095238095233</v>
      </c>
      <c r="AB10" s="50">
        <f t="shared" si="4"/>
        <v>0.95238095238095233</v>
      </c>
      <c r="AC10" s="50">
        <f t="shared" si="5"/>
        <v>0.95238095238095233</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96"/>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89" t="s">
        <v>1689</v>
      </c>
      <c r="Q14" s="1263" t="str">
        <f t="shared" si="6"/>
        <v>交通便捷度</v>
      </c>
      <c r="R14" s="667" t="s">
        <v>14</v>
      </c>
      <c r="S14" s="668">
        <f t="shared" si="0"/>
        <v>98</v>
      </c>
      <c r="T14" s="667" t="s">
        <v>14</v>
      </c>
      <c r="U14" s="668">
        <f t="shared" si="1"/>
        <v>100</v>
      </c>
      <c r="V14" s="667" t="s">
        <v>14</v>
      </c>
      <c r="W14" s="668">
        <f t="shared" si="2"/>
        <v>102</v>
      </c>
      <c r="X14" s="1265"/>
      <c r="Y14" s="3489"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90"/>
      <c r="Q15" s="1263"/>
      <c r="R15" s="667"/>
      <c r="S15" s="668"/>
      <c r="T15" s="667"/>
      <c r="U15" s="668"/>
      <c r="V15" s="667"/>
      <c r="W15" s="668"/>
      <c r="X15" s="1265"/>
      <c r="Y15" s="349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90"/>
      <c r="Q16" s="1263" t="str">
        <f>B16</f>
        <v>公共配套设施</v>
      </c>
      <c r="R16" s="667" t="s">
        <v>14</v>
      </c>
      <c r="S16" s="668">
        <f>F16</f>
        <v>100</v>
      </c>
      <c r="T16" s="667" t="s">
        <v>14</v>
      </c>
      <c r="U16" s="668">
        <f>H16</f>
        <v>100</v>
      </c>
      <c r="V16" s="667" t="s">
        <v>14</v>
      </c>
      <c r="W16" s="668">
        <f>J16</f>
        <v>100</v>
      </c>
      <c r="X16" s="1265"/>
      <c r="Y16" s="34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90"/>
      <c r="Q17" s="1263"/>
      <c r="R17" s="667"/>
      <c r="S17" s="668"/>
      <c r="T17" s="667"/>
      <c r="U17" s="668"/>
      <c r="V17" s="667"/>
      <c r="W17" s="668"/>
      <c r="X17" s="1265"/>
      <c r="Y17" s="349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90"/>
      <c r="Q18" s="1263" t="str">
        <f>B18</f>
        <v>基础设施水平</v>
      </c>
      <c r="R18" s="667" t="s">
        <v>14</v>
      </c>
      <c r="S18" s="668">
        <f>F18</f>
        <v>100</v>
      </c>
      <c r="T18" s="667" t="s">
        <v>14</v>
      </c>
      <c r="U18" s="668">
        <f>H18</f>
        <v>100</v>
      </c>
      <c r="V18" s="667" t="s">
        <v>14</v>
      </c>
      <c r="W18" s="668">
        <f>J18</f>
        <v>100</v>
      </c>
      <c r="X18" s="1265"/>
      <c r="Y18" s="34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90"/>
      <c r="Q19" s="1263"/>
      <c r="R19" s="667"/>
      <c r="S19" s="668"/>
      <c r="T19" s="667"/>
      <c r="U19" s="668"/>
      <c r="V19" s="667"/>
      <c r="W19" s="668"/>
      <c r="X19" s="1265"/>
      <c r="Y19" s="349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90"/>
      <c r="Q20" s="1263" t="str">
        <f>B20</f>
        <v>自然及人文环境</v>
      </c>
      <c r="R20" s="667" t="s">
        <v>14</v>
      </c>
      <c r="S20" s="668">
        <f>F20</f>
        <v>100</v>
      </c>
      <c r="T20" s="667" t="s">
        <v>14</v>
      </c>
      <c r="U20" s="668">
        <f>H20</f>
        <v>100</v>
      </c>
      <c r="V20" s="667" t="s">
        <v>14</v>
      </c>
      <c r="W20" s="668">
        <f>J20</f>
        <v>100</v>
      </c>
      <c r="X20" s="1265"/>
      <c r="Y20" s="34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90"/>
      <c r="Q21" s="1263"/>
      <c r="R21" s="667"/>
      <c r="S21" s="668"/>
      <c r="T21" s="667"/>
      <c r="U21" s="668"/>
      <c r="V21" s="667"/>
      <c r="W21" s="668"/>
      <c r="X21" s="1265"/>
      <c r="Y21" s="349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90"/>
      <c r="Q22" s="1263" t="str">
        <f>B22</f>
        <v>楼层</v>
      </c>
      <c r="R22" s="667" t="s">
        <v>14</v>
      </c>
      <c r="S22" s="668">
        <f>F22</f>
        <v>100</v>
      </c>
      <c r="T22" s="667" t="s">
        <v>14</v>
      </c>
      <c r="U22" s="668">
        <f>H22</f>
        <v>100</v>
      </c>
      <c r="V22" s="667" t="s">
        <v>14</v>
      </c>
      <c r="W22" s="668">
        <f>J22</f>
        <v>100</v>
      </c>
      <c r="X22" s="1265"/>
      <c r="Y22" s="34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90"/>
      <c r="Q23" s="1263">
        <f>B23</f>
        <v>111</v>
      </c>
      <c r="R23" s="667" t="s">
        <v>14</v>
      </c>
      <c r="S23" s="668">
        <f>F23</f>
        <v>100</v>
      </c>
      <c r="T23" s="667" t="s">
        <v>14</v>
      </c>
      <c r="U23" s="668">
        <f>H23</f>
        <v>100</v>
      </c>
      <c r="V23" s="667" t="s">
        <v>14</v>
      </c>
      <c r="W23" s="668">
        <f>J23</f>
        <v>100</v>
      </c>
      <c r="X23" s="1265"/>
      <c r="Y23" s="34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90"/>
      <c r="Q24" s="1263">
        <f t="shared" ref="Q24:Q36" si="11">B24</f>
        <v>111</v>
      </c>
      <c r="R24" s="667" t="s">
        <v>14</v>
      </c>
      <c r="S24" s="668">
        <f>F24</f>
        <v>100</v>
      </c>
      <c r="T24" s="667" t="s">
        <v>14</v>
      </c>
      <c r="U24" s="668">
        <f>H24</f>
        <v>100</v>
      </c>
      <c r="V24" s="667" t="s">
        <v>14</v>
      </c>
      <c r="W24" s="668">
        <f>J24</f>
        <v>100</v>
      </c>
      <c r="X24" s="1265"/>
      <c r="Y24" s="34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90"/>
      <c r="Q25" s="530">
        <f t="shared" si="11"/>
        <v>111</v>
      </c>
      <c r="R25" s="664" t="s">
        <v>14</v>
      </c>
      <c r="S25" s="665">
        <f>F25</f>
        <v>100</v>
      </c>
      <c r="T25" s="664" t="s">
        <v>14</v>
      </c>
      <c r="U25" s="665">
        <f>H25</f>
        <v>100</v>
      </c>
      <c r="V25" s="664" t="s">
        <v>14</v>
      </c>
      <c r="W25" s="665">
        <f>J25</f>
        <v>100</v>
      </c>
      <c r="X25" s="666"/>
      <c r="Y25" s="3490"/>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517"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94"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4"/>
      <c r="Q27" s="531" t="str">
        <f t="shared" si="11"/>
        <v>项目停车位配比</v>
      </c>
      <c r="R27" s="669" t="s">
        <v>14</v>
      </c>
      <c r="S27" s="670">
        <f t="shared" si="12"/>
        <v>100</v>
      </c>
      <c r="T27" s="669" t="s">
        <v>14</v>
      </c>
      <c r="U27" s="670">
        <f t="shared" si="13"/>
        <v>100</v>
      </c>
      <c r="V27" s="669" t="s">
        <v>14</v>
      </c>
      <c r="W27" s="670">
        <f t="shared" si="14"/>
        <v>100</v>
      </c>
      <c r="X27" s="671"/>
      <c r="Y27" s="349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4"/>
      <c r="Q28" s="1263" t="str">
        <f t="shared" si="11"/>
        <v>公共部分装修</v>
      </c>
      <c r="R28" s="667" t="s">
        <v>14</v>
      </c>
      <c r="S28" s="668">
        <f t="shared" si="12"/>
        <v>100</v>
      </c>
      <c r="T28" s="667" t="s">
        <v>14</v>
      </c>
      <c r="U28" s="668">
        <f t="shared" si="13"/>
        <v>100</v>
      </c>
      <c r="V28" s="667" t="s">
        <v>14</v>
      </c>
      <c r="W28" s="668">
        <f t="shared" si="14"/>
        <v>100</v>
      </c>
      <c r="X28" s="1265"/>
      <c r="Y28" s="3494"/>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94"/>
      <c r="Q29" s="1263" t="str">
        <f t="shared" si="11"/>
        <v>成新率</v>
      </c>
      <c r="R29" s="667" t="s">
        <v>14</v>
      </c>
      <c r="S29" s="668">
        <f t="shared" si="12"/>
        <v>102</v>
      </c>
      <c r="T29" s="667" t="s">
        <v>14</v>
      </c>
      <c r="U29" s="668">
        <f t="shared" si="13"/>
        <v>102</v>
      </c>
      <c r="V29" s="667" t="s">
        <v>14</v>
      </c>
      <c r="W29" s="668">
        <f t="shared" si="14"/>
        <v>102</v>
      </c>
      <c r="X29" s="1265"/>
      <c r="Y29" s="3494"/>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4"/>
      <c r="Q30" s="1263" t="str">
        <f t="shared" si="11"/>
        <v>物业等级</v>
      </c>
      <c r="R30" s="667" t="s">
        <v>14</v>
      </c>
      <c r="S30" s="668">
        <f t="shared" si="12"/>
        <v>100</v>
      </c>
      <c r="T30" s="667" t="s">
        <v>14</v>
      </c>
      <c r="U30" s="668">
        <f t="shared" si="13"/>
        <v>100</v>
      </c>
      <c r="V30" s="667" t="s">
        <v>14</v>
      </c>
      <c r="W30" s="668">
        <f t="shared" si="14"/>
        <v>100</v>
      </c>
      <c r="X30" s="1265"/>
      <c r="Y30" s="3494"/>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94"/>
      <c r="Q31" s="530" t="str">
        <f t="shared" si="11"/>
        <v>停车位面积</v>
      </c>
      <c r="R31" s="664" t="s">
        <v>14</v>
      </c>
      <c r="S31" s="665">
        <f t="shared" si="12"/>
        <v>100</v>
      </c>
      <c r="T31" s="664" t="s">
        <v>14</v>
      </c>
      <c r="U31" s="665">
        <f t="shared" si="13"/>
        <v>100</v>
      </c>
      <c r="V31" s="664" t="s">
        <v>14</v>
      </c>
      <c r="W31" s="665">
        <f t="shared" si="14"/>
        <v>100</v>
      </c>
      <c r="X31" s="666"/>
      <c r="Y31" s="3494"/>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4" t="s">
        <v>1694</v>
      </c>
      <c r="Q32" s="1263" t="str">
        <f t="shared" si="11"/>
        <v>车位类型</v>
      </c>
      <c r="R32" s="667" t="s">
        <v>14</v>
      </c>
      <c r="S32" s="668">
        <f t="shared" si="12"/>
        <v>100</v>
      </c>
      <c r="T32" s="667" t="s">
        <v>14</v>
      </c>
      <c r="U32" s="668">
        <f t="shared" si="13"/>
        <v>100</v>
      </c>
      <c r="V32" s="667" t="s">
        <v>14</v>
      </c>
      <c r="W32" s="668">
        <f t="shared" si="14"/>
        <v>100</v>
      </c>
      <c r="X32" s="1265"/>
      <c r="Y32" s="349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4"/>
      <c r="Q33" s="1263" t="str">
        <f t="shared" si="11"/>
        <v>是否直接入户</v>
      </c>
      <c r="R33" s="667" t="s">
        <v>14</v>
      </c>
      <c r="S33" s="668">
        <f t="shared" si="12"/>
        <v>100</v>
      </c>
      <c r="T33" s="667" t="s">
        <v>14</v>
      </c>
      <c r="U33" s="668">
        <f t="shared" si="13"/>
        <v>100</v>
      </c>
      <c r="V33" s="667" t="s">
        <v>14</v>
      </c>
      <c r="W33" s="668">
        <f t="shared" si="14"/>
        <v>100</v>
      </c>
      <c r="X33" s="1265"/>
      <c r="Y33" s="3494"/>
      <c r="Z33" s="1264" t="str">
        <f t="shared" si="15"/>
        <v>是否直接入户</v>
      </c>
      <c r="AA33" s="1264">
        <f t="shared" si="3"/>
        <v>1</v>
      </c>
      <c r="AB33" s="1264">
        <f t="shared" si="4"/>
        <v>1</v>
      </c>
      <c r="AC33" s="1264">
        <f t="shared" si="5"/>
        <v>1</v>
      </c>
    </row>
    <row r="34" spans="1:29" ht="15">
      <c r="A34" s="577"/>
      <c r="B34" s="3595" t="s">
        <v>4954</v>
      </c>
      <c r="C34" s="3589" t="s">
        <v>4955</v>
      </c>
      <c r="D34" s="374">
        <v>100</v>
      </c>
      <c r="E34" s="3589" t="s">
        <v>4956</v>
      </c>
      <c r="F34" s="400">
        <f>SUMIF(97:97,E34,98:98)-SUMIF(97:97,C34,98:98)+100</f>
        <v>110</v>
      </c>
      <c r="G34" s="3589" t="s">
        <v>4956</v>
      </c>
      <c r="H34" s="374">
        <f>SUMIF(97:97,G34,98:98)-SUMIF(97:97,C34,98:98)+100</f>
        <v>110</v>
      </c>
      <c r="I34" s="3589" t="s">
        <v>4956</v>
      </c>
      <c r="J34" s="374">
        <f>SUMIF(97:97,I34,98:98)-SUMIF(97:97,C34,98:98)+100</f>
        <v>110</v>
      </c>
      <c r="K34" s="539"/>
      <c r="L34" s="2493"/>
      <c r="M34" s="2488"/>
      <c r="N34" s="2488"/>
      <c r="O34" s="2488"/>
      <c r="P34" s="3494"/>
      <c r="Q34" s="1263" t="str">
        <f t="shared" si="11"/>
        <v>维护管理</v>
      </c>
      <c r="R34" s="667" t="s">
        <v>14</v>
      </c>
      <c r="S34" s="668">
        <f t="shared" si="12"/>
        <v>110</v>
      </c>
      <c r="T34" s="667" t="s">
        <v>14</v>
      </c>
      <c r="U34" s="668">
        <f t="shared" si="13"/>
        <v>110</v>
      </c>
      <c r="V34" s="667" t="s">
        <v>14</v>
      </c>
      <c r="W34" s="668">
        <f t="shared" si="14"/>
        <v>110</v>
      </c>
      <c r="X34" s="1265"/>
      <c r="Y34" s="3494"/>
      <c r="Z34" s="1264" t="str">
        <f t="shared" si="15"/>
        <v>维护管理</v>
      </c>
      <c r="AA34" s="1264">
        <f t="shared" si="3"/>
        <v>0.90909090909090906</v>
      </c>
      <c r="AB34" s="1264">
        <f t="shared" si="4"/>
        <v>0.90909090909090906</v>
      </c>
      <c r="AC34" s="1264">
        <f t="shared" si="5"/>
        <v>0.90909090909090906</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4"/>
      <c r="Q35" s="531">
        <f t="shared" si="11"/>
        <v>111</v>
      </c>
      <c r="R35" s="669" t="s">
        <v>14</v>
      </c>
      <c r="S35" s="670">
        <f t="shared" si="12"/>
        <v>100</v>
      </c>
      <c r="T35" s="669" t="s">
        <v>14</v>
      </c>
      <c r="U35" s="670">
        <f t="shared" si="13"/>
        <v>100</v>
      </c>
      <c r="V35" s="669" t="s">
        <v>14</v>
      </c>
      <c r="W35" s="670">
        <f t="shared" si="14"/>
        <v>100</v>
      </c>
      <c r="X35" s="671"/>
      <c r="Y35" s="34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4"/>
      <c r="Q36" s="1263">
        <f t="shared" si="11"/>
        <v>111</v>
      </c>
      <c r="R36" s="667" t="s">
        <v>14</v>
      </c>
      <c r="S36" s="668">
        <f t="shared" si="12"/>
        <v>100</v>
      </c>
      <c r="T36" s="667" t="s">
        <v>14</v>
      </c>
      <c r="U36" s="668">
        <f t="shared" si="13"/>
        <v>100</v>
      </c>
      <c r="V36" s="667" t="s">
        <v>14</v>
      </c>
      <c r="W36" s="668">
        <f t="shared" si="14"/>
        <v>100</v>
      </c>
      <c r="X36" s="1265"/>
      <c r="Y36" s="3494"/>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96" t="str">
        <f>A37</f>
        <v>成交单价</v>
      </c>
      <c r="Q37" s="3496"/>
      <c r="R37" s="3458">
        <f>E37</f>
        <v>4482</v>
      </c>
      <c r="S37" s="3458"/>
      <c r="T37" s="3458">
        <f>G37</f>
        <v>5201</v>
      </c>
      <c r="U37" s="3458"/>
      <c r="V37" s="3458">
        <f>I37</f>
        <v>5181</v>
      </c>
      <c r="W37" s="3458"/>
      <c r="X37" s="385"/>
      <c r="Y37" s="673"/>
      <c r="Z37" s="385"/>
      <c r="AA37" s="385"/>
      <c r="AB37" s="385"/>
      <c r="AC37" s="385"/>
    </row>
    <row r="38" spans="1:29" ht="15.75" thickBot="1">
      <c r="A38" s="423" t="s">
        <v>1843</v>
      </c>
      <c r="B38" s="424" t="str">
        <f>B37</f>
        <v>元/平方米</v>
      </c>
      <c r="C38" s="1082">
        <f>R39</f>
        <v>4203</v>
      </c>
      <c r="D38" s="2141" t="s">
        <v>2136</v>
      </c>
      <c r="E38" s="1083">
        <f>R38</f>
        <v>3882</v>
      </c>
      <c r="F38" s="2142"/>
      <c r="G38" s="1082">
        <f>T38</f>
        <v>4415</v>
      </c>
      <c r="H38" s="2142"/>
      <c r="I38" s="1083">
        <f>V38</f>
        <v>4312</v>
      </c>
      <c r="J38" s="2142"/>
      <c r="K38" s="2144">
        <f>F38+H38+J38</f>
        <v>0</v>
      </c>
      <c r="L38" s="2495"/>
      <c r="M38" s="2488"/>
      <c r="N38" s="2488"/>
      <c r="O38" s="2488"/>
      <c r="P38" s="3496" t="str">
        <f>A38</f>
        <v>比较价值（元/平方米）</v>
      </c>
      <c r="Q38" s="3496"/>
      <c r="R38" s="3458">
        <f>IF(F1="售价",ROUND(PRODUCT(R37,AA7:AA36),0),ROUND(PRODUCT(R37,AA7:AA36),1))</f>
        <v>3882</v>
      </c>
      <c r="S38" s="3458"/>
      <c r="T38" s="3458">
        <f>IF(F1="售价",ROUND(PRODUCT(T37,AB7:AB36),0),ROUND(PRODUCT(T37,AB7:AB36),1))</f>
        <v>4415</v>
      </c>
      <c r="U38" s="3458"/>
      <c r="V38" s="3458">
        <f>IF(F1="售价",ROUND(PRODUCT(V37,AC7:AC36),0),ROUND(PRODUCT(V37,AC7:AC36),1))</f>
        <v>4312</v>
      </c>
      <c r="W38" s="3458"/>
      <c r="X38" s="385"/>
      <c r="Y38" s="385"/>
      <c r="Z38" s="385"/>
      <c r="AA38" s="385"/>
      <c r="AB38" s="385"/>
      <c r="AC38" s="385"/>
    </row>
    <row r="39" spans="1:29" ht="15.75" thickBot="1">
      <c r="A39" s="427" t="s">
        <v>1844</v>
      </c>
      <c r="B39" s="428"/>
      <c r="C39" s="351">
        <f>R39</f>
        <v>4203</v>
      </c>
      <c r="D39" s="351"/>
      <c r="E39" s="351"/>
      <c r="F39" s="351"/>
      <c r="G39" s="351"/>
      <c r="H39" s="351"/>
      <c r="I39" s="351"/>
      <c r="J39" s="351"/>
      <c r="K39" s="546"/>
      <c r="L39" s="2495"/>
      <c r="M39" s="2488"/>
      <c r="N39" s="2488"/>
      <c r="O39" s="2488"/>
      <c r="P39" s="3497" t="str">
        <f>A39</f>
        <v>估价对象XX用房的比较价值（楼面单价，元/平方米）</v>
      </c>
      <c r="Q39" s="3498"/>
      <c r="R39" s="3518">
        <f>IF(F1="售价",ROUND(IF(D38="简单平均",AVERAGE(R38:W38),R38*F38+T38*H38+V38*J38),0),ROUND(IF(D38="简单平均",AVERAGE(R38:V38),R38*F38+T38*H38+V38*J38),1))</f>
        <v>4203</v>
      </c>
      <c r="S39" s="3518"/>
      <c r="T39" s="3518"/>
      <c r="U39" s="3518"/>
      <c r="V39" s="3518"/>
      <c r="W39" s="351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0.15455950540958274</v>
      </c>
      <c r="F42" s="435" t="str">
        <f>IF(OR(E42&gt;=0.3,E42&lt;=-0.3),"超过30%","")</f>
        <v/>
      </c>
      <c r="G42" s="434">
        <f>IF(G37&lt;G38,G38/G37-1,G37/G38-1)</f>
        <v>0.17802944507361262</v>
      </c>
      <c r="H42" s="435" t="str">
        <f>IF(OR(G42&gt;=0.3,G42&lt;=-0.3),"超过30%","")</f>
        <v/>
      </c>
      <c r="I42" s="434">
        <f>IF(I37&lt;I38,I38/I37-1,I37/I38-1)</f>
        <v>0.20153061224489788</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0.13730036063884588</v>
      </c>
      <c r="F43" s="435" t="str">
        <f>IF(OR(E43&gt;=0.2,E43&lt;=-0.2),"超过20%","")</f>
        <v/>
      </c>
      <c r="G43" s="434">
        <f>IF(G38&lt;I38,I38/G38-1,G38/I38-1)</f>
        <v>2.3886827458255988E-2</v>
      </c>
      <c r="H43" s="435" t="str">
        <f>IF(OR(G43&gt;=0.2,G43&lt;=-0.2),"超过20%","")</f>
        <v/>
      </c>
      <c r="I43" s="434">
        <f>IF(I38&lt;E38,E38/I38-1,I38/E38-1)</f>
        <v>0.11076764554353424</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105</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t="str">
        <f>B34</f>
        <v>维护管理</v>
      </c>
      <c r="C97" s="3592" t="s">
        <v>4955</v>
      </c>
      <c r="D97" s="3592" t="s">
        <v>4957</v>
      </c>
      <c r="E97" s="3592" t="s">
        <v>4956</v>
      </c>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3593">
        <v>100</v>
      </c>
      <c r="D98" s="3594">
        <v>105</v>
      </c>
      <c r="E98" s="3594">
        <v>110</v>
      </c>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1262</v>
      </c>
      <c r="B3" s="3406"/>
      <c r="C3" s="3406"/>
      <c r="D3" s="3406"/>
      <c r="E3" s="3406"/>
      <c r="F3" s="3406"/>
      <c r="G3" s="3406"/>
      <c r="H3" s="3406"/>
      <c r="I3" s="3406"/>
    </row>
    <row r="4" spans="1:12" ht="14.25">
      <c r="A4" s="1624" t="s">
        <v>1263</v>
      </c>
      <c r="B4" s="1625" t="s">
        <v>1264</v>
      </c>
      <c r="C4" s="1626" t="s">
        <v>4782</v>
      </c>
      <c r="D4" s="1626" t="s">
        <v>4919</v>
      </c>
      <c r="E4" s="3410" t="s">
        <v>1265</v>
      </c>
      <c r="F4" s="3411"/>
      <c r="G4" s="3411"/>
      <c r="H4" s="3411"/>
      <c r="I4" s="3412"/>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49" t="s">
        <v>1266</v>
      </c>
      <c r="B5" s="3404">
        <v>25</v>
      </c>
      <c r="C5" s="3407"/>
      <c r="D5" s="3395"/>
      <c r="E5" s="123" t="s">
        <v>1267</v>
      </c>
      <c r="F5" s="1627"/>
      <c r="G5" s="1627"/>
      <c r="H5" s="1627"/>
      <c r="I5" s="1281"/>
    </row>
    <row r="6" spans="1:12" ht="12.75">
      <c r="A6" s="3349"/>
      <c r="B6" s="3404"/>
      <c r="C6" s="3409"/>
      <c r="D6" s="3395"/>
      <c r="E6" s="123" t="s">
        <v>1268</v>
      </c>
      <c r="F6" s="1627"/>
      <c r="G6" s="1627"/>
      <c r="H6" s="1627"/>
      <c r="I6" s="1281"/>
    </row>
    <row r="7" spans="1:12" ht="12.75">
      <c r="A7" s="3349"/>
      <c r="B7" s="3404"/>
      <c r="C7" s="3408"/>
      <c r="D7" s="3395"/>
      <c r="E7" s="123" t="s">
        <v>1269</v>
      </c>
      <c r="F7" s="1627"/>
      <c r="G7" s="1627"/>
      <c r="H7" s="1627"/>
      <c r="I7" s="1281"/>
    </row>
    <row r="8" spans="1:12" ht="12.75">
      <c r="A8" s="3349" t="s">
        <v>1270</v>
      </c>
      <c r="B8" s="3404">
        <v>15</v>
      </c>
      <c r="C8" s="3407"/>
      <c r="D8" s="3395"/>
      <c r="E8" s="123" t="s">
        <v>1271</v>
      </c>
      <c r="F8" s="1627"/>
      <c r="G8" s="1627"/>
      <c r="H8" s="1627"/>
      <c r="I8" s="1281"/>
    </row>
    <row r="9" spans="1:12" ht="12.75">
      <c r="A9" s="3349"/>
      <c r="B9" s="3404"/>
      <c r="C9" s="3408"/>
      <c r="D9" s="3395"/>
      <c r="E9" s="123" t="s">
        <v>1272</v>
      </c>
      <c r="F9" s="1627"/>
      <c r="G9" s="1627"/>
      <c r="H9" s="1627"/>
      <c r="I9" s="1281"/>
    </row>
    <row r="10" spans="1:12" ht="12.75">
      <c r="A10" s="3349" t="s">
        <v>1273</v>
      </c>
      <c r="B10" s="3404">
        <v>15</v>
      </c>
      <c r="C10" s="3407"/>
      <c r="D10" s="3395"/>
      <c r="E10" s="123" t="s">
        <v>1274</v>
      </c>
      <c r="F10" s="1627"/>
      <c r="G10" s="1627"/>
      <c r="H10" s="1627"/>
      <c r="I10" s="1281"/>
    </row>
    <row r="11" spans="1:12" ht="12.75">
      <c r="A11" s="3349"/>
      <c r="B11" s="3404"/>
      <c r="C11" s="3408"/>
      <c r="D11" s="3395"/>
      <c r="E11" s="123" t="s">
        <v>1275</v>
      </c>
      <c r="F11" s="1627"/>
      <c r="G11" s="1627"/>
      <c r="H11" s="1627"/>
      <c r="I11" s="1281"/>
    </row>
    <row r="12" spans="1:12" ht="12.75">
      <c r="A12" s="3349" t="s">
        <v>1276</v>
      </c>
      <c r="B12" s="3404">
        <v>15</v>
      </c>
      <c r="C12" s="3407"/>
      <c r="D12" s="3395"/>
      <c r="E12" s="123" t="s">
        <v>1277</v>
      </c>
      <c r="F12" s="1627"/>
      <c r="G12" s="1627"/>
      <c r="H12" s="1627"/>
      <c r="I12" s="1281"/>
    </row>
    <row r="13" spans="1:12" ht="12.75">
      <c r="A13" s="3349"/>
      <c r="B13" s="3404"/>
      <c r="C13" s="3408"/>
      <c r="D13" s="3395"/>
      <c r="E13" s="123" t="s">
        <v>1278</v>
      </c>
      <c r="F13" s="1627"/>
      <c r="G13" s="1627"/>
      <c r="H13" s="1627"/>
      <c r="I13" s="1281"/>
    </row>
    <row r="14" spans="1:12" ht="12.75">
      <c r="A14" s="3349" t="s">
        <v>1279</v>
      </c>
      <c r="B14" s="3404">
        <v>30</v>
      </c>
      <c r="C14" s="3407">
        <v>7</v>
      </c>
      <c r="D14" s="3395">
        <f>10-C14</f>
        <v>3</v>
      </c>
      <c r="E14" s="123" t="s">
        <v>1280</v>
      </c>
      <c r="F14" s="1627"/>
      <c r="G14" s="1627"/>
      <c r="H14" s="1627"/>
      <c r="I14" s="1281"/>
    </row>
    <row r="15" spans="1:12" ht="12.75">
      <c r="A15" s="3349"/>
      <c r="B15" s="3404"/>
      <c r="C15" s="3409"/>
      <c r="D15" s="3395"/>
      <c r="E15" s="123" t="s">
        <v>1281</v>
      </c>
      <c r="F15" s="1627"/>
      <c r="G15" s="1627"/>
      <c r="H15" s="1627"/>
      <c r="I15" s="1281"/>
    </row>
    <row r="16" spans="1:12" ht="12.75">
      <c r="A16" s="3349"/>
      <c r="B16" s="3404"/>
      <c r="C16" s="3408"/>
      <c r="D16" s="3395"/>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26" t="s">
        <v>2129</v>
      </c>
      <c r="F18" s="3427"/>
      <c r="G18" s="3427"/>
      <c r="H18" s="3427"/>
      <c r="I18" s="342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15.7563</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1854</v>
      </c>
      <c r="D20" s="130">
        <f ca="1">SUMIF(INDIRECT("'"&amp;D4&amp;"'"&amp;"!A:A"),'结果表-仓储'!B20,INDIRECT("'"&amp;D4&amp;"'"&amp;"!B:B"))</f>
        <v>3075</v>
      </c>
      <c r="E20" s="1633"/>
      <c r="F20" s="43" t="s">
        <v>1293</v>
      </c>
      <c r="G20" s="131">
        <f ca="1">ROUND(C20*$C$18+D20*$D$18,0)</f>
        <v>2220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419" t="s">
        <v>1297</v>
      </c>
      <c r="B24" s="1631" t="s">
        <v>1289</v>
      </c>
      <c r="C24" s="128">
        <f>IF(B30=0,0,D30)</f>
        <v>0</v>
      </c>
      <c r="D24" s="1637"/>
      <c r="E24" s="121"/>
      <c r="F24" s="121"/>
      <c r="G24" s="121"/>
      <c r="H24" s="121"/>
      <c r="I24" s="121"/>
    </row>
    <row r="25" spans="1:36" ht="14.25">
      <c r="A25" s="342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2220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6" t="s">
        <v>1310</v>
      </c>
      <c r="B36" s="1652" t="s">
        <v>1311</v>
      </c>
      <c r="C36" s="137"/>
      <c r="D36" s="1653"/>
      <c r="E36" s="1567"/>
      <c r="F36" s="1654"/>
      <c r="G36" s="121"/>
      <c r="H36" s="121"/>
      <c r="I36" s="121"/>
    </row>
    <row r="37" spans="1:15" ht="15.75" thickBot="1">
      <c r="A37" s="3397"/>
      <c r="B37" s="1555" t="s">
        <v>1312</v>
      </c>
      <c r="C37" s="139"/>
      <c r="D37" s="1071"/>
      <c r="E37" s="1071"/>
      <c r="F37" s="1654"/>
      <c r="G37" s="121"/>
      <c r="H37" s="121"/>
      <c r="I37" s="121"/>
    </row>
    <row r="38" spans="1:15" ht="15.75" thickBot="1">
      <c r="A38" s="3398"/>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16" t="s">
        <v>1324</v>
      </c>
      <c r="B45" s="3417"/>
      <c r="C45" s="3418"/>
      <c r="D45" s="147" t="e">
        <f ca="1">ROUND(H101*F45,0)</f>
        <v>#REF!</v>
      </c>
      <c r="E45" s="148" t="s">
        <v>1325</v>
      </c>
      <c r="F45" s="149">
        <v>1</v>
      </c>
      <c r="G45" s="150" t="s">
        <v>1326</v>
      </c>
      <c r="H45" s="121"/>
      <c r="I45" s="121"/>
      <c r="J45" s="3336" t="s">
        <v>1327</v>
      </c>
      <c r="K45" s="3336"/>
      <c r="L45" s="3336"/>
      <c r="M45" s="3336"/>
      <c r="N45" s="3336"/>
      <c r="O45" s="3336"/>
    </row>
    <row r="46" spans="1:15" ht="14.25" customHeight="1">
      <c r="A46" s="3413" t="s">
        <v>1328</v>
      </c>
      <c r="B46" s="3414"/>
      <c r="C46" s="3414"/>
      <c r="D46" s="3414"/>
      <c r="E46" s="3414"/>
      <c r="F46" s="3414"/>
      <c r="G46" s="3415"/>
      <c r="H46" s="1668"/>
      <c r="I46" s="151"/>
      <c r="J46" s="2310">
        <v>1</v>
      </c>
      <c r="K46" s="3337" t="s">
        <v>1329</v>
      </c>
      <c r="L46" s="3337"/>
      <c r="M46" s="3338"/>
      <c r="N46" s="3338"/>
      <c r="O46" s="3338"/>
    </row>
    <row r="47" spans="1:15" ht="12" customHeight="1">
      <c r="A47" s="152" t="s">
        <v>1330</v>
      </c>
      <c r="B47" s="153"/>
      <c r="C47" s="154"/>
      <c r="D47" s="1024" t="s">
        <v>1331</v>
      </c>
      <c r="E47" s="294" t="s">
        <v>1332</v>
      </c>
      <c r="F47" s="155" t="s">
        <v>1333</v>
      </c>
      <c r="G47" s="2333" t="s">
        <v>1334</v>
      </c>
      <c r="H47" s="2334"/>
      <c r="I47" s="151"/>
      <c r="J47" s="2310">
        <v>2</v>
      </c>
      <c r="K47" s="3337" t="s">
        <v>1335</v>
      </c>
      <c r="L47" s="3337"/>
      <c r="M47" s="3339">
        <f>'数据-取费表'!B2</f>
        <v>45974</v>
      </c>
      <c r="N47" s="3339"/>
      <c r="O47" s="3339"/>
    </row>
    <row r="48" spans="1:15" ht="25.5">
      <c r="A48" s="3399" t="s">
        <v>1336</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37" t="s">
        <v>1338</v>
      </c>
      <c r="L48" s="3337"/>
      <c r="M48" s="3340" t="e">
        <f ca="1">H101</f>
        <v>#REF!</v>
      </c>
      <c r="N48" s="3340"/>
      <c r="O48" s="3340"/>
    </row>
    <row r="49" spans="1:35" ht="25.5" customHeight="1">
      <c r="A49" s="2152" t="s">
        <v>1339</v>
      </c>
      <c r="B49" s="3385" t="s">
        <v>1340</v>
      </c>
      <c r="C49" s="3385"/>
      <c r="D49" s="1478">
        <v>0</v>
      </c>
      <c r="E49" s="316" t="s">
        <v>1341</v>
      </c>
      <c r="F49" s="2233" t="s">
        <v>28</v>
      </c>
      <c r="G49" s="3368"/>
      <c r="H49" s="2134" t="s">
        <v>2132</v>
      </c>
      <c r="I49" s="2135"/>
      <c r="J49" s="2310">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8"/>
      <c r="B50" s="3385" t="s">
        <v>1342</v>
      </c>
      <c r="C50" s="3385"/>
      <c r="D50" s="2189"/>
      <c r="E50" s="323"/>
      <c r="F50" s="2233"/>
      <c r="G50" s="3369"/>
      <c r="H50" s="2136" t="s">
        <v>2133</v>
      </c>
      <c r="I50" s="2135"/>
      <c r="J50" s="3336" t="s">
        <v>1343</v>
      </c>
      <c r="K50" s="3336"/>
      <c r="L50" s="3336"/>
      <c r="M50" s="3336"/>
      <c r="N50" s="3336"/>
      <c r="O50" s="3336"/>
    </row>
    <row r="51" spans="1:35" ht="20.45" customHeight="1">
      <c r="A51" s="2339"/>
      <c r="B51" s="3385" t="s">
        <v>1344</v>
      </c>
      <c r="C51" s="3385"/>
      <c r="D51" s="1024"/>
      <c r="E51" s="319"/>
      <c r="F51" s="2233"/>
      <c r="G51" s="3370"/>
      <c r="H51" s="2136" t="s">
        <v>2134</v>
      </c>
      <c r="I51" s="2135"/>
      <c r="J51" s="2311" t="s">
        <v>1345</v>
      </c>
      <c r="K51" s="3337" t="s">
        <v>1346</v>
      </c>
      <c r="L51" s="3337"/>
      <c r="M51" s="2311" t="s">
        <v>1347</v>
      </c>
      <c r="N51" s="2311" t="s">
        <v>1348</v>
      </c>
      <c r="O51" s="2311" t="s">
        <v>1349</v>
      </c>
    </row>
    <row r="52" spans="1:35" ht="24" customHeight="1">
      <c r="A52" s="2153" t="s">
        <v>1350</v>
      </c>
      <c r="B52" s="3385" t="s">
        <v>1351</v>
      </c>
      <c r="C52" s="3385"/>
      <c r="D52" s="1024" t="e">
        <f ca="1">ROUND(D45*'数据-取费表'!B41/(1+'数据-取费表'!C42),0)</f>
        <v>#REF!</v>
      </c>
      <c r="E52" s="1256" t="s">
        <v>1352</v>
      </c>
      <c r="F52" s="2340">
        <f>'数据-取费表'!B41</f>
        <v>5.6000000000000001E-2</v>
      </c>
      <c r="G52" s="2341"/>
      <c r="H52" s="2331"/>
      <c r="I52" s="1669"/>
      <c r="J52" s="2310">
        <v>1</v>
      </c>
      <c r="K52" s="3362" t="s">
        <v>1353</v>
      </c>
      <c r="L52" s="3362"/>
      <c r="M52" s="2312" t="b">
        <f>D48</f>
        <v>0</v>
      </c>
      <c r="N52" s="2310" t="str">
        <f>E48</f>
        <v>销售额×税（费）率</v>
      </c>
      <c r="O52" s="2313">
        <f>F48</f>
        <v>5.6000000000000001E-2</v>
      </c>
    </row>
    <row r="53" spans="1:35" ht="12" customHeight="1">
      <c r="A53" s="2153" t="s">
        <v>1354</v>
      </c>
      <c r="B53" s="3386" t="s">
        <v>2289</v>
      </c>
      <c r="C53" s="3387"/>
      <c r="D53" s="1024" t="e">
        <f ca="1">ROUND(D45*'数据-取费表'!B41/(1+'数据-取费表'!C42),0)</f>
        <v>#REF!</v>
      </c>
      <c r="E53" s="1256" t="s">
        <v>1352</v>
      </c>
      <c r="F53" s="2340">
        <f>'数据-取费表'!B41</f>
        <v>5.6000000000000001E-2</v>
      </c>
      <c r="G53" s="2341"/>
      <c r="H53" s="2331"/>
      <c r="I53" s="1669"/>
      <c r="J53" s="2310">
        <v>2</v>
      </c>
      <c r="K53" s="3362" t="s">
        <v>1355</v>
      </c>
      <c r="L53" s="3362"/>
      <c r="M53" s="2312" t="e">
        <f t="shared" ref="M53:O54" ca="1" si="0">D55</f>
        <v>#REF!</v>
      </c>
      <c r="N53" s="2310" t="str">
        <f t="shared" si="0"/>
        <v>销售额×税（费）率</v>
      </c>
      <c r="O53" s="2313" t="str">
        <f t="shared" si="0"/>
        <v>免征</v>
      </c>
    </row>
    <row r="54" spans="1:35" ht="12" customHeight="1">
      <c r="A54" s="2153" t="s">
        <v>1356</v>
      </c>
      <c r="B54" s="3386" t="s">
        <v>2290</v>
      </c>
      <c r="C54" s="3387"/>
      <c r="D54" s="1024" t="e">
        <f ca="1">C68</f>
        <v>#REF!</v>
      </c>
      <c r="E54" s="319" t="s">
        <v>1357</v>
      </c>
      <c r="F54" s="2340">
        <f>'数据-取费表'!B41</f>
        <v>5.6000000000000001E-2</v>
      </c>
      <c r="G54" s="2341"/>
      <c r="H54" s="2342"/>
      <c r="I54" s="1669"/>
      <c r="J54" s="2310">
        <v>3</v>
      </c>
      <c r="K54" s="3362" t="s">
        <v>1358</v>
      </c>
      <c r="L54" s="3362"/>
      <c r="M54" s="2312" t="e">
        <f t="shared" ca="1" si="0"/>
        <v>#REF!</v>
      </c>
      <c r="N54" s="2310" t="str">
        <f t="shared" si="0"/>
        <v>增值额×税（费）率</v>
      </c>
      <c r="O54" s="2314" t="str">
        <f t="shared" si="0"/>
        <v>免征</v>
      </c>
    </row>
    <row r="55" spans="1:35" ht="24" customHeight="1">
      <c r="A55" s="3422" t="s">
        <v>1359</v>
      </c>
      <c r="B55" s="3400"/>
      <c r="C55" s="3400"/>
      <c r="D55" s="12" t="e">
        <f ca="1">IF(H55="个人住宅",0,ROUND(D45*I55,0))</f>
        <v>#REF!</v>
      </c>
      <c r="E55" s="1256" t="s">
        <v>1360</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1361</v>
      </c>
      <c r="B56" s="3400"/>
      <c r="C56" s="3400"/>
      <c r="D56" s="12" t="e">
        <f ca="1">IF(H56="个人住宅",D57,D58)</f>
        <v>#REF!</v>
      </c>
      <c r="E56" s="1256" t="s">
        <v>1362</v>
      </c>
      <c r="F56" s="2340" t="str">
        <f>IF(H56="正常",F58,"免征")</f>
        <v>免征</v>
      </c>
      <c r="G56" s="2343" t="s">
        <v>1363</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1339</v>
      </c>
      <c r="B57" s="3386" t="s">
        <v>1364</v>
      </c>
      <c r="C57" s="3387"/>
      <c r="D57" s="1478">
        <v>0</v>
      </c>
      <c r="E57" s="316" t="s">
        <v>1341</v>
      </c>
      <c r="F57" s="294"/>
      <c r="G57" s="2341"/>
      <c r="H57" s="2345"/>
      <c r="I57" s="1670"/>
      <c r="J57" s="3362">
        <f>IF(AND(J55="",J56=""),4,IF(项目基本情况!K6="上海银行",'结果表-仓储'!J56+1,'结果表-仓储'!J55+1))</f>
        <v>5</v>
      </c>
      <c r="K57" s="3362" t="s">
        <v>1365</v>
      </c>
      <c r="L57" s="2317" t="s">
        <v>1366</v>
      </c>
      <c r="M57" s="2318"/>
      <c r="N57" s="2319">
        <f ca="1">SUMIF(M52:M56,"&lt;9e307")</f>
        <v>0</v>
      </c>
      <c r="O57" s="2320"/>
      <c r="P57" s="2465" t="e">
        <f ca="1">N57/M49</f>
        <v>#VALUE!</v>
      </c>
    </row>
    <row r="58" spans="1:35" ht="24.75">
      <c r="A58" s="2153" t="s">
        <v>1350</v>
      </c>
      <c r="B58" s="3386" t="s">
        <v>1367</v>
      </c>
      <c r="C58" s="3385"/>
      <c r="D58" s="12" t="e">
        <f ca="1">IF(H58="转让取得",C81,C97)</f>
        <v>#REF!</v>
      </c>
      <c r="E58" s="1256" t="s">
        <v>1362</v>
      </c>
      <c r="F58" s="294" t="s">
        <v>28</v>
      </c>
      <c r="G58" s="2341"/>
      <c r="H58" s="2344"/>
      <c r="I58" s="1670"/>
      <c r="J58" s="3362"/>
      <c r="K58" s="3362"/>
      <c r="L58" s="2317" t="s">
        <v>1368</v>
      </c>
      <c r="M58" s="2321"/>
      <c r="N58" s="2322" t="str">
        <f ca="1">NUMBERSTRING(INT(N57*10000),2)&amp;"元整"</f>
        <v>零元整</v>
      </c>
      <c r="O58" s="2323"/>
    </row>
    <row r="59" spans="1:35" ht="24.75" thickBot="1">
      <c r="A59" s="3366" t="s">
        <v>1369</v>
      </c>
      <c r="B59" s="3367"/>
      <c r="C59" s="336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64">
        <f>J57+1</f>
        <v>6</v>
      </c>
      <c r="K59" s="3362" t="s">
        <v>1370</v>
      </c>
      <c r="L59" s="2310" t="s">
        <v>1366</v>
      </c>
      <c r="M59" s="2324"/>
      <c r="N59" s="2325" t="e">
        <f ca="1">M49-N57</f>
        <v>#VALUE!</v>
      </c>
      <c r="O59" s="2326"/>
    </row>
    <row r="60" spans="1:35" ht="12" customHeight="1">
      <c r="A60" s="1671"/>
      <c r="B60" s="646"/>
      <c r="C60" s="646"/>
      <c r="D60" s="646"/>
      <c r="E60" s="1466"/>
      <c r="F60" s="1670"/>
      <c r="G60" s="1670"/>
      <c r="H60" s="151"/>
      <c r="I60" s="121"/>
      <c r="J60" s="3365"/>
      <c r="K60" s="3362"/>
      <c r="L60" s="2317" t="s">
        <v>1368</v>
      </c>
      <c r="M60" s="2321"/>
      <c r="N60" s="2322" t="e">
        <f ca="1">NUMBERSTRING(INT(N59*10000),2)&amp;"元整"</f>
        <v>#VALUE!</v>
      </c>
      <c r="O60" s="2323"/>
    </row>
    <row r="61" spans="1:35" ht="13.5" thickBot="1">
      <c r="A61" s="3421" t="s">
        <v>1371</v>
      </c>
      <c r="B61" s="3421"/>
      <c r="C61" s="3421"/>
      <c r="D61" s="3421"/>
      <c r="E61" s="3421"/>
      <c r="F61" s="1670"/>
      <c r="G61" s="1670"/>
      <c r="H61" s="151"/>
      <c r="I61" s="121"/>
      <c r="J61" s="2310">
        <f>J59+1</f>
        <v>7</v>
      </c>
      <c r="K61" s="3362" t="s">
        <v>1372</v>
      </c>
      <c r="L61" s="3362"/>
      <c r="M61" s="2327"/>
      <c r="N61" s="2328" t="e">
        <f ca="1">ROUND(N59*10000/'数据-汇总表'!E3,0)</f>
        <v>#VALUE!</v>
      </c>
      <c r="O61" s="2329"/>
    </row>
    <row r="62" spans="1:35" ht="12.75">
      <c r="A62" s="3381" t="s">
        <v>1373</v>
      </c>
      <c r="B62" s="338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45"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45"/>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45"/>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45"/>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45"/>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45"/>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5"/>
      <c r="K69" s="1245" t="s">
        <v>1391</v>
      </c>
      <c r="L69" s="1245"/>
      <c r="M69" s="294" t="e">
        <f>ROUND(SUM(M63:M68),0)</f>
        <v>#VALUE!</v>
      </c>
      <c r="N69" s="2332" t="e">
        <f>M69/M49</f>
        <v>#VALUE!</v>
      </c>
      <c r="Z69" s="1623"/>
      <c r="AI69" s="1561"/>
    </row>
    <row r="70" spans="1:35" s="642" customFormat="1" ht="15" thickBot="1">
      <c r="A70" s="3389" t="s">
        <v>1392</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1373</v>
      </c>
      <c r="B71" s="338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86" t="s">
        <v>1400</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78" t="s">
        <v>1404</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1408</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1373</v>
      </c>
      <c r="B84" s="338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47" t="s">
        <v>2127</v>
      </c>
      <c r="H90" s="334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78" t="s">
        <v>1417</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78" t="s">
        <v>1420</v>
      </c>
      <c r="F92" s="3379"/>
      <c r="G92" s="3379"/>
      <c r="H92" s="338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78" t="s">
        <v>1404</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23" t="s">
        <v>1424</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28" t="s">
        <v>1426</v>
      </c>
      <c r="B100" s="3329"/>
      <c r="C100" s="3329"/>
      <c r="D100" s="3363"/>
      <c r="E100" s="3329" t="s">
        <v>1427</v>
      </c>
      <c r="F100" s="3329"/>
      <c r="G100" s="3329"/>
      <c r="H100" s="3363"/>
      <c r="I100" s="121"/>
    </row>
    <row r="101" spans="1:35" ht="18.75" customHeight="1">
      <c r="A101" s="3371" t="s">
        <v>1428</v>
      </c>
      <c r="B101" s="3372"/>
      <c r="C101" s="2371" t="str">
        <f>C4</f>
        <v>收益法 (元)-仓储</v>
      </c>
      <c r="D101" s="2372" t="str">
        <f>D4</f>
        <v>比较法-仓储</v>
      </c>
      <c r="E101" s="3341" t="s">
        <v>1429</v>
      </c>
      <c r="F101" s="3342"/>
      <c r="G101" s="1687" t="s">
        <v>1430</v>
      </c>
      <c r="H101" s="2381" t="e">
        <f ca="1">H118</f>
        <v>#REF!</v>
      </c>
      <c r="I101" s="121"/>
    </row>
    <row r="102" spans="1:35" ht="18.75" customHeight="1">
      <c r="A102" s="3373" t="s">
        <v>1431</v>
      </c>
      <c r="B102" s="2370" t="s">
        <v>1430</v>
      </c>
      <c r="C102" s="2371">
        <f ca="1">IF(D32="楼面单价",ROUND(C19,0),C19)</f>
        <v>15.7563</v>
      </c>
      <c r="D102" s="2372">
        <f ca="1">IF(D32="楼面单价",ROUND(D19,0),D19)</f>
        <v>0</v>
      </c>
      <c r="E102" s="3341"/>
      <c r="F102" s="3342"/>
      <c r="G102" s="1687" t="s">
        <v>1432</v>
      </c>
      <c r="H102" s="2341" t="e">
        <f ca="1">I118</f>
        <v>#REF!</v>
      </c>
      <c r="I102" s="121"/>
    </row>
    <row r="103" spans="1:35" ht="42.75" customHeight="1">
      <c r="A103" s="3373"/>
      <c r="B103" s="2370" t="s">
        <v>1432</v>
      </c>
      <c r="C103" s="2373">
        <f ca="1">C20</f>
        <v>1854</v>
      </c>
      <c r="D103" s="2374">
        <f ca="1">D20</f>
        <v>3075</v>
      </c>
      <c r="E103" s="3334" t="s">
        <v>1433</v>
      </c>
      <c r="F103" s="3335"/>
      <c r="G103" s="1688" t="s">
        <v>1434</v>
      </c>
      <c r="H103" s="2381">
        <f>IF(D36="正常操作",H104+H105+H106,H105+H106)</f>
        <v>0</v>
      </c>
      <c r="I103" s="121"/>
    </row>
    <row r="104" spans="1:35" ht="18.75" customHeight="1">
      <c r="A104" s="3373"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3"/>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74" t="str">
        <f>IF(项目基本情况!E8="已注销","——","3.房地产抵押价值")</f>
        <v>3.房地产抵押价值</v>
      </c>
      <c r="F107" s="3342"/>
      <c r="G107" s="1687" t="s">
        <v>1430</v>
      </c>
      <c r="H107" s="2381" t="e">
        <f ca="1">IF(E107="——","——",H101-H103)</f>
        <v>#REF!</v>
      </c>
      <c r="I107" s="121"/>
    </row>
    <row r="108" spans="1:35" ht="18.75" customHeight="1">
      <c r="A108" s="121"/>
      <c r="B108" s="121"/>
      <c r="C108" s="121"/>
      <c r="D108" s="121"/>
      <c r="E108" s="3374"/>
      <c r="F108" s="3342"/>
      <c r="G108" s="1687" t="s">
        <v>1432</v>
      </c>
      <c r="H108" s="2341">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1430</v>
      </c>
      <c r="H109" s="2384" t="str">
        <f>IF(E109="——","——",H101-H105-H106)</f>
        <v>——</v>
      </c>
      <c r="I109" s="121"/>
    </row>
    <row r="110" spans="1:35" ht="18.75" customHeight="1">
      <c r="A110" s="121"/>
      <c r="B110" s="121"/>
      <c r="C110" s="121"/>
      <c r="D110" s="121"/>
      <c r="E110" s="3374"/>
      <c r="F110" s="3342"/>
      <c r="G110" s="1687" t="s">
        <v>1432</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1430</v>
      </c>
      <c r="H111" s="2381" t="str">
        <f>IF(E111="——","——",N59)</f>
        <v>——</v>
      </c>
      <c r="I111" s="121"/>
    </row>
    <row r="112" spans="1:35" ht="18.75" customHeight="1" thickBot="1">
      <c r="A112" s="121"/>
      <c r="B112" s="121"/>
      <c r="C112" s="121"/>
      <c r="D112" s="121"/>
      <c r="E112" s="3376"/>
      <c r="F112" s="3377"/>
      <c r="G112" s="1690" t="s">
        <v>1432</v>
      </c>
      <c r="H112" s="2385" t="str">
        <f>IF(E111="——","——",N61)</f>
        <v>——</v>
      </c>
      <c r="I112" s="121"/>
    </row>
    <row r="113" spans="1:27" ht="18.75" customHeight="1">
      <c r="A113" s="121"/>
      <c r="B113" s="121"/>
      <c r="C113" s="121"/>
      <c r="D113" s="121"/>
      <c r="E113" s="3384" t="s">
        <v>1438</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1440</v>
      </c>
      <c r="B115" s="3393"/>
      <c r="C115" s="3393"/>
      <c r="D115" s="3393"/>
      <c r="E115" s="3393"/>
      <c r="F115" s="3393"/>
      <c r="G115" s="3393"/>
      <c r="H115" s="3393"/>
      <c r="I115" s="3394"/>
    </row>
    <row r="116" spans="1:27" ht="27" customHeight="1">
      <c r="A116" s="3349" t="s">
        <v>1441</v>
      </c>
      <c r="B116" s="3353" t="s">
        <v>1442</v>
      </c>
      <c r="C116" s="3353" t="s">
        <v>1443</v>
      </c>
      <c r="D116" s="3359" t="s">
        <v>1444</v>
      </c>
      <c r="E116" s="3360"/>
      <c r="F116" s="3391" t="s">
        <v>1445</v>
      </c>
      <c r="G116" s="3391"/>
      <c r="H116" s="3349" t="s">
        <v>1446</v>
      </c>
      <c r="I116" s="3349"/>
    </row>
    <row r="117" spans="1:27" ht="18.75" customHeight="1">
      <c r="A117" s="3349"/>
      <c r="B117" s="3354"/>
      <c r="C117" s="3354"/>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1450</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55" t="s">
        <v>1450</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
      </c>
      <c r="B122" s="3361"/>
      <c r="C122" s="3361"/>
      <c r="D122" s="3350" t="e">
        <f ca="1">H107</f>
        <v>#REF!</v>
      </c>
      <c r="E122" s="3351"/>
      <c r="F122" s="3351"/>
      <c r="G122" s="3351"/>
      <c r="H122" s="3351"/>
      <c r="I122" s="3352"/>
      <c r="AA122" s="684"/>
    </row>
    <row r="123" spans="1:27" ht="18.75" customHeight="1">
      <c r="A123" s="3349" t="s">
        <v>1450</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1450</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1450</v>
      </c>
      <c r="B127" s="3349"/>
      <c r="C127" s="3349"/>
      <c r="D127" s="3355" t="e">
        <f>NUMBERSTRING(INT(D126*10000),2)&amp;"元整"</f>
        <v>#VALUE!</v>
      </c>
      <c r="E127" s="3357"/>
      <c r="F127" s="3357"/>
      <c r="G127" s="3357"/>
      <c r="H127" s="3357"/>
      <c r="I127" s="3356"/>
      <c r="AA127" s="684"/>
    </row>
    <row r="128" spans="1:27" ht="21.75" customHeight="1">
      <c r="A128" s="3358" t="s">
        <v>1451</v>
      </c>
      <c r="B128" s="3358"/>
      <c r="C128" s="3358"/>
      <c r="D128" s="3358"/>
      <c r="E128" s="3358"/>
      <c r="F128" s="3358"/>
      <c r="G128" s="3358"/>
      <c r="H128" s="3358"/>
      <c r="I128" s="3358"/>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15.7563</v>
      </c>
      <c r="C2" s="1289" t="s">
        <v>804</v>
      </c>
      <c r="D2" s="1375">
        <f ca="1">C40+J29+L46</f>
        <v>157563</v>
      </c>
      <c r="E2" s="1295" t="s">
        <v>879</v>
      </c>
      <c r="F2" s="1296"/>
      <c r="G2" s="2479"/>
      <c r="H2" s="2469"/>
      <c r="I2" s="2469"/>
      <c r="J2" s="2469"/>
      <c r="K2" s="2470"/>
      <c r="L2" s="2469"/>
      <c r="M2" s="2469"/>
    </row>
    <row r="3" spans="1:37" ht="18" customHeight="1" thickBot="1">
      <c r="A3" s="1297" t="s">
        <v>805</v>
      </c>
      <c r="B3" s="1298">
        <f ca="1">IF(ISERROR(D2/F43),0,ROUND(D2/F43,0))</f>
        <v>1854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433" t="s">
        <v>693</v>
      </c>
      <c r="C6" s="1011">
        <f ca="1">ROUND(F6*F8*F7*(1-F9),0)</f>
        <v>12410</v>
      </c>
      <c r="D6" s="147" t="s">
        <v>2104</v>
      </c>
      <c r="E6" s="294" t="s">
        <v>695</v>
      </c>
      <c r="F6" s="295">
        <f ca="1">INDIRECT("'数据-取费表'!u"&amp;$G$1)</f>
        <v>0.5</v>
      </c>
      <c r="G6" s="1292"/>
      <c r="H6" s="1006" t="s">
        <v>398</v>
      </c>
      <c r="I6" s="3433" t="s">
        <v>693</v>
      </c>
      <c r="J6" s="293">
        <f ca="1">ROUND(M6*M8*M7*(1-M9),0)</f>
        <v>0</v>
      </c>
      <c r="K6" s="1284" t="s">
        <v>2105</v>
      </c>
      <c r="L6" s="294" t="s">
        <v>695</v>
      </c>
      <c r="M6" s="295">
        <f ca="1">INDIRECT("'数据-取费表'!z"&amp;$G$1)</f>
        <v>0</v>
      </c>
    </row>
    <row r="7" spans="1:37" ht="18" customHeight="1">
      <c r="A7" s="1010"/>
      <c r="B7" s="3434"/>
      <c r="C7" s="1012"/>
      <c r="D7" s="299"/>
      <c r="E7" s="1013" t="s">
        <v>696</v>
      </c>
      <c r="F7" s="295">
        <f ca="1">IF(INDIRECT("'数据-取费表'!ah"&amp;$G$1)="",INDIRECT("'数据-取费表'!k"&amp;$G$1),INDIRECT("'数据-取费表'!ah"&amp;$G$1))</f>
        <v>85</v>
      </c>
      <c r="G7" s="1292"/>
      <c r="H7" s="296"/>
      <c r="I7" s="3434"/>
      <c r="J7" s="298"/>
      <c r="K7" s="299"/>
      <c r="L7" s="294" t="s">
        <v>696</v>
      </c>
      <c r="M7" s="295">
        <f ca="1">F7</f>
        <v>85</v>
      </c>
    </row>
    <row r="8" spans="1:37" ht="18" customHeight="1">
      <c r="A8" s="296"/>
      <c r="B8" s="3434"/>
      <c r="C8" s="298"/>
      <c r="D8" s="299"/>
      <c r="E8" s="294" t="s">
        <v>697</v>
      </c>
      <c r="F8" s="295">
        <f ca="1">INDIRECT("'数据-取费表'!ai"&amp;$G$1)</f>
        <v>365</v>
      </c>
      <c r="G8" s="1292"/>
      <c r="H8" s="296"/>
      <c r="I8" s="3434"/>
      <c r="J8" s="298"/>
      <c r="K8" s="299"/>
      <c r="L8" s="294" t="s">
        <v>697</v>
      </c>
      <c r="M8" s="295">
        <f ca="1">INDIRECT("'数据-取费表'!ai"&amp;$G$1)</f>
        <v>365</v>
      </c>
    </row>
    <row r="9" spans="1:37" ht="18" customHeight="1">
      <c r="A9" s="296"/>
      <c r="B9" s="3435"/>
      <c r="C9" s="298"/>
      <c r="D9" s="299"/>
      <c r="E9" s="294" t="s">
        <v>698</v>
      </c>
      <c r="F9" s="304">
        <f ca="1">INDIRECT("'数据-取费表'!w"&amp;$G$1)</f>
        <v>0.2</v>
      </c>
      <c r="G9" s="1292"/>
      <c r="H9" s="296"/>
      <c r="I9" s="3435"/>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344427</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297500</v>
      </c>
      <c r="D14" s="1257" t="s">
        <v>707</v>
      </c>
      <c r="E14" s="1255"/>
      <c r="F14" s="311"/>
      <c r="G14" s="1292"/>
      <c r="H14" s="928" t="s">
        <v>398</v>
      </c>
      <c r="I14" s="294" t="s">
        <v>708</v>
      </c>
      <c r="J14" s="21">
        <f ca="1">C29</f>
        <v>405208</v>
      </c>
      <c r="K14" s="12"/>
      <c r="L14" s="759"/>
      <c r="M14" s="760"/>
    </row>
    <row r="15" spans="1:37" s="1304" customFormat="1" ht="18" customHeight="1" thickBot="1">
      <c r="A15" s="928" t="s">
        <v>399</v>
      </c>
      <c r="B15" s="294" t="s">
        <v>709</v>
      </c>
      <c r="C15" s="21">
        <f ca="1">ROUND(C14*F15,0)</f>
        <v>14875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810</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5950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339235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3392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810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10724</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-810</v>
      </c>
      <c r="K25" s="1032" t="s">
        <v>752</v>
      </c>
      <c r="L25" s="1033"/>
      <c r="M25" s="1034"/>
    </row>
    <row r="26" spans="1:37" ht="18" customHeight="1">
      <c r="A26" s="928" t="s">
        <v>397</v>
      </c>
      <c r="B26" s="294" t="s">
        <v>753</v>
      </c>
      <c r="C26" s="21">
        <f ca="1">ROUND((C19+C20)*F26,0)</f>
        <v>17131</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405208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3358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810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344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9068</v>
      </c>
      <c r="D39" s="1032" t="s">
        <v>752</v>
      </c>
      <c r="E39" s="1033"/>
      <c r="F39" s="1034"/>
      <c r="G39" s="1292"/>
      <c r="H39" s="2474"/>
      <c r="I39" s="1305"/>
      <c r="J39" s="1306"/>
      <c r="K39" s="2472"/>
      <c r="L39" s="2474"/>
      <c r="M39" s="2474"/>
    </row>
    <row r="40" spans="1:18" ht="18" customHeight="1">
      <c r="A40" s="291" t="s">
        <v>395</v>
      </c>
      <c r="B40" s="292" t="s">
        <v>773</v>
      </c>
      <c r="C40" s="293">
        <f ca="1">ROUND(C39*(1-((1+F42)/(1+F40))^F41)/(F40-F42),0)</f>
        <v>140243</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1650</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-15.808999999999999</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17320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140243</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17320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405208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-211725</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1" t="s">
        <v>836</v>
      </c>
      <c r="L53" s="3432"/>
      <c r="O53" s="1325" t="s">
        <v>409</v>
      </c>
      <c r="P53" s="1326" t="s">
        <v>837</v>
      </c>
      <c r="Q53" s="1327">
        <f ca="1">Q47+Q48</f>
        <v>157563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344427</v>
      </c>
      <c r="D56" s="1352"/>
      <c r="E56" s="1353"/>
      <c r="F56" s="1345"/>
      <c r="I56" s="1354" t="s">
        <v>841</v>
      </c>
      <c r="J56" s="1355" t="s">
        <v>4789</v>
      </c>
      <c r="K56" s="1328" t="s">
        <v>842</v>
      </c>
      <c r="L56" s="1331" t="str">
        <f ca="1">IF(L48&lt;J51,"——",L48-J51)</f>
        <v>——</v>
      </c>
      <c r="O56" s="1325" t="s">
        <v>403</v>
      </c>
      <c r="P56" s="1326" t="s">
        <v>816</v>
      </c>
      <c r="Q56" s="1327">
        <f ca="1">C40+J29</f>
        <v>140243</v>
      </c>
      <c r="R56" s="1327" t="s">
        <v>817</v>
      </c>
    </row>
    <row r="57" spans="1:18" s="1292" customFormat="1" ht="24.75" thickBot="1">
      <c r="A57" s="1356"/>
      <c r="B57" s="896" t="s">
        <v>766</v>
      </c>
      <c r="C57" s="230">
        <f ca="1">C29</f>
        <v>405208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1154</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162083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17320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140243</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810</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344</v>
      </c>
      <c r="D65" s="910" t="s">
        <v>742</v>
      </c>
      <c r="E65" s="896" t="s">
        <v>711</v>
      </c>
      <c r="F65" s="321">
        <f t="shared" ca="1" si="0"/>
        <v>1E-3</v>
      </c>
      <c r="I65" s="1367" t="s">
        <v>866</v>
      </c>
      <c r="J65" s="610">
        <v>40</v>
      </c>
      <c r="K65" s="610">
        <v>30</v>
      </c>
      <c r="L65" s="610">
        <v>50</v>
      </c>
      <c r="M65" s="1369">
        <v>0.02</v>
      </c>
      <c r="O65" s="1325" t="s">
        <v>403</v>
      </c>
      <c r="P65" s="1326" t="s">
        <v>816</v>
      </c>
      <c r="Q65" s="1327">
        <f ca="1">C40+J29</f>
        <v>140243</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-1154</v>
      </c>
      <c r="D67" s="909" t="s">
        <v>752</v>
      </c>
      <c r="E67" s="914"/>
      <c r="F67" s="915"/>
      <c r="O67" s="1334" t="s">
        <v>405</v>
      </c>
      <c r="P67" s="1326" t="s">
        <v>849</v>
      </c>
      <c r="Q67" s="1370">
        <f ca="1">L51</f>
        <v>-211725</v>
      </c>
      <c r="R67" s="1327" t="s">
        <v>869</v>
      </c>
    </row>
    <row r="68" spans="1:18" s="1292" customFormat="1" ht="16.5" thickBot="1">
      <c r="A68" s="893" t="s">
        <v>395</v>
      </c>
      <c r="B68" s="894" t="s">
        <v>773</v>
      </c>
      <c r="C68" s="293">
        <f ca="1">ROUND(C67*(1-((1+F70)/(1+F68))^F69)/(F68-F70),0)</f>
        <v>-17847</v>
      </c>
      <c r="D68" s="911" t="s">
        <v>757</v>
      </c>
      <c r="E68" s="896" t="s">
        <v>758</v>
      </c>
      <c r="F68" s="304">
        <f ca="1">F40</f>
        <v>5.5E-2</v>
      </c>
      <c r="O68" s="1334" t="s">
        <v>406</v>
      </c>
      <c r="P68" s="1371" t="s">
        <v>870</v>
      </c>
      <c r="Q68" s="1327">
        <f ca="1">ROUND(Q69-Q70*Q71,0)</f>
        <v>-11598</v>
      </c>
      <c r="R68" s="1327" t="s">
        <v>414</v>
      </c>
    </row>
    <row r="69" spans="1:18" s="1292" customFormat="1" ht="13.5" thickBot="1">
      <c r="A69" s="897"/>
      <c r="B69" s="898"/>
      <c r="C69" s="298"/>
      <c r="D69" s="916" t="s">
        <v>761</v>
      </c>
      <c r="E69" s="896" t="s">
        <v>762</v>
      </c>
      <c r="F69" s="324">
        <f ca="1">F41</f>
        <v>35.51</v>
      </c>
      <c r="O69" s="1334" t="s">
        <v>411</v>
      </c>
      <c r="P69" s="1371" t="s">
        <v>871</v>
      </c>
      <c r="Q69" s="1327">
        <f ca="1">C39</f>
        <v>9068</v>
      </c>
      <c r="R69" s="1327" t="s">
        <v>817</v>
      </c>
    </row>
    <row r="70" spans="1:18" s="1292" customFormat="1" ht="13.5" thickBot="1">
      <c r="A70" s="900"/>
      <c r="B70" s="901"/>
      <c r="C70" s="302"/>
      <c r="D70" s="912"/>
      <c r="E70" s="896" t="s">
        <v>765</v>
      </c>
      <c r="F70" s="991"/>
      <c r="O70" s="1334" t="s">
        <v>412</v>
      </c>
      <c r="P70" s="1371" t="s">
        <v>872</v>
      </c>
      <c r="Q70" s="1327">
        <f ca="1">C13</f>
        <v>344427</v>
      </c>
      <c r="R70" s="1327" t="s">
        <v>817</v>
      </c>
    </row>
    <row r="71" spans="1:18" s="1292" customFormat="1" ht="13.5" thickBot="1">
      <c r="A71" s="917" t="s">
        <v>396</v>
      </c>
      <c r="B71" s="918" t="s">
        <v>775</v>
      </c>
      <c r="C71" s="327">
        <f ca="1">ROUND(C68/F71,0)</f>
        <v>-210</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20666</v>
      </c>
      <c r="D75" s="1292"/>
      <c r="E75" s="1292"/>
      <c r="F75" s="1292"/>
      <c r="K75" s="1309"/>
      <c r="L75" s="1292"/>
      <c r="O75" s="1325" t="s">
        <v>409</v>
      </c>
      <c r="P75" s="1326" t="s">
        <v>837</v>
      </c>
      <c r="Q75" s="1327">
        <f ca="1">Q65+Q66</f>
        <v>140243</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-1.2789999999999999</v>
      </c>
    </row>
    <row r="80" spans="1:18">
      <c r="B80" s="331" t="s">
        <v>799</v>
      </c>
      <c r="C80" s="266">
        <f ca="1">ROUND(C75/C39,3)</f>
        <v>2.2789999999999999</v>
      </c>
    </row>
    <row r="81" spans="2:3">
      <c r="B81" s="262" t="s">
        <v>800</v>
      </c>
      <c r="C81" s="230"/>
    </row>
    <row r="82" spans="2:3">
      <c r="B82" s="265" t="s">
        <v>801</v>
      </c>
      <c r="C82" s="267">
        <f ca="1">1-C83</f>
        <v>-1.456</v>
      </c>
    </row>
    <row r="83" spans="2:3">
      <c r="B83" s="265" t="s">
        <v>802</v>
      </c>
      <c r="C83" s="266">
        <f ca="1">ROUND(C13/C40,3)</f>
        <v>2.456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0" zoomScaleNormal="70" zoomScaleSheetLayoutView="100" workbookViewId="0">
      <selection activeCell="C91" sqref="C91:E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3075</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tr">
        <f>市场售价案例!C43</f>
        <v>泉星小区仓储</v>
      </c>
      <c r="F5" s="3466"/>
      <c r="G5" s="3467" t="str">
        <f>市场售价案例!P15</f>
        <v>博翠明湖仓储</v>
      </c>
      <c r="H5" s="3468"/>
      <c r="I5" s="3467" t="str">
        <f>市场售价案例!P34</f>
        <v>世茂天城仓储</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459" t="s">
        <v>1678</v>
      </c>
      <c r="Q7" s="3486"/>
      <c r="R7" s="664" t="s">
        <v>14</v>
      </c>
      <c r="S7" s="665">
        <f t="shared" ref="S7:S14" si="0">F7</f>
        <v>101</v>
      </c>
      <c r="T7" s="664" t="s">
        <v>14</v>
      </c>
      <c r="U7" s="665">
        <f t="shared" ref="U7:U14" si="1">H7</f>
        <v>100</v>
      </c>
      <c r="V7" s="664" t="s">
        <v>14</v>
      </c>
      <c r="W7" s="665">
        <f t="shared" ref="W7:W14" si="2">J7</f>
        <v>101</v>
      </c>
      <c r="X7" s="666"/>
      <c r="Y7" s="3459" t="s">
        <v>1678</v>
      </c>
      <c r="Z7" s="3460"/>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96" t="s">
        <v>1684</v>
      </c>
      <c r="Q9" s="530" t="str">
        <f t="shared" ref="Q9:Q14" si="6">B9</f>
        <v>用途</v>
      </c>
      <c r="R9" s="664" t="s">
        <v>14</v>
      </c>
      <c r="S9" s="665">
        <f t="shared" si="0"/>
        <v>100</v>
      </c>
      <c r="T9" s="664" t="s">
        <v>14</v>
      </c>
      <c r="U9" s="665">
        <f t="shared" si="1"/>
        <v>100</v>
      </c>
      <c r="V9" s="664" t="s">
        <v>14</v>
      </c>
      <c r="W9" s="665">
        <f t="shared" si="2"/>
        <v>100</v>
      </c>
      <c r="X9" s="666"/>
      <c r="Y9" s="3404"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105</v>
      </c>
      <c r="I10" s="3133" t="s">
        <v>4935</v>
      </c>
      <c r="J10" s="119">
        <f>SUMIF(53:53,I10,54:54)-SUMIF(53:53,C10,54:54)+100</f>
        <v>105</v>
      </c>
      <c r="K10" s="38"/>
      <c r="L10" s="2490"/>
      <c r="M10" s="2491"/>
      <c r="N10" s="2491"/>
      <c r="O10" s="2542"/>
      <c r="P10" s="3496"/>
      <c r="Q10" s="530" t="str">
        <f t="shared" si="6"/>
        <v>土地使用年限（年）</v>
      </c>
      <c r="R10" s="664" t="s">
        <v>14</v>
      </c>
      <c r="S10" s="665">
        <f t="shared" si="0"/>
        <v>100</v>
      </c>
      <c r="T10" s="664" t="s">
        <v>14</v>
      </c>
      <c r="U10" s="665">
        <f t="shared" si="1"/>
        <v>105</v>
      </c>
      <c r="V10" s="664" t="s">
        <v>14</v>
      </c>
      <c r="W10" s="665">
        <f t="shared" si="2"/>
        <v>105</v>
      </c>
      <c r="X10" s="666"/>
      <c r="Y10" s="3404"/>
      <c r="Z10" s="50" t="str">
        <f t="shared" si="7"/>
        <v>土地使用年限（年）</v>
      </c>
      <c r="AA10" s="50">
        <f t="shared" si="3"/>
        <v>1</v>
      </c>
      <c r="AB10" s="50">
        <f t="shared" si="4"/>
        <v>0.95238095238095233</v>
      </c>
      <c r="AC10" s="50">
        <f t="shared" si="5"/>
        <v>0.95238095238095233</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96"/>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89" t="s">
        <v>1689</v>
      </c>
      <c r="Q14" s="1263" t="str">
        <f t="shared" si="6"/>
        <v>交通便捷度</v>
      </c>
      <c r="R14" s="667" t="s">
        <v>14</v>
      </c>
      <c r="S14" s="668">
        <f t="shared" si="0"/>
        <v>102</v>
      </c>
      <c r="T14" s="667" t="s">
        <v>14</v>
      </c>
      <c r="U14" s="668">
        <f t="shared" si="1"/>
        <v>98</v>
      </c>
      <c r="V14" s="667" t="s">
        <v>14</v>
      </c>
      <c r="W14" s="668">
        <f t="shared" si="2"/>
        <v>102</v>
      </c>
      <c r="X14" s="1265"/>
      <c r="Y14" s="3489"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90"/>
      <c r="Q15" s="1263"/>
      <c r="R15" s="667"/>
      <c r="S15" s="668"/>
      <c r="T15" s="667"/>
      <c r="U15" s="668"/>
      <c r="V15" s="667"/>
      <c r="W15" s="668"/>
      <c r="X15" s="1265"/>
      <c r="Y15" s="349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90"/>
      <c r="Q16" s="1263" t="str">
        <f>B16</f>
        <v>公共配套设施</v>
      </c>
      <c r="R16" s="667" t="s">
        <v>14</v>
      </c>
      <c r="S16" s="668">
        <f>F16</f>
        <v>100</v>
      </c>
      <c r="T16" s="667" t="s">
        <v>14</v>
      </c>
      <c r="U16" s="668">
        <f>H16</f>
        <v>100</v>
      </c>
      <c r="V16" s="667" t="s">
        <v>14</v>
      </c>
      <c r="W16" s="668">
        <f>J16</f>
        <v>100</v>
      </c>
      <c r="X16" s="1265"/>
      <c r="Y16" s="34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90"/>
      <c r="Q17" s="1263"/>
      <c r="R17" s="667"/>
      <c r="S17" s="668"/>
      <c r="T17" s="667"/>
      <c r="U17" s="668"/>
      <c r="V17" s="667"/>
      <c r="W17" s="668"/>
      <c r="X17" s="1265"/>
      <c r="Y17" s="349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90"/>
      <c r="Q18" s="1263" t="str">
        <f>B18</f>
        <v>基础设施水平</v>
      </c>
      <c r="R18" s="667" t="s">
        <v>14</v>
      </c>
      <c r="S18" s="668">
        <f>F18</f>
        <v>100</v>
      </c>
      <c r="T18" s="667" t="s">
        <v>14</v>
      </c>
      <c r="U18" s="668">
        <f>H18</f>
        <v>100</v>
      </c>
      <c r="V18" s="667" t="s">
        <v>14</v>
      </c>
      <c r="W18" s="668">
        <f>J18</f>
        <v>100</v>
      </c>
      <c r="X18" s="1265"/>
      <c r="Y18" s="34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90"/>
      <c r="Q19" s="1263"/>
      <c r="R19" s="667"/>
      <c r="S19" s="668"/>
      <c r="T19" s="667"/>
      <c r="U19" s="668"/>
      <c r="V19" s="667"/>
      <c r="W19" s="668"/>
      <c r="X19" s="1265"/>
      <c r="Y19" s="349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90"/>
      <c r="Q20" s="1263" t="str">
        <f>B20</f>
        <v>自然及人文环境</v>
      </c>
      <c r="R20" s="667" t="s">
        <v>14</v>
      </c>
      <c r="S20" s="668">
        <f>F20</f>
        <v>100</v>
      </c>
      <c r="T20" s="667" t="s">
        <v>14</v>
      </c>
      <c r="U20" s="668">
        <f>H20</f>
        <v>100</v>
      </c>
      <c r="V20" s="667" t="s">
        <v>14</v>
      </c>
      <c r="W20" s="668">
        <f>J20</f>
        <v>100</v>
      </c>
      <c r="X20" s="1265"/>
      <c r="Y20" s="34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90"/>
      <c r="Q21" s="1263"/>
      <c r="R21" s="667"/>
      <c r="S21" s="668"/>
      <c r="T21" s="667"/>
      <c r="U21" s="668"/>
      <c r="V21" s="667"/>
      <c r="W21" s="668"/>
      <c r="X21" s="1265"/>
      <c r="Y21" s="349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90"/>
      <c r="Q22" s="1263" t="str">
        <f>B22</f>
        <v>楼层</v>
      </c>
      <c r="R22" s="667" t="s">
        <v>14</v>
      </c>
      <c r="S22" s="668">
        <f>F22</f>
        <v>100</v>
      </c>
      <c r="T22" s="667" t="s">
        <v>14</v>
      </c>
      <c r="U22" s="668">
        <f>H22</f>
        <v>100</v>
      </c>
      <c r="V22" s="667" t="s">
        <v>14</v>
      </c>
      <c r="W22" s="668">
        <f>J22</f>
        <v>100</v>
      </c>
      <c r="X22" s="1265"/>
      <c r="Y22" s="34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90"/>
      <c r="Q23" s="1263">
        <f>B23</f>
        <v>111</v>
      </c>
      <c r="R23" s="667" t="s">
        <v>14</v>
      </c>
      <c r="S23" s="668">
        <f>F23</f>
        <v>100</v>
      </c>
      <c r="T23" s="667" t="s">
        <v>14</v>
      </c>
      <c r="U23" s="668">
        <f>H23</f>
        <v>100</v>
      </c>
      <c r="V23" s="667" t="s">
        <v>14</v>
      </c>
      <c r="W23" s="668">
        <f>J23</f>
        <v>100</v>
      </c>
      <c r="X23" s="1265"/>
      <c r="Y23" s="34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90"/>
      <c r="Q24" s="1263">
        <f t="shared" ref="Q24:Q34" si="11">B24</f>
        <v>111</v>
      </c>
      <c r="R24" s="667" t="s">
        <v>14</v>
      </c>
      <c r="S24" s="668">
        <f>F24</f>
        <v>100</v>
      </c>
      <c r="T24" s="667" t="s">
        <v>14</v>
      </c>
      <c r="U24" s="668">
        <f>H24</f>
        <v>100</v>
      </c>
      <c r="V24" s="667" t="s">
        <v>14</v>
      </c>
      <c r="W24" s="668">
        <f>J24</f>
        <v>100</v>
      </c>
      <c r="X24" s="1265"/>
      <c r="Y24" s="34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90"/>
      <c r="Q25" s="530">
        <f t="shared" si="11"/>
        <v>111</v>
      </c>
      <c r="R25" s="664" t="s">
        <v>14</v>
      </c>
      <c r="S25" s="665">
        <f>F25</f>
        <v>100</v>
      </c>
      <c r="T25" s="664" t="s">
        <v>14</v>
      </c>
      <c r="U25" s="665">
        <f>H25</f>
        <v>100</v>
      </c>
      <c r="V25" s="664" t="s">
        <v>14</v>
      </c>
      <c r="W25" s="665">
        <f>J25</f>
        <v>100</v>
      </c>
      <c r="X25" s="666"/>
      <c r="Y25" s="349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17"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4"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94"/>
      <c r="Q27" s="531" t="str">
        <f t="shared" si="11"/>
        <v>成新率</v>
      </c>
      <c r="R27" s="669" t="s">
        <v>14</v>
      </c>
      <c r="S27" s="670">
        <f t="shared" si="12"/>
        <v>100</v>
      </c>
      <c r="T27" s="669" t="s">
        <v>14</v>
      </c>
      <c r="U27" s="670">
        <f t="shared" si="13"/>
        <v>102</v>
      </c>
      <c r="V27" s="669" t="s">
        <v>14</v>
      </c>
      <c r="W27" s="670">
        <f t="shared" si="14"/>
        <v>102</v>
      </c>
      <c r="X27" s="671"/>
      <c r="Y27" s="3494"/>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94"/>
      <c r="Q28" s="1263" t="str">
        <f t="shared" si="11"/>
        <v>物业等级</v>
      </c>
      <c r="R28" s="667" t="s">
        <v>14</v>
      </c>
      <c r="S28" s="668">
        <f t="shared" si="12"/>
        <v>100</v>
      </c>
      <c r="T28" s="667" t="s">
        <v>14</v>
      </c>
      <c r="U28" s="668">
        <f t="shared" si="13"/>
        <v>100</v>
      </c>
      <c r="V28" s="667" t="s">
        <v>14</v>
      </c>
      <c r="W28" s="668">
        <f t="shared" si="14"/>
        <v>100</v>
      </c>
      <c r="X28" s="1265"/>
      <c r="Y28" s="349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94"/>
      <c r="Q29" s="1263" t="str">
        <f t="shared" si="11"/>
        <v>有无电梯</v>
      </c>
      <c r="R29" s="667" t="s">
        <v>14</v>
      </c>
      <c r="S29" s="668">
        <f t="shared" si="12"/>
        <v>100</v>
      </c>
      <c r="T29" s="667" t="s">
        <v>14</v>
      </c>
      <c r="U29" s="668">
        <f t="shared" si="13"/>
        <v>100</v>
      </c>
      <c r="V29" s="667" t="s">
        <v>14</v>
      </c>
      <c r="W29" s="668">
        <f t="shared" si="14"/>
        <v>100</v>
      </c>
      <c r="X29" s="1265"/>
      <c r="Y29" s="3494"/>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94"/>
      <c r="Q30" s="1263" t="str">
        <f t="shared" si="11"/>
        <v>建筑面积</v>
      </c>
      <c r="R30" s="667" t="s">
        <v>14</v>
      </c>
      <c r="S30" s="668">
        <f t="shared" si="12"/>
        <v>98</v>
      </c>
      <c r="T30" s="667" t="s">
        <v>14</v>
      </c>
      <c r="U30" s="668">
        <f t="shared" si="13"/>
        <v>100</v>
      </c>
      <c r="V30" s="667" t="s">
        <v>14</v>
      </c>
      <c r="W30" s="668">
        <f t="shared" si="14"/>
        <v>98</v>
      </c>
      <c r="X30" s="1265"/>
      <c r="Y30" s="3494"/>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94"/>
      <c r="Q31" s="530" t="str">
        <f t="shared" si="11"/>
        <v>是否封闭</v>
      </c>
      <c r="R31" s="664" t="s">
        <v>14</v>
      </c>
      <c r="S31" s="665">
        <f t="shared" si="12"/>
        <v>100</v>
      </c>
      <c r="T31" s="664" t="s">
        <v>14</v>
      </c>
      <c r="U31" s="665">
        <f t="shared" si="13"/>
        <v>100</v>
      </c>
      <c r="V31" s="664" t="s">
        <v>14</v>
      </c>
      <c r="W31" s="665">
        <f t="shared" si="14"/>
        <v>100</v>
      </c>
      <c r="X31" s="666"/>
      <c r="Y31" s="3494"/>
      <c r="Z31" s="50" t="str">
        <f t="shared" si="15"/>
        <v>是否封闭</v>
      </c>
      <c r="AA31" s="50">
        <f t="shared" si="3"/>
        <v>1</v>
      </c>
      <c r="AB31" s="50">
        <f t="shared" si="4"/>
        <v>1</v>
      </c>
      <c r="AC31" s="50">
        <f t="shared" si="5"/>
        <v>1</v>
      </c>
    </row>
    <row r="32" spans="1:29" ht="15">
      <c r="A32" s="409"/>
      <c r="B32" s="3591" t="s">
        <v>4958</v>
      </c>
      <c r="C32" s="3589" t="s">
        <v>4955</v>
      </c>
      <c r="D32" s="374">
        <v>100</v>
      </c>
      <c r="E32" s="3590" t="s">
        <v>4956</v>
      </c>
      <c r="F32" s="400">
        <f>SUMIF(91:91,E32,92:92)-SUMIF(91:91,C32,92:92)+100</f>
        <v>110</v>
      </c>
      <c r="G32" s="3590" t="s">
        <v>4956</v>
      </c>
      <c r="H32" s="374">
        <f>SUMIF(91:91,G32,92:92)-SUMIF(91:91,C32,92:92)+100</f>
        <v>110</v>
      </c>
      <c r="I32" s="3590" t="s">
        <v>4956</v>
      </c>
      <c r="J32" s="374">
        <f>SUMIF(91:91,I32,92:92)-SUMIF(91:91,C32,92:92)+100</f>
        <v>110</v>
      </c>
      <c r="K32" s="539"/>
      <c r="L32" s="2493"/>
      <c r="M32" s="2488"/>
      <c r="N32" s="2488"/>
      <c r="O32" s="2543"/>
      <c r="P32" s="3494" t="s">
        <v>1694</v>
      </c>
      <c r="Q32" s="1263" t="str">
        <f t="shared" si="11"/>
        <v>维护管理情况</v>
      </c>
      <c r="R32" s="667" t="s">
        <v>14</v>
      </c>
      <c r="S32" s="668">
        <f t="shared" si="12"/>
        <v>110</v>
      </c>
      <c r="T32" s="667" t="s">
        <v>14</v>
      </c>
      <c r="U32" s="668">
        <f t="shared" si="13"/>
        <v>110</v>
      </c>
      <c r="V32" s="667" t="s">
        <v>14</v>
      </c>
      <c r="W32" s="668">
        <f t="shared" si="14"/>
        <v>110</v>
      </c>
      <c r="X32" s="1265"/>
      <c r="Y32" s="3494" t="s">
        <v>1694</v>
      </c>
      <c r="Z32" s="1264" t="str">
        <f t="shared" si="15"/>
        <v>维护管理情况</v>
      </c>
      <c r="AA32" s="1264">
        <f t="shared" si="3"/>
        <v>0.90909090909090906</v>
      </c>
      <c r="AB32" s="1264">
        <f t="shared" si="4"/>
        <v>0.90909090909090906</v>
      </c>
      <c r="AC32" s="1264">
        <f t="shared" si="5"/>
        <v>0.90909090909090906</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4"/>
      <c r="Q33" s="1263">
        <f t="shared" si="11"/>
        <v>111</v>
      </c>
      <c r="R33" s="667" t="s">
        <v>14</v>
      </c>
      <c r="S33" s="668">
        <f t="shared" si="12"/>
        <v>100</v>
      </c>
      <c r="T33" s="667" t="s">
        <v>14</v>
      </c>
      <c r="U33" s="668">
        <f t="shared" si="13"/>
        <v>100</v>
      </c>
      <c r="V33" s="667" t="s">
        <v>14</v>
      </c>
      <c r="W33" s="668">
        <f t="shared" si="14"/>
        <v>100</v>
      </c>
      <c r="X33" s="1265"/>
      <c r="Y33" s="34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4"/>
      <c r="Q34" s="1263">
        <f t="shared" si="11"/>
        <v>111</v>
      </c>
      <c r="R34" s="667" t="s">
        <v>14</v>
      </c>
      <c r="S34" s="668">
        <f t="shared" si="12"/>
        <v>100</v>
      </c>
      <c r="T34" s="667" t="s">
        <v>14</v>
      </c>
      <c r="U34" s="668">
        <f t="shared" si="13"/>
        <v>100</v>
      </c>
      <c r="V34" s="667" t="s">
        <v>14</v>
      </c>
      <c r="W34" s="668">
        <f t="shared" si="14"/>
        <v>100</v>
      </c>
      <c r="X34" s="1265"/>
      <c r="Y34" s="3494"/>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96" t="str">
        <f>A35</f>
        <v>成交单价（元/平方米）</v>
      </c>
      <c r="Q35" s="3496"/>
      <c r="R35" s="3458">
        <f>E35</f>
        <v>3473</v>
      </c>
      <c r="S35" s="3458"/>
      <c r="T35" s="3458">
        <f>G35</f>
        <v>3367</v>
      </c>
      <c r="U35" s="3458"/>
      <c r="V35" s="3458">
        <f>I35</f>
        <v>3785</v>
      </c>
      <c r="W35" s="3458"/>
      <c r="X35" s="385"/>
      <c r="Y35" s="673"/>
      <c r="Z35" s="385"/>
      <c r="AA35" s="385"/>
      <c r="AB35" s="385"/>
      <c r="AC35" s="385"/>
    </row>
    <row r="36" spans="1:30" ht="15.75" thickBot="1">
      <c r="A36" s="423" t="s">
        <v>1791</v>
      </c>
      <c r="B36" s="424"/>
      <c r="C36" s="1082">
        <f>R37</f>
        <v>3075</v>
      </c>
      <c r="D36" s="2141" t="s">
        <v>2136</v>
      </c>
      <c r="E36" s="1083">
        <f>R36</f>
        <v>3127</v>
      </c>
      <c r="F36" s="2142"/>
      <c r="G36" s="1082">
        <f>T36</f>
        <v>2916</v>
      </c>
      <c r="H36" s="2142"/>
      <c r="I36" s="1083">
        <f>V36</f>
        <v>3182</v>
      </c>
      <c r="J36" s="2142"/>
      <c r="K36" s="2144">
        <f>F36+H36+J36</f>
        <v>0</v>
      </c>
      <c r="L36" s="2495"/>
      <c r="M36" s="2488"/>
      <c r="N36" s="2488"/>
      <c r="O36" s="2488"/>
      <c r="P36" s="3496" t="str">
        <f>A36</f>
        <v>比较价值（元/平方米）</v>
      </c>
      <c r="Q36" s="3496"/>
      <c r="R36" s="3458">
        <f>IF(F1="售价",ROUND(PRODUCT(R35,AA7:AA34),0),ROUND(PRODUCT(R35,AA7:AA34),1))</f>
        <v>3127</v>
      </c>
      <c r="S36" s="3458"/>
      <c r="T36" s="3458">
        <f>IF(F1="售价",ROUND(PRODUCT(T35,AB7:AB34),0),ROUND(PRODUCT(T35,AB7:AB34),1))</f>
        <v>2916</v>
      </c>
      <c r="U36" s="3458"/>
      <c r="V36" s="3458">
        <f>IF(F1="售价",ROUND(PRODUCT(V35,AC7:AC34),0),ROUND(PRODUCT(V35,AC7:AC34),1))</f>
        <v>3182</v>
      </c>
      <c r="W36" s="3458"/>
      <c r="X36" s="385"/>
      <c r="Y36" s="385"/>
      <c r="Z36" s="385"/>
      <c r="AA36" s="385"/>
      <c r="AB36" s="385"/>
      <c r="AC36" s="385"/>
    </row>
    <row r="37" spans="1:30" ht="15.75" thickBot="1">
      <c r="A37" s="427" t="s">
        <v>1792</v>
      </c>
      <c r="B37" s="428"/>
      <c r="C37" s="351">
        <f>R37</f>
        <v>3075</v>
      </c>
      <c r="D37" s="351"/>
      <c r="E37" s="351"/>
      <c r="F37" s="351"/>
      <c r="G37" s="351"/>
      <c r="H37" s="351"/>
      <c r="I37" s="351"/>
      <c r="J37" s="351"/>
      <c r="K37" s="675"/>
      <c r="L37" s="2495"/>
      <c r="M37" s="2488"/>
      <c r="N37" s="2488"/>
      <c r="O37" s="2488"/>
      <c r="P37" s="3497" t="str">
        <f>A37</f>
        <v>估价对象XX用房的比较价值（楼面单价，元/平方米）</v>
      </c>
      <c r="Q37" s="3498"/>
      <c r="R37" s="3518">
        <f>IF(F1="售价",ROUND(IF(D36="简单平均",AVERAGE(R36:W36),R36*F36+T36*H36+V36*J36),0),ROUND(IF(D36="简单平均",AVERAGE(R36:V36),R36*F36+T36*H36+V36*J36),1))</f>
        <v>3075</v>
      </c>
      <c r="S37" s="3518"/>
      <c r="T37" s="3518"/>
      <c r="U37" s="3518"/>
      <c r="V37" s="3518"/>
      <c r="W37" s="351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0.11064918452190597</v>
      </c>
      <c r="F40" s="435" t="str">
        <f>IF(OR(E40&gt;=0.3,E40&lt;=-0.3),"超过30%","")</f>
        <v/>
      </c>
      <c r="G40" s="434">
        <f>IF(G35&lt;G36,G36/G35-1,G35/G36-1)</f>
        <v>0.1546639231824416</v>
      </c>
      <c r="H40" s="435" t="str">
        <f>IF(OR(G40&gt;=0.3,G40&lt;=-0.3),"超过30%","")</f>
        <v/>
      </c>
      <c r="I40" s="434">
        <f>IF(I35&lt;I36,I36/I35-1,I35/I36-1)</f>
        <v>0.18950345694531734</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7.2359396433470557E-2</v>
      </c>
      <c r="F41" s="435" t="str">
        <f>IF(OR(E41&gt;=0.2,E41&lt;=-0.2),"超过20%","")</f>
        <v/>
      </c>
      <c r="G41" s="434">
        <f>IF(G36&lt;I36,I36/G36-1,G36/I36-1)</f>
        <v>9.122085048010975E-2</v>
      </c>
      <c r="H41" s="435" t="str">
        <f>IF(OR(G41&gt;=0.2,G41&lt;=-0.2),"超过20%","")</f>
        <v/>
      </c>
      <c r="I41" s="434">
        <f>IF(I36&lt;E36,E36/I36-1,I36/E36-1)</f>
        <v>1.7588743204349111E-2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212">
        <f t="shared" ref="P46" si="17">EDATE(O46,-1)</f>
        <v>45566</v>
      </c>
      <c r="Q46" s="3212">
        <f t="shared" ref="Q46" si="18">EDATE(P46,-1)</f>
        <v>45536</v>
      </c>
      <c r="R46" s="3212">
        <f t="shared" ref="R46" si="19">EDATE(Q46,-1)</f>
        <v>45505</v>
      </c>
      <c r="S46" s="3212">
        <f t="shared" ref="S46" si="20">EDATE(R46,-1)</f>
        <v>45474</v>
      </c>
      <c r="T46" s="3212">
        <f t="shared" ref="T46" si="21">EDATE(S46,-1)</f>
        <v>45444</v>
      </c>
      <c r="U46" s="3212">
        <f t="shared" ref="U46" si="22">EDATE(T46,-1)</f>
        <v>45413</v>
      </c>
      <c r="V46" s="3212">
        <f t="shared" ref="V46" si="23">EDATE(U46,-1)</f>
        <v>45383</v>
      </c>
      <c r="W46" s="3212">
        <f t="shared" ref="W46" si="24">EDATE(V46,-1)</f>
        <v>45352</v>
      </c>
      <c r="X46" s="3212">
        <f t="shared" ref="X46" si="25">EDATE(W46,-1)</f>
        <v>45323</v>
      </c>
      <c r="Y46" s="3212">
        <f t="shared" ref="Y46" si="26">EDATE(X46,-1)</f>
        <v>45292</v>
      </c>
      <c r="Z46" s="3212">
        <f t="shared" ref="Z46" si="27">EDATE(Y46,-1)</f>
        <v>45261</v>
      </c>
      <c r="AA46" s="3212">
        <f t="shared" ref="AA46" si="28">EDATE(Z46,-1)</f>
        <v>45231</v>
      </c>
      <c r="AB46" s="3212">
        <f t="shared" ref="AB46" si="29">EDATE(AA46,-1)</f>
        <v>45200</v>
      </c>
      <c r="AC46" s="3212">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105</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维护管理情况</v>
      </c>
      <c r="C91" s="3592" t="s">
        <v>4955</v>
      </c>
      <c r="D91" s="3592" t="s">
        <v>4957</v>
      </c>
      <c r="E91" s="3592" t="s">
        <v>4956</v>
      </c>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3593">
        <v>100</v>
      </c>
      <c r="D92" s="3594">
        <v>105</v>
      </c>
      <c r="E92" s="3594">
        <v>110</v>
      </c>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2525.0140000000001</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2523</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19" t="s">
        <v>1652</v>
      </c>
      <c r="C5" s="3520"/>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273.6422</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1674.9045000000001</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560.71100000000001</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15.7563</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74" t="s">
        <v>1665</v>
      </c>
      <c r="D4" s="3475"/>
      <c r="E4" s="3476" t="s">
        <v>1666</v>
      </c>
      <c r="F4" s="3477"/>
      <c r="G4" s="3474" t="s">
        <v>1667</v>
      </c>
      <c r="H4" s="3475"/>
      <c r="I4" s="3474" t="s">
        <v>1668</v>
      </c>
      <c r="J4" s="3475"/>
      <c r="K4" s="1744" t="s">
        <v>1669</v>
      </c>
      <c r="L4" s="2487"/>
      <c r="M4" s="2488"/>
      <c r="N4" s="2488"/>
      <c r="O4" s="2488"/>
      <c r="P4" s="3478" t="s">
        <v>1670</v>
      </c>
      <c r="Q4" s="3479"/>
      <c r="R4" s="3461" t="s">
        <v>1666</v>
      </c>
      <c r="S4" s="3462"/>
      <c r="T4" s="3461" t="s">
        <v>1667</v>
      </c>
      <c r="U4" s="3462"/>
      <c r="V4" s="3458" t="s">
        <v>1668</v>
      </c>
      <c r="W4" s="3458"/>
      <c r="X4" s="1265"/>
      <c r="Y4" s="3461" t="s">
        <v>1670</v>
      </c>
      <c r="Z4" s="3462"/>
      <c r="AA4" s="3455" t="s">
        <v>1666</v>
      </c>
      <c r="AB4" s="3455" t="s">
        <v>1667</v>
      </c>
      <c r="AC4" s="3455" t="s">
        <v>1668</v>
      </c>
    </row>
    <row r="5" spans="1:29" ht="15">
      <c r="A5" s="348"/>
      <c r="B5" s="349"/>
      <c r="C5" s="3467" t="s">
        <v>1671</v>
      </c>
      <c r="D5" s="3468"/>
      <c r="E5" s="3465" t="s">
        <v>1672</v>
      </c>
      <c r="F5" s="3466"/>
      <c r="G5" s="3467" t="s">
        <v>1673</v>
      </c>
      <c r="H5" s="3468"/>
      <c r="I5" s="3467" t="s">
        <v>1674</v>
      </c>
      <c r="J5" s="3468"/>
      <c r="K5" s="1745"/>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1745"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9" t="s">
        <v>1678</v>
      </c>
      <c r="Q7" s="3486"/>
      <c r="R7" s="664" t="s">
        <v>20</v>
      </c>
      <c r="S7" s="665">
        <f t="shared" ref="S7:S15" si="0">F7</f>
        <v>0</v>
      </c>
      <c r="T7" s="664" t="s">
        <v>20</v>
      </c>
      <c r="U7" s="665">
        <f t="shared" ref="U7:U15" si="1">H7</f>
        <v>0</v>
      </c>
      <c r="V7" s="664" t="s">
        <v>20</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9" t="s">
        <v>1681</v>
      </c>
      <c r="Q8" s="3460"/>
      <c r="R8" s="664" t="s">
        <v>20</v>
      </c>
      <c r="S8" s="665">
        <f t="shared" si="0"/>
        <v>100</v>
      </c>
      <c r="T8" s="664" t="s">
        <v>20</v>
      </c>
      <c r="U8" s="665">
        <f t="shared" si="1"/>
        <v>100</v>
      </c>
      <c r="V8" s="664" t="s">
        <v>20</v>
      </c>
      <c r="W8" s="665">
        <f t="shared" si="2"/>
        <v>100</v>
      </c>
      <c r="X8" s="666"/>
      <c r="Y8" s="3459" t="s">
        <v>1681</v>
      </c>
      <c r="Z8" s="346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73"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73"/>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73"/>
      <c r="Q11" s="530" t="str">
        <f t="shared" si="6"/>
        <v>容积率</v>
      </c>
      <c r="R11" s="664" t="s">
        <v>18</v>
      </c>
      <c r="S11" s="665" t="e">
        <f t="shared" si="0"/>
        <v>#N/A</v>
      </c>
      <c r="T11" s="664" t="s">
        <v>18</v>
      </c>
      <c r="U11" s="665" t="e">
        <f t="shared" si="1"/>
        <v>#N/A</v>
      </c>
      <c r="V11" s="664" t="s">
        <v>18</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73"/>
      <c r="Q12" s="530">
        <f t="shared" si="6"/>
        <v>111</v>
      </c>
      <c r="R12" s="664" t="s">
        <v>18</v>
      </c>
      <c r="S12" s="665">
        <f t="shared" si="0"/>
        <v>100</v>
      </c>
      <c r="T12" s="664" t="s">
        <v>18</v>
      </c>
      <c r="U12" s="665">
        <f t="shared" si="1"/>
        <v>100</v>
      </c>
      <c r="V12" s="664" t="s">
        <v>18</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73"/>
      <c r="Q13" s="530">
        <f t="shared" si="6"/>
        <v>111</v>
      </c>
      <c r="R13" s="664" t="s">
        <v>18</v>
      </c>
      <c r="S13" s="665">
        <f t="shared" si="0"/>
        <v>100</v>
      </c>
      <c r="T13" s="664" t="s">
        <v>18</v>
      </c>
      <c r="U13" s="665">
        <f t="shared" si="1"/>
        <v>100</v>
      </c>
      <c r="V13" s="664" t="s">
        <v>18</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73"/>
      <c r="Q14" s="530">
        <f t="shared" si="6"/>
        <v>111</v>
      </c>
      <c r="R14" s="664" t="s">
        <v>18</v>
      </c>
      <c r="S14" s="665">
        <f t="shared" si="0"/>
        <v>100</v>
      </c>
      <c r="T14" s="664" t="s">
        <v>18</v>
      </c>
      <c r="U14" s="665">
        <f t="shared" si="1"/>
        <v>100</v>
      </c>
      <c r="V14" s="664" t="s">
        <v>18</v>
      </c>
      <c r="W14" s="665">
        <f t="shared" si="2"/>
        <v>100</v>
      </c>
      <c r="X14" s="666"/>
      <c r="Y14" s="3404"/>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7" t="s">
        <v>1689</v>
      </c>
      <c r="Q15" s="1263" t="str">
        <f t="shared" si="6"/>
        <v>居住社区成熟度</v>
      </c>
      <c r="R15" s="667" t="s">
        <v>18</v>
      </c>
      <c r="S15" s="668">
        <f t="shared" si="0"/>
        <v>100</v>
      </c>
      <c r="T15" s="667" t="s">
        <v>18</v>
      </c>
      <c r="U15" s="668">
        <f t="shared" si="1"/>
        <v>100</v>
      </c>
      <c r="V15" s="667" t="s">
        <v>18</v>
      </c>
      <c r="W15" s="668">
        <f t="shared" si="2"/>
        <v>100</v>
      </c>
      <c r="X15" s="1265"/>
      <c r="Y15" s="348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8"/>
      <c r="Q16" s="1263"/>
      <c r="R16" s="667"/>
      <c r="S16" s="668"/>
      <c r="T16" s="667"/>
      <c r="U16" s="668"/>
      <c r="V16" s="667"/>
      <c r="W16" s="668"/>
      <c r="X16" s="1265"/>
      <c r="Y16" s="349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8"/>
      <c r="Q17" s="1263" t="str">
        <f>B17</f>
        <v>交通便捷度</v>
      </c>
      <c r="R17" s="667" t="s">
        <v>18</v>
      </c>
      <c r="S17" s="668">
        <f>F17</f>
        <v>100</v>
      </c>
      <c r="T17" s="667" t="s">
        <v>18</v>
      </c>
      <c r="U17" s="668">
        <f>H17</f>
        <v>100</v>
      </c>
      <c r="V17" s="667" t="s">
        <v>18</v>
      </c>
      <c r="W17" s="668">
        <f>J17</f>
        <v>100</v>
      </c>
      <c r="X17" s="1265"/>
      <c r="Y17" s="34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8"/>
      <c r="Q18" s="1263"/>
      <c r="R18" s="667"/>
      <c r="S18" s="668"/>
      <c r="T18" s="667"/>
      <c r="U18" s="668"/>
      <c r="V18" s="667"/>
      <c r="W18" s="668"/>
      <c r="X18" s="1265"/>
      <c r="Y18" s="349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8"/>
      <c r="Q19" s="1263" t="str">
        <f>B19</f>
        <v>公共配套设施</v>
      </c>
      <c r="R19" s="667" t="s">
        <v>18</v>
      </c>
      <c r="S19" s="668">
        <f>F19</f>
        <v>100</v>
      </c>
      <c r="T19" s="667" t="s">
        <v>18</v>
      </c>
      <c r="U19" s="668">
        <f>H19</f>
        <v>100</v>
      </c>
      <c r="V19" s="667" t="s">
        <v>18</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8"/>
      <c r="Q20" s="1263"/>
      <c r="R20" s="667"/>
      <c r="S20" s="668"/>
      <c r="T20" s="667"/>
      <c r="U20" s="668"/>
      <c r="V20" s="667"/>
      <c r="W20" s="668"/>
      <c r="X20" s="1265"/>
      <c r="Y20" s="349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8"/>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8"/>
      <c r="Q22" s="1263"/>
      <c r="R22" s="667"/>
      <c r="S22" s="668"/>
      <c r="T22" s="667"/>
      <c r="U22" s="668"/>
      <c r="V22" s="667"/>
      <c r="W22" s="668"/>
      <c r="X22" s="1265"/>
      <c r="Y22" s="349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8"/>
      <c r="Q23" s="1263" t="str">
        <f>B23</f>
        <v>自然及人文环境</v>
      </c>
      <c r="R23" s="667" t="s">
        <v>18</v>
      </c>
      <c r="S23" s="668">
        <f>F23</f>
        <v>100</v>
      </c>
      <c r="T23" s="667" t="s">
        <v>18</v>
      </c>
      <c r="U23" s="668">
        <f>H23</f>
        <v>100</v>
      </c>
      <c r="V23" s="667" t="s">
        <v>18</v>
      </c>
      <c r="W23" s="668">
        <f>J23</f>
        <v>100</v>
      </c>
      <c r="X23" s="1265"/>
      <c r="Y23" s="34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8"/>
      <c r="Q24" s="1263"/>
      <c r="R24" s="667"/>
      <c r="S24" s="668"/>
      <c r="T24" s="667"/>
      <c r="U24" s="668"/>
      <c r="V24" s="667"/>
      <c r="W24" s="668"/>
      <c r="X24" s="1265"/>
      <c r="Y24" s="349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8"/>
      <c r="Q26" s="1263" t="str">
        <f t="shared" si="11"/>
        <v>朝向</v>
      </c>
      <c r="R26" s="667" t="s">
        <v>18</v>
      </c>
      <c r="S26" s="668">
        <f t="shared" si="12"/>
        <v>100</v>
      </c>
      <c r="T26" s="667" t="s">
        <v>18</v>
      </c>
      <c r="U26" s="668">
        <f t="shared" si="13"/>
        <v>100</v>
      </c>
      <c r="V26" s="667" t="s">
        <v>18</v>
      </c>
      <c r="W26" s="668">
        <f t="shared" si="14"/>
        <v>100</v>
      </c>
      <c r="X26" s="1265"/>
      <c r="Y26" s="34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8"/>
      <c r="Q27" s="530">
        <f t="shared" si="11"/>
        <v>111</v>
      </c>
      <c r="R27" s="664" t="s">
        <v>18</v>
      </c>
      <c r="S27" s="665">
        <f t="shared" si="12"/>
        <v>100</v>
      </c>
      <c r="T27" s="664" t="s">
        <v>18</v>
      </c>
      <c r="U27" s="665">
        <f t="shared" si="13"/>
        <v>100</v>
      </c>
      <c r="V27" s="664" t="s">
        <v>18</v>
      </c>
      <c r="W27" s="665">
        <f t="shared" si="14"/>
        <v>100</v>
      </c>
      <c r="X27" s="666"/>
      <c r="Y27" s="34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8"/>
      <c r="Q28" s="1263">
        <f t="shared" si="11"/>
        <v>111</v>
      </c>
      <c r="R28" s="667" t="s">
        <v>18</v>
      </c>
      <c r="S28" s="668">
        <f t="shared" si="12"/>
        <v>100</v>
      </c>
      <c r="T28" s="667" t="s">
        <v>18</v>
      </c>
      <c r="U28" s="668">
        <f t="shared" si="13"/>
        <v>100</v>
      </c>
      <c r="V28" s="667" t="s">
        <v>18</v>
      </c>
      <c r="W28" s="668">
        <f t="shared" si="14"/>
        <v>100</v>
      </c>
      <c r="X28" s="1265"/>
      <c r="Y28" s="34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8"/>
      <c r="Q29" s="1263">
        <f t="shared" si="11"/>
        <v>111</v>
      </c>
      <c r="R29" s="667" t="s">
        <v>18</v>
      </c>
      <c r="S29" s="668">
        <f t="shared" si="12"/>
        <v>100</v>
      </c>
      <c r="T29" s="667" t="s">
        <v>18</v>
      </c>
      <c r="U29" s="668">
        <f t="shared" si="13"/>
        <v>100</v>
      </c>
      <c r="V29" s="667" t="s">
        <v>18</v>
      </c>
      <c r="W29" s="668">
        <f t="shared" si="14"/>
        <v>100</v>
      </c>
      <c r="X29" s="1265"/>
      <c r="Y29" s="34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8"/>
      <c r="Q30" s="1263">
        <f t="shared" si="11"/>
        <v>111</v>
      </c>
      <c r="R30" s="667" t="s">
        <v>18</v>
      </c>
      <c r="S30" s="668">
        <f t="shared" si="12"/>
        <v>100</v>
      </c>
      <c r="T30" s="667" t="s">
        <v>18</v>
      </c>
      <c r="U30" s="668">
        <f t="shared" si="13"/>
        <v>100</v>
      </c>
      <c r="V30" s="667" t="s">
        <v>18</v>
      </c>
      <c r="W30" s="668">
        <f t="shared" si="14"/>
        <v>100</v>
      </c>
      <c r="X30" s="1265"/>
      <c r="Y30" s="34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8"/>
      <c r="Q31" s="1263">
        <f t="shared" si="11"/>
        <v>111</v>
      </c>
      <c r="R31" s="667" t="s">
        <v>18</v>
      </c>
      <c r="S31" s="668">
        <f t="shared" si="12"/>
        <v>100</v>
      </c>
      <c r="T31" s="667" t="s">
        <v>18</v>
      </c>
      <c r="U31" s="668">
        <f t="shared" si="13"/>
        <v>100</v>
      </c>
      <c r="V31" s="667" t="s">
        <v>18</v>
      </c>
      <c r="W31" s="668">
        <f t="shared" si="14"/>
        <v>100</v>
      </c>
      <c r="X31" s="1265"/>
      <c r="Y31" s="349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91" t="s">
        <v>1694</v>
      </c>
      <c r="Q32" s="1263" t="str">
        <f t="shared" si="11"/>
        <v>建筑类型</v>
      </c>
      <c r="R32" s="667" t="s">
        <v>18</v>
      </c>
      <c r="S32" s="668">
        <f t="shared" si="12"/>
        <v>100</v>
      </c>
      <c r="T32" s="667" t="s">
        <v>18</v>
      </c>
      <c r="U32" s="668">
        <f t="shared" si="13"/>
        <v>100</v>
      </c>
      <c r="V32" s="667" t="s">
        <v>18</v>
      </c>
      <c r="W32" s="668">
        <f t="shared" si="14"/>
        <v>100</v>
      </c>
      <c r="X32" s="1265"/>
      <c r="Y32" s="349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92"/>
      <c r="Q33" s="531" t="str">
        <f t="shared" si="11"/>
        <v>项目建筑规模</v>
      </c>
      <c r="R33" s="669" t="s">
        <v>18</v>
      </c>
      <c r="S33" s="670" t="e">
        <f t="shared" si="12"/>
        <v>#N/A</v>
      </c>
      <c r="T33" s="669" t="s">
        <v>18</v>
      </c>
      <c r="U33" s="670" t="e">
        <f t="shared" si="13"/>
        <v>#N/A</v>
      </c>
      <c r="V33" s="669" t="s">
        <v>18</v>
      </c>
      <c r="W33" s="670" t="e">
        <f t="shared" si="14"/>
        <v>#N/A</v>
      </c>
      <c r="X33" s="671"/>
      <c r="Y33" s="3494"/>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92"/>
      <c r="Q34" s="1263" t="str">
        <f t="shared" si="11"/>
        <v>建筑结构</v>
      </c>
      <c r="R34" s="667" t="s">
        <v>18</v>
      </c>
      <c r="S34" s="668">
        <f t="shared" si="12"/>
        <v>100</v>
      </c>
      <c r="T34" s="667" t="s">
        <v>18</v>
      </c>
      <c r="U34" s="668">
        <f t="shared" si="13"/>
        <v>100</v>
      </c>
      <c r="V34" s="667" t="s">
        <v>18</v>
      </c>
      <c r="W34" s="668">
        <f t="shared" si="14"/>
        <v>100</v>
      </c>
      <c r="X34" s="1265"/>
      <c r="Y34" s="349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92"/>
      <c r="Q35" s="1263" t="str">
        <f t="shared" si="11"/>
        <v>建筑品质</v>
      </c>
      <c r="R35" s="667" t="s">
        <v>18</v>
      </c>
      <c r="S35" s="668">
        <f t="shared" si="12"/>
        <v>100</v>
      </c>
      <c r="T35" s="667" t="s">
        <v>18</v>
      </c>
      <c r="U35" s="668">
        <f t="shared" si="13"/>
        <v>100</v>
      </c>
      <c r="V35" s="667" t="s">
        <v>18</v>
      </c>
      <c r="W35" s="668">
        <f t="shared" si="14"/>
        <v>100</v>
      </c>
      <c r="X35" s="1265"/>
      <c r="Y35" s="349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92"/>
      <c r="Q36" s="1263" t="str">
        <f t="shared" si="11"/>
        <v>公共部分装修</v>
      </c>
      <c r="R36" s="667" t="s">
        <v>18</v>
      </c>
      <c r="S36" s="668">
        <f t="shared" si="12"/>
        <v>100</v>
      </c>
      <c r="T36" s="667" t="s">
        <v>18</v>
      </c>
      <c r="U36" s="668">
        <f t="shared" si="13"/>
        <v>100</v>
      </c>
      <c r="V36" s="667" t="s">
        <v>18</v>
      </c>
      <c r="W36" s="668">
        <f t="shared" si="14"/>
        <v>100</v>
      </c>
      <c r="X36" s="1265"/>
      <c r="Y36" s="349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92"/>
      <c r="Q37" s="530" t="str">
        <f t="shared" si="11"/>
        <v>成新度</v>
      </c>
      <c r="R37" s="664" t="s">
        <v>18</v>
      </c>
      <c r="S37" s="665" t="e">
        <f t="shared" si="12"/>
        <v>#N/A</v>
      </c>
      <c r="T37" s="664" t="s">
        <v>18</v>
      </c>
      <c r="U37" s="665" t="e">
        <f t="shared" si="13"/>
        <v>#N/A</v>
      </c>
      <c r="V37" s="664" t="s">
        <v>18</v>
      </c>
      <c r="W37" s="665" t="e">
        <f t="shared" si="14"/>
        <v>#N/A</v>
      </c>
      <c r="X37" s="666"/>
      <c r="Y37" s="349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92" t="s">
        <v>1694</v>
      </c>
      <c r="Q38" s="1263" t="str">
        <f t="shared" si="11"/>
        <v>物业管理</v>
      </c>
      <c r="R38" s="667" t="s">
        <v>18</v>
      </c>
      <c r="S38" s="668">
        <f t="shared" si="12"/>
        <v>100</v>
      </c>
      <c r="T38" s="667" t="s">
        <v>18</v>
      </c>
      <c r="U38" s="668">
        <f t="shared" si="13"/>
        <v>100</v>
      </c>
      <c r="V38" s="667" t="s">
        <v>18</v>
      </c>
      <c r="W38" s="668">
        <f t="shared" si="14"/>
        <v>100</v>
      </c>
      <c r="X38" s="1265"/>
      <c r="Y38" s="349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92"/>
      <c r="Q39" s="1263" t="str">
        <f t="shared" si="11"/>
        <v>市政基础设施</v>
      </c>
      <c r="R39" s="667" t="s">
        <v>18</v>
      </c>
      <c r="S39" s="668">
        <f t="shared" si="12"/>
        <v>100</v>
      </c>
      <c r="T39" s="667" t="s">
        <v>18</v>
      </c>
      <c r="U39" s="668">
        <f t="shared" si="13"/>
        <v>100</v>
      </c>
      <c r="V39" s="667" t="s">
        <v>18</v>
      </c>
      <c r="W39" s="668">
        <f t="shared" si="14"/>
        <v>100</v>
      </c>
      <c r="X39" s="1265"/>
      <c r="Y39" s="349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92"/>
      <c r="Q40" s="1263" t="str">
        <f t="shared" si="11"/>
        <v>房型</v>
      </c>
      <c r="R40" s="667" t="s">
        <v>18</v>
      </c>
      <c r="S40" s="668">
        <f t="shared" si="12"/>
        <v>100</v>
      </c>
      <c r="T40" s="667" t="s">
        <v>18</v>
      </c>
      <c r="U40" s="668">
        <f t="shared" si="13"/>
        <v>100</v>
      </c>
      <c r="V40" s="667" t="s">
        <v>18</v>
      </c>
      <c r="W40" s="668">
        <f t="shared" si="14"/>
        <v>100</v>
      </c>
      <c r="X40" s="1265"/>
      <c r="Y40" s="349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92"/>
      <c r="Q41" s="531" t="str">
        <f t="shared" si="11"/>
        <v>单套/主力户型建筑面积</v>
      </c>
      <c r="R41" s="669" t="s">
        <v>18</v>
      </c>
      <c r="S41" s="670">
        <f t="shared" si="12"/>
        <v>100</v>
      </c>
      <c r="T41" s="669" t="s">
        <v>18</v>
      </c>
      <c r="U41" s="670">
        <f t="shared" si="13"/>
        <v>100</v>
      </c>
      <c r="V41" s="669" t="s">
        <v>18</v>
      </c>
      <c r="W41" s="670">
        <f t="shared" si="14"/>
        <v>100</v>
      </c>
      <c r="X41" s="671"/>
      <c r="Y41" s="349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92"/>
      <c r="Q42" s="1263" t="str">
        <f t="shared" si="11"/>
        <v>内部装修</v>
      </c>
      <c r="R42" s="667" t="s">
        <v>18</v>
      </c>
      <c r="S42" s="668">
        <f t="shared" si="12"/>
        <v>100</v>
      </c>
      <c r="T42" s="667" t="s">
        <v>18</v>
      </c>
      <c r="U42" s="668">
        <f t="shared" si="13"/>
        <v>100</v>
      </c>
      <c r="V42" s="667" t="s">
        <v>18</v>
      </c>
      <c r="W42" s="668">
        <f t="shared" si="14"/>
        <v>100</v>
      </c>
      <c r="X42" s="1265"/>
      <c r="Y42" s="349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92"/>
      <c r="Q43" s="1263" t="str">
        <f t="shared" si="11"/>
        <v>内部装修维护情况</v>
      </c>
      <c r="R43" s="667" t="s">
        <v>18</v>
      </c>
      <c r="S43" s="668">
        <f t="shared" si="12"/>
        <v>100</v>
      </c>
      <c r="T43" s="667" t="s">
        <v>18</v>
      </c>
      <c r="U43" s="668">
        <f t="shared" si="13"/>
        <v>100</v>
      </c>
      <c r="V43" s="667" t="s">
        <v>18</v>
      </c>
      <c r="W43" s="668">
        <f t="shared" si="14"/>
        <v>100</v>
      </c>
      <c r="X43" s="1265"/>
      <c r="Y43" s="34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92"/>
      <c r="Q44" s="530">
        <f t="shared" si="11"/>
        <v>111</v>
      </c>
      <c r="R44" s="664" t="s">
        <v>18</v>
      </c>
      <c r="S44" s="665">
        <f t="shared" si="12"/>
        <v>100</v>
      </c>
      <c r="T44" s="664" t="s">
        <v>18</v>
      </c>
      <c r="U44" s="665">
        <f t="shared" si="13"/>
        <v>100</v>
      </c>
      <c r="V44" s="664" t="s">
        <v>18</v>
      </c>
      <c r="W44" s="665">
        <f t="shared" si="14"/>
        <v>100</v>
      </c>
      <c r="X44" s="666"/>
      <c r="Y44" s="34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92"/>
      <c r="Q45" s="1263">
        <f t="shared" si="11"/>
        <v>111</v>
      </c>
      <c r="R45" s="667" t="s">
        <v>18</v>
      </c>
      <c r="S45" s="668">
        <f t="shared" si="12"/>
        <v>100</v>
      </c>
      <c r="T45" s="667" t="s">
        <v>18</v>
      </c>
      <c r="U45" s="668">
        <f t="shared" si="13"/>
        <v>100</v>
      </c>
      <c r="V45" s="667" t="s">
        <v>18</v>
      </c>
      <c r="W45" s="668">
        <f t="shared" si="14"/>
        <v>100</v>
      </c>
      <c r="X45" s="1265"/>
      <c r="Y45" s="34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93"/>
      <c r="Q46" s="1263">
        <f t="shared" si="11"/>
        <v>111</v>
      </c>
      <c r="R46" s="667" t="s">
        <v>17</v>
      </c>
      <c r="S46" s="668">
        <f t="shared" si="12"/>
        <v>100</v>
      </c>
      <c r="T46" s="667" t="s">
        <v>17</v>
      </c>
      <c r="U46" s="668">
        <f t="shared" si="13"/>
        <v>100</v>
      </c>
      <c r="V46" s="667" t="s">
        <v>17</v>
      </c>
      <c r="W46" s="668">
        <f t="shared" si="14"/>
        <v>100</v>
      </c>
      <c r="X46" s="1265"/>
      <c r="Y46" s="349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96" t="str">
        <f>A47</f>
        <v>成交单价（元/平方米）</v>
      </c>
      <c r="Q47" s="3496"/>
      <c r="R47" s="3458">
        <f>E47</f>
        <v>0</v>
      </c>
      <c r="S47" s="3458"/>
      <c r="T47" s="3458">
        <f>G47</f>
        <v>0</v>
      </c>
      <c r="U47" s="3458"/>
      <c r="V47" s="3458">
        <f>I47</f>
        <v>0</v>
      </c>
      <c r="W47" s="3458"/>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96" t="str">
        <f>A48</f>
        <v>比较价值（元/平方米）</v>
      </c>
      <c r="Q48" s="3496"/>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860"/>
      <c r="M4" s="861"/>
      <c r="N4" s="861"/>
      <c r="O4" s="861"/>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860"/>
      <c r="M5" s="861"/>
      <c r="N5" s="861"/>
      <c r="O5" s="861"/>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860"/>
      <c r="M6" s="861"/>
      <c r="N6" s="861"/>
      <c r="O6" s="861"/>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59" t="s">
        <v>1678</v>
      </c>
      <c r="Q7" s="3486"/>
      <c r="R7" s="664" t="s">
        <v>14</v>
      </c>
      <c r="S7" s="665">
        <f t="shared" ref="S7:S15" si="0">F7</f>
        <v>0</v>
      </c>
      <c r="T7" s="664" t="s">
        <v>14</v>
      </c>
      <c r="U7" s="665">
        <f t="shared" ref="U7:U15" si="1">H7</f>
        <v>0</v>
      </c>
      <c r="V7" s="664" t="s">
        <v>14</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9" t="s">
        <v>1681</v>
      </c>
      <c r="Q8" s="3460"/>
      <c r="R8" s="664" t="s">
        <v>14</v>
      </c>
      <c r="S8" s="665">
        <f t="shared" si="0"/>
        <v>100</v>
      </c>
      <c r="T8" s="664" t="s">
        <v>14</v>
      </c>
      <c r="U8" s="665">
        <f t="shared" si="1"/>
        <v>100</v>
      </c>
      <c r="V8" s="664" t="s">
        <v>14</v>
      </c>
      <c r="W8" s="665">
        <f t="shared" si="2"/>
        <v>100</v>
      </c>
      <c r="X8" s="666"/>
      <c r="Y8" s="3459" t="s">
        <v>1681</v>
      </c>
      <c r="Z8" s="346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96"/>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6"/>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9" t="s">
        <v>1689</v>
      </c>
      <c r="Q15" s="1263" t="str">
        <f t="shared" si="6"/>
        <v>产业集聚程度</v>
      </c>
      <c r="R15" s="667" t="s">
        <v>14</v>
      </c>
      <c r="S15" s="668">
        <f t="shared" si="0"/>
        <v>100</v>
      </c>
      <c r="T15" s="667" t="s">
        <v>14</v>
      </c>
      <c r="U15" s="668">
        <f t="shared" si="1"/>
        <v>100</v>
      </c>
      <c r="V15" s="667" t="s">
        <v>14</v>
      </c>
      <c r="W15" s="668">
        <f t="shared" si="2"/>
        <v>100</v>
      </c>
      <c r="X15" s="1265"/>
      <c r="Y15" s="348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0"/>
      <c r="Q16" s="1263"/>
      <c r="R16" s="667"/>
      <c r="S16" s="668"/>
      <c r="T16" s="667"/>
      <c r="U16" s="668"/>
      <c r="V16" s="667"/>
      <c r="W16" s="668"/>
      <c r="X16" s="1265"/>
      <c r="Y16" s="349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0"/>
      <c r="Q17" s="1263" t="str">
        <f>B17</f>
        <v>交通便捷度</v>
      </c>
      <c r="R17" s="667" t="s">
        <v>14</v>
      </c>
      <c r="S17" s="668">
        <f>F17</f>
        <v>100</v>
      </c>
      <c r="T17" s="667" t="s">
        <v>14</v>
      </c>
      <c r="U17" s="668">
        <f>H17</f>
        <v>100</v>
      </c>
      <c r="V17" s="667" t="s">
        <v>14</v>
      </c>
      <c r="W17" s="668">
        <f>J17</f>
        <v>100</v>
      </c>
      <c r="X17" s="1265"/>
      <c r="Y17" s="34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0"/>
      <c r="Q18" s="1263"/>
      <c r="R18" s="667"/>
      <c r="S18" s="668"/>
      <c r="T18" s="667"/>
      <c r="U18" s="668"/>
      <c r="V18" s="667"/>
      <c r="W18" s="668"/>
      <c r="X18" s="1265"/>
      <c r="Y18" s="349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0"/>
      <c r="Q19" s="1263" t="str">
        <f>B19</f>
        <v>公共配套设施</v>
      </c>
      <c r="R19" s="667" t="s">
        <v>14</v>
      </c>
      <c r="S19" s="668">
        <f>F19</f>
        <v>100</v>
      </c>
      <c r="T19" s="667" t="s">
        <v>14</v>
      </c>
      <c r="U19" s="668">
        <f>H19</f>
        <v>100</v>
      </c>
      <c r="V19" s="667" t="s">
        <v>14</v>
      </c>
      <c r="W19" s="668">
        <f>J19</f>
        <v>100</v>
      </c>
      <c r="X19" s="1265"/>
      <c r="Y19" s="34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0"/>
      <c r="Q20" s="1263"/>
      <c r="R20" s="667"/>
      <c r="S20" s="668"/>
      <c r="T20" s="667"/>
      <c r="U20" s="668"/>
      <c r="V20" s="667"/>
      <c r="W20" s="668"/>
      <c r="X20" s="1265"/>
      <c r="Y20" s="349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0"/>
      <c r="Q21" s="1263" t="str">
        <f>B21</f>
        <v>基础设施水平</v>
      </c>
      <c r="R21" s="667" t="s">
        <v>14</v>
      </c>
      <c r="S21" s="668">
        <f>F21</f>
        <v>100</v>
      </c>
      <c r="T21" s="667" t="s">
        <v>14</v>
      </c>
      <c r="U21" s="668">
        <f>H21</f>
        <v>100</v>
      </c>
      <c r="V21" s="667" t="s">
        <v>14</v>
      </c>
      <c r="W21" s="668">
        <f>J21</f>
        <v>100</v>
      </c>
      <c r="X21" s="1265"/>
      <c r="Y21" s="34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0"/>
      <c r="Q22" s="1263"/>
      <c r="R22" s="667"/>
      <c r="S22" s="668"/>
      <c r="T22" s="667"/>
      <c r="U22" s="668"/>
      <c r="V22" s="667"/>
      <c r="W22" s="668"/>
      <c r="X22" s="1265"/>
      <c r="Y22" s="349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0"/>
      <c r="Q23" s="1263" t="str">
        <f>B23</f>
        <v>环境质量</v>
      </c>
      <c r="R23" s="667" t="s">
        <v>14</v>
      </c>
      <c r="S23" s="668">
        <f>F23</f>
        <v>100</v>
      </c>
      <c r="T23" s="667" t="s">
        <v>14</v>
      </c>
      <c r="U23" s="668">
        <f>H23</f>
        <v>100</v>
      </c>
      <c r="V23" s="667" t="s">
        <v>14</v>
      </c>
      <c r="W23" s="668">
        <f>J23</f>
        <v>100</v>
      </c>
      <c r="X23" s="1265"/>
      <c r="Y23" s="34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0"/>
      <c r="Q24" s="1263"/>
      <c r="R24" s="667"/>
      <c r="S24" s="668"/>
      <c r="T24" s="667"/>
      <c r="U24" s="668"/>
      <c r="V24" s="667"/>
      <c r="W24" s="668"/>
      <c r="X24" s="1265"/>
      <c r="Y24" s="34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0"/>
      <c r="Q25" s="1263">
        <f>B25</f>
        <v>111</v>
      </c>
      <c r="R25" s="667" t="s">
        <v>14</v>
      </c>
      <c r="S25" s="668">
        <f>F25</f>
        <v>100</v>
      </c>
      <c r="T25" s="667" t="s">
        <v>14</v>
      </c>
      <c r="U25" s="668">
        <f>H25</f>
        <v>100</v>
      </c>
      <c r="V25" s="667" t="s">
        <v>14</v>
      </c>
      <c r="W25" s="668">
        <f>J25</f>
        <v>100</v>
      </c>
      <c r="X25" s="1265"/>
      <c r="Y25" s="34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0"/>
      <c r="Q26" s="1263">
        <f t="shared" ref="Q26:Q40" si="11">B26</f>
        <v>111</v>
      </c>
      <c r="R26" s="667" t="s">
        <v>14</v>
      </c>
      <c r="S26" s="668">
        <f>F26</f>
        <v>100</v>
      </c>
      <c r="T26" s="667" t="s">
        <v>14</v>
      </c>
      <c r="U26" s="668">
        <f>H26</f>
        <v>100</v>
      </c>
      <c r="V26" s="667" t="s">
        <v>14</v>
      </c>
      <c r="W26" s="668">
        <f>J26</f>
        <v>100</v>
      </c>
      <c r="X26" s="1265"/>
      <c r="Y26" s="34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0"/>
      <c r="Q27" s="530">
        <f t="shared" si="11"/>
        <v>111</v>
      </c>
      <c r="R27" s="664" t="s">
        <v>14</v>
      </c>
      <c r="S27" s="665">
        <f>F27</f>
        <v>100</v>
      </c>
      <c r="T27" s="664" t="s">
        <v>14</v>
      </c>
      <c r="U27" s="665">
        <f>H27</f>
        <v>100</v>
      </c>
      <c r="V27" s="664" t="s">
        <v>14</v>
      </c>
      <c r="W27" s="665">
        <f>J27</f>
        <v>100</v>
      </c>
      <c r="X27" s="666"/>
      <c r="Y27" s="34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0"/>
      <c r="Q28" s="1263">
        <f t="shared" si="11"/>
        <v>111</v>
      </c>
      <c r="R28" s="667" t="s">
        <v>14</v>
      </c>
      <c r="S28" s="668">
        <f t="shared" ref="S28:S40" si="12">F28</f>
        <v>100</v>
      </c>
      <c r="T28" s="667" t="s">
        <v>14</v>
      </c>
      <c r="U28" s="668">
        <f t="shared" ref="U28:U40" si="13">H28</f>
        <v>100</v>
      </c>
      <c r="V28" s="667" t="s">
        <v>14</v>
      </c>
      <c r="W28" s="668">
        <f t="shared" ref="W28:W40" si="14">J28</f>
        <v>100</v>
      </c>
      <c r="X28" s="1265"/>
      <c r="Y28" s="349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17" t="s">
        <v>1694</v>
      </c>
      <c r="Q29" s="1263" t="str">
        <f t="shared" si="11"/>
        <v>建筑类型</v>
      </c>
      <c r="R29" s="667" t="s">
        <v>14</v>
      </c>
      <c r="S29" s="668">
        <f t="shared" si="12"/>
        <v>100</v>
      </c>
      <c r="T29" s="667" t="s">
        <v>14</v>
      </c>
      <c r="U29" s="668">
        <f t="shared" si="13"/>
        <v>100</v>
      </c>
      <c r="V29" s="667" t="s">
        <v>14</v>
      </c>
      <c r="W29" s="668">
        <f t="shared" si="14"/>
        <v>100</v>
      </c>
      <c r="X29" s="1265"/>
      <c r="Y29" s="349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4"/>
      <c r="Q30" s="531" t="str">
        <f t="shared" si="11"/>
        <v>项目建筑规模</v>
      </c>
      <c r="R30" s="669" t="s">
        <v>14</v>
      </c>
      <c r="S30" s="670" t="e">
        <f t="shared" si="12"/>
        <v>#N/A</v>
      </c>
      <c r="T30" s="669" t="s">
        <v>14</v>
      </c>
      <c r="U30" s="670" t="e">
        <f t="shared" si="13"/>
        <v>#N/A</v>
      </c>
      <c r="V30" s="669" t="s">
        <v>14</v>
      </c>
      <c r="W30" s="670" t="e">
        <f t="shared" si="14"/>
        <v>#N/A</v>
      </c>
      <c r="X30" s="671"/>
      <c r="Y30" s="349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4"/>
      <c r="Q31" s="1263" t="str">
        <f t="shared" si="11"/>
        <v>建筑结构</v>
      </c>
      <c r="R31" s="667" t="s">
        <v>14</v>
      </c>
      <c r="S31" s="668">
        <f t="shared" si="12"/>
        <v>100</v>
      </c>
      <c r="T31" s="667" t="s">
        <v>14</v>
      </c>
      <c r="U31" s="668">
        <f t="shared" si="13"/>
        <v>100</v>
      </c>
      <c r="V31" s="667" t="s">
        <v>14</v>
      </c>
      <c r="W31" s="668">
        <f t="shared" si="14"/>
        <v>100</v>
      </c>
      <c r="X31" s="1265"/>
      <c r="Y31" s="349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4"/>
      <c r="Q32" s="1263" t="str">
        <f t="shared" si="11"/>
        <v>公共部分装修</v>
      </c>
      <c r="R32" s="667" t="s">
        <v>14</v>
      </c>
      <c r="S32" s="668">
        <f t="shared" si="12"/>
        <v>100</v>
      </c>
      <c r="T32" s="667" t="s">
        <v>14</v>
      </c>
      <c r="U32" s="668">
        <f t="shared" si="13"/>
        <v>100</v>
      </c>
      <c r="V32" s="667" t="s">
        <v>14</v>
      </c>
      <c r="W32" s="668">
        <f t="shared" si="14"/>
        <v>100</v>
      </c>
      <c r="X32" s="1265"/>
      <c r="Y32" s="349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4"/>
      <c r="Q33" s="1263" t="str">
        <f t="shared" si="11"/>
        <v>成新度</v>
      </c>
      <c r="R33" s="667" t="s">
        <v>14</v>
      </c>
      <c r="S33" s="668" t="e">
        <f t="shared" si="12"/>
        <v>#N/A</v>
      </c>
      <c r="T33" s="667" t="s">
        <v>14</v>
      </c>
      <c r="U33" s="668" t="e">
        <f t="shared" si="13"/>
        <v>#N/A</v>
      </c>
      <c r="V33" s="667" t="s">
        <v>14</v>
      </c>
      <c r="W33" s="668" t="e">
        <f t="shared" si="14"/>
        <v>#N/A</v>
      </c>
      <c r="X33" s="1265"/>
      <c r="Y33" s="349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4"/>
      <c r="Q34" s="530" t="str">
        <f t="shared" si="11"/>
        <v>物业管理</v>
      </c>
      <c r="R34" s="664" t="s">
        <v>14</v>
      </c>
      <c r="S34" s="665">
        <f t="shared" si="12"/>
        <v>100</v>
      </c>
      <c r="T34" s="664" t="s">
        <v>14</v>
      </c>
      <c r="U34" s="665">
        <f t="shared" si="13"/>
        <v>100</v>
      </c>
      <c r="V34" s="664" t="s">
        <v>14</v>
      </c>
      <c r="W34" s="665">
        <f t="shared" si="14"/>
        <v>100</v>
      </c>
      <c r="X34" s="666"/>
      <c r="Y34" s="349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4" t="s">
        <v>1694</v>
      </c>
      <c r="Q35" s="1263" t="str">
        <f t="shared" si="11"/>
        <v>市政基础设施</v>
      </c>
      <c r="R35" s="667" t="s">
        <v>14</v>
      </c>
      <c r="S35" s="668">
        <f t="shared" si="12"/>
        <v>100</v>
      </c>
      <c r="T35" s="667" t="s">
        <v>14</v>
      </c>
      <c r="U35" s="668">
        <f t="shared" si="13"/>
        <v>100</v>
      </c>
      <c r="V35" s="667" t="s">
        <v>14</v>
      </c>
      <c r="W35" s="668">
        <f t="shared" si="14"/>
        <v>100</v>
      </c>
      <c r="X35" s="1265"/>
      <c r="Y35" s="349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4"/>
      <c r="Q36" s="1263" t="str">
        <f t="shared" si="11"/>
        <v>内部装修</v>
      </c>
      <c r="R36" s="667" t="s">
        <v>14</v>
      </c>
      <c r="S36" s="668">
        <f t="shared" si="12"/>
        <v>100</v>
      </c>
      <c r="T36" s="667" t="s">
        <v>14</v>
      </c>
      <c r="U36" s="668">
        <f t="shared" si="13"/>
        <v>100</v>
      </c>
      <c r="V36" s="667" t="s">
        <v>14</v>
      </c>
      <c r="W36" s="668">
        <f t="shared" si="14"/>
        <v>100</v>
      </c>
      <c r="X36" s="1265"/>
      <c r="Y36" s="349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4"/>
      <c r="Q37" s="1263" t="str">
        <f t="shared" si="11"/>
        <v>内部装修状况</v>
      </c>
      <c r="R37" s="667" t="s">
        <v>14</v>
      </c>
      <c r="S37" s="668">
        <f t="shared" si="12"/>
        <v>100</v>
      </c>
      <c r="T37" s="667" t="s">
        <v>14</v>
      </c>
      <c r="U37" s="668">
        <f t="shared" si="13"/>
        <v>100</v>
      </c>
      <c r="V37" s="667" t="s">
        <v>14</v>
      </c>
      <c r="W37" s="668">
        <f t="shared" si="14"/>
        <v>100</v>
      </c>
      <c r="X37" s="1265"/>
      <c r="Y37" s="34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4"/>
      <c r="Q38" s="531">
        <f t="shared" si="11"/>
        <v>111</v>
      </c>
      <c r="R38" s="669" t="s">
        <v>14</v>
      </c>
      <c r="S38" s="670">
        <f t="shared" si="12"/>
        <v>100</v>
      </c>
      <c r="T38" s="669" t="s">
        <v>14</v>
      </c>
      <c r="U38" s="670">
        <f t="shared" si="13"/>
        <v>100</v>
      </c>
      <c r="V38" s="669" t="s">
        <v>14</v>
      </c>
      <c r="W38" s="670">
        <f t="shared" si="14"/>
        <v>100</v>
      </c>
      <c r="X38" s="671"/>
      <c r="Y38" s="34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4"/>
      <c r="Q39" s="1263">
        <f t="shared" si="11"/>
        <v>111</v>
      </c>
      <c r="R39" s="667" t="s">
        <v>14</v>
      </c>
      <c r="S39" s="668">
        <f t="shared" si="12"/>
        <v>100</v>
      </c>
      <c r="T39" s="667" t="s">
        <v>14</v>
      </c>
      <c r="U39" s="668">
        <f t="shared" si="13"/>
        <v>100</v>
      </c>
      <c r="V39" s="667" t="s">
        <v>14</v>
      </c>
      <c r="W39" s="668">
        <f t="shared" si="14"/>
        <v>100</v>
      </c>
      <c r="X39" s="1265"/>
      <c r="Y39" s="34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5"/>
      <c r="Q40" s="1263">
        <f t="shared" si="11"/>
        <v>111</v>
      </c>
      <c r="R40" s="667" t="s">
        <v>14</v>
      </c>
      <c r="S40" s="668">
        <f t="shared" si="12"/>
        <v>100</v>
      </c>
      <c r="T40" s="667" t="s">
        <v>14</v>
      </c>
      <c r="U40" s="668">
        <f t="shared" si="13"/>
        <v>100</v>
      </c>
      <c r="V40" s="667" t="s">
        <v>14</v>
      </c>
      <c r="W40" s="668">
        <f t="shared" si="14"/>
        <v>100</v>
      </c>
      <c r="X40" s="1265"/>
      <c r="Y40" s="349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96" t="str">
        <f>A41</f>
        <v>成交单价（元/平方米）</v>
      </c>
      <c r="Q41" s="3496"/>
      <c r="R41" s="3458">
        <f>E41</f>
        <v>0</v>
      </c>
      <c r="S41" s="3458"/>
      <c r="T41" s="3458">
        <f>G41</f>
        <v>0</v>
      </c>
      <c r="U41" s="3458"/>
      <c r="V41" s="3458">
        <f>I41</f>
        <v>0</v>
      </c>
      <c r="W41" s="3458"/>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96" t="str">
        <f>A42</f>
        <v>比较价值（元/平方米）</v>
      </c>
      <c r="Q42" s="3496"/>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估价结果一览表（市场价值不需“结果表-1”）</v>
      </c>
      <c r="B3" s="3252"/>
      <c r="C3" s="3252"/>
      <c r="D3" s="3252"/>
      <c r="E3" s="3252"/>
    </row>
    <row r="4" spans="1:5" ht="19.5" thickBot="1">
      <c r="A4" s="1391"/>
      <c r="B4" s="3250" t="s">
        <v>916</v>
      </c>
      <c r="C4" s="3250"/>
      <c r="D4" s="3250"/>
      <c r="E4" s="1391"/>
    </row>
    <row r="5" spans="1:5" ht="16.5" thickTop="1">
      <c r="B5" s="3248" t="s">
        <v>908</v>
      </c>
      <c r="C5" s="1392" t="s">
        <v>909</v>
      </c>
      <c r="D5" s="797" t="e">
        <f ca="1">'结果表-2号楼1层商业'!H101</f>
        <v>#REF!</v>
      </c>
    </row>
    <row r="6" spans="1:5" ht="15.75">
      <c r="B6" s="3248"/>
      <c r="C6" s="1392" t="s">
        <v>910</v>
      </c>
      <c r="D6" s="797" t="e">
        <f ca="1">NUMBERSTRING(INT(D5*10000),2)&amp;"元整"</f>
        <v>#REF!</v>
      </c>
    </row>
    <row r="7" spans="1:5" ht="15.75">
      <c r="B7" s="3253"/>
      <c r="C7" s="1393" t="s">
        <v>911</v>
      </c>
      <c r="D7" s="798" t="e">
        <f ca="1">'结果表-2号楼1层商业'!H102</f>
        <v>#REF!</v>
      </c>
    </row>
    <row r="8" spans="1:5" ht="15.75">
      <c r="B8" s="3254" t="str">
        <f>'结果表-2号楼1层商业'!E103</f>
        <v>2.估价师知悉的法定优先受偿款</v>
      </c>
      <c r="C8" s="1394" t="s">
        <v>912</v>
      </c>
      <c r="D8" s="798">
        <f>'结果表-2号楼1层商业'!H103</f>
        <v>0</v>
      </c>
    </row>
    <row r="9" spans="1:5" ht="15.75">
      <c r="B9" s="3256"/>
      <c r="C9" s="1392" t="s">
        <v>910</v>
      </c>
      <c r="D9" s="797" t="str">
        <f>NUMBERSTRING(INT(D8*10000),2)&amp;"元整"</f>
        <v>零元整</v>
      </c>
    </row>
    <row r="10" spans="1:5" ht="15">
      <c r="B10" s="1395" t="s">
        <v>915</v>
      </c>
      <c r="C10" s="1396" t="s">
        <v>913</v>
      </c>
      <c r="D10" s="799">
        <f>'结果表-2号楼1层商业'!H104</f>
        <v>0</v>
      </c>
    </row>
    <row r="11" spans="1:5" ht="15">
      <c r="B11" s="1395" t="s">
        <v>917</v>
      </c>
      <c r="C11" s="1396" t="s">
        <v>918</v>
      </c>
      <c r="D11" s="799">
        <f>'结果表-2号楼1层商业'!H105</f>
        <v>0</v>
      </c>
    </row>
    <row r="12" spans="1:5" ht="15">
      <c r="B12" s="1395" t="s">
        <v>919</v>
      </c>
      <c r="C12" s="1396" t="s">
        <v>918</v>
      </c>
      <c r="D12" s="799">
        <f>'结果表-2号楼1层商业'!H106</f>
        <v>0</v>
      </c>
    </row>
    <row r="13" spans="1:5" ht="15.75">
      <c r="B13" s="3247" t="str">
        <f>'结果表-2号楼1层商业'!E107</f>
        <v>3.房地产抵押价值</v>
      </c>
      <c r="C13" s="1397" t="s">
        <v>909</v>
      </c>
      <c r="D13" s="800" t="e">
        <f ca="1">'结果表-2号楼1层商业'!H107</f>
        <v>#REF!</v>
      </c>
    </row>
    <row r="14" spans="1:5" ht="15.75">
      <c r="B14" s="3248"/>
      <c r="C14" s="1392" t="s">
        <v>910</v>
      </c>
      <c r="D14" s="797" t="e">
        <f ca="1">NUMBERSTRING(INT(D13*10000),2)&amp;"元整"</f>
        <v>#REF!</v>
      </c>
    </row>
    <row r="15" spans="1:5" ht="15">
      <c r="B15" s="3253"/>
      <c r="C15" s="1393" t="s">
        <v>920</v>
      </c>
      <c r="D15" s="806" t="e">
        <f ca="1">'结果表-2号楼1层商业'!H108</f>
        <v>#REF!</v>
      </c>
    </row>
    <row r="16" spans="1:5" ht="15">
      <c r="B16" s="3254" t="str">
        <f>'结果表-2号楼1层商业'!E109</f>
        <v>——</v>
      </c>
      <c r="C16" s="1397" t="s">
        <v>921</v>
      </c>
      <c r="D16" s="1398" t="str">
        <f>'结果表-2号楼1层商业'!H109</f>
        <v>——</v>
      </c>
    </row>
    <row r="17" spans="1:5" ht="15.75">
      <c r="B17" s="3255"/>
      <c r="C17" s="1392" t="s">
        <v>922</v>
      </c>
      <c r="D17" s="797" t="e">
        <f>NUMBERSTRING(INT(D16*10000),2)&amp;"元整"</f>
        <v>#VALUE!</v>
      </c>
    </row>
    <row r="18" spans="1:5" ht="15">
      <c r="B18" s="3256"/>
      <c r="C18" s="1393" t="s">
        <v>911</v>
      </c>
      <c r="D18" s="806" t="str">
        <f>'结果表-2号楼1层商业'!H110</f>
        <v>——</v>
      </c>
    </row>
    <row r="19" spans="1:5" ht="15.75">
      <c r="B19" s="3247" t="str">
        <f>'结果表-2号楼1层商业'!E111</f>
        <v>——</v>
      </c>
      <c r="C19" s="1397" t="s">
        <v>909</v>
      </c>
      <c r="D19" s="798" t="str">
        <f>'结果表-2号楼1层商业'!H111</f>
        <v>——</v>
      </c>
    </row>
    <row r="20" spans="1:5" ht="15.75">
      <c r="B20" s="3248"/>
      <c r="C20" s="1392" t="s">
        <v>922</v>
      </c>
      <c r="D20" s="797" t="e">
        <f>NUMBERSTRING(INT(D19*10000),2)&amp;"元整"</f>
        <v>#VALUE!</v>
      </c>
    </row>
    <row r="21" spans="1:5" ht="15.75" thickBot="1">
      <c r="B21" s="3249"/>
      <c r="C21" s="1399" t="s">
        <v>920</v>
      </c>
      <c r="D21" s="807" t="str">
        <f>'结果表-2号楼1层商业'!H112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7"/>
  <sheetViews>
    <sheetView topLeftCell="A94" workbookViewId="0">
      <selection activeCell="K142" sqref="K142"/>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500" t="s">
        <v>3415</v>
      </c>
      <c r="B1" s="3500" t="s">
        <v>3416</v>
      </c>
      <c r="C1" s="3500" t="s">
        <v>3417</v>
      </c>
      <c r="D1" s="3500" t="s">
        <v>3418</v>
      </c>
      <c r="E1" s="3500" t="s">
        <v>3419</v>
      </c>
      <c r="F1" s="3500" t="s">
        <v>3420</v>
      </c>
      <c r="G1" s="3500" t="s">
        <v>3421</v>
      </c>
      <c r="H1" s="3500" t="s">
        <v>3422</v>
      </c>
      <c r="I1" s="3500" t="s">
        <v>3423</v>
      </c>
      <c r="J1" s="3500" t="s">
        <v>3424</v>
      </c>
      <c r="K1" s="3500"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205" t="s">
        <v>4777</v>
      </c>
    </row>
    <row r="63" spans="14:14">
      <c r="N63" s="320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row r="137" spans="10:12">
      <c r="K137">
        <v>40</v>
      </c>
      <c r="L137">
        <f>40000/40/365</f>
        <v>2.7397260273972601</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428" t="s">
        <v>1589</v>
      </c>
    </row>
    <row r="43" spans="1:7" ht="13.5" customHeight="1">
      <c r="A43" s="734" t="s">
        <v>347</v>
      </c>
      <c r="B43" s="207" t="s">
        <v>1543</v>
      </c>
      <c r="C43" s="230">
        <f ca="1">ROUND(IF('数据-取费表'!B22&lt;=1,C39*F22*'数据-取费表'!B20/2,C39*(POWER((1+F22),'数据-取费表'!B20/2)-1)),0)</f>
        <v>141</v>
      </c>
      <c r="D43" s="230"/>
      <c r="E43" s="230"/>
      <c r="F43" s="231"/>
      <c r="G43" s="3429"/>
    </row>
    <row r="44" spans="1:7" ht="13.5" customHeight="1">
      <c r="A44" s="734" t="s">
        <v>348</v>
      </c>
      <c r="B44" s="207" t="s">
        <v>1544</v>
      </c>
      <c r="C44" s="230">
        <f ca="1">ROUND(IF('数据-取费表'!B22&lt;=1,C40*F22*'数据-取费表'!B20/2,C40*(POWER((1+F22),'数据-取费表'!B20/2)-1)),4)</f>
        <v>8.9999999999999998E-4</v>
      </c>
      <c r="D44" s="230"/>
      <c r="E44" s="230"/>
      <c r="F44" s="231"/>
      <c r="G44" s="3430"/>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469" t="s">
        <v>1675</v>
      </c>
      <c r="D6" s="3470"/>
      <c r="E6" s="3471" t="s">
        <v>1675</v>
      </c>
      <c r="F6" s="3472"/>
      <c r="G6" s="3469" t="s">
        <v>1675</v>
      </c>
      <c r="H6" s="3470"/>
      <c r="I6" s="3469" t="s">
        <v>1675</v>
      </c>
      <c r="J6" s="3470"/>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59" t="s">
        <v>1678</v>
      </c>
      <c r="Q7" s="3486"/>
      <c r="R7" s="664" t="s">
        <v>14</v>
      </c>
      <c r="S7" s="665">
        <f t="shared" ref="S7:S15" si="0">F7</f>
        <v>100</v>
      </c>
      <c r="T7" s="664" t="s">
        <v>14</v>
      </c>
      <c r="U7" s="665">
        <f t="shared" ref="U7:U15" si="1">H7</f>
        <v>100</v>
      </c>
      <c r="V7" s="664" t="s">
        <v>14</v>
      </c>
      <c r="W7" s="665">
        <f t="shared" ref="W7:W15" si="2">J7</f>
        <v>100</v>
      </c>
      <c r="X7" s="666"/>
      <c r="Y7" s="3459" t="s">
        <v>1678</v>
      </c>
      <c r="Z7" s="3460"/>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59" t="s">
        <v>1681</v>
      </c>
      <c r="Q8" s="3460"/>
      <c r="R8" s="664" t="s">
        <v>14</v>
      </c>
      <c r="S8" s="665">
        <f t="shared" si="0"/>
        <v>100</v>
      </c>
      <c r="T8" s="664" t="s">
        <v>14</v>
      </c>
      <c r="U8" s="665">
        <f t="shared" si="1"/>
        <v>100</v>
      </c>
      <c r="V8" s="664" t="s">
        <v>14</v>
      </c>
      <c r="W8" s="665">
        <f t="shared" si="2"/>
        <v>100</v>
      </c>
      <c r="X8" s="666"/>
      <c r="Y8" s="3459" t="s">
        <v>1681</v>
      </c>
      <c r="Z8" s="3460"/>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96"/>
      <c r="Q10" s="530" t="str">
        <f t="shared" si="6"/>
        <v>土地使用年限（年）</v>
      </c>
      <c r="R10" s="664" t="s">
        <v>14</v>
      </c>
      <c r="S10" s="665">
        <f t="shared" si="0"/>
        <v>111</v>
      </c>
      <c r="T10" s="664" t="s">
        <v>14</v>
      </c>
      <c r="U10" s="665">
        <f t="shared" si="1"/>
        <v>111</v>
      </c>
      <c r="V10" s="664" t="s">
        <v>14</v>
      </c>
      <c r="W10" s="665">
        <f t="shared" si="2"/>
        <v>111</v>
      </c>
      <c r="X10" s="666"/>
      <c r="Y10" s="3404"/>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96"/>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96"/>
      <c r="Q12" s="530" t="str">
        <f t="shared" si="6"/>
        <v>配建</v>
      </c>
      <c r="R12" s="664" t="s">
        <v>14</v>
      </c>
      <c r="S12" s="665">
        <f t="shared" si="0"/>
        <v>100</v>
      </c>
      <c r="T12" s="664" t="s">
        <v>14</v>
      </c>
      <c r="U12" s="665">
        <f t="shared" si="1"/>
        <v>100</v>
      </c>
      <c r="V12" s="664" t="s">
        <v>14</v>
      </c>
      <c r="W12" s="665">
        <f t="shared" si="2"/>
        <v>100</v>
      </c>
      <c r="X12" s="666"/>
      <c r="Y12" s="34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89" t="s">
        <v>1689</v>
      </c>
      <c r="Q15" s="1263" t="str">
        <f t="shared" si="6"/>
        <v>居住社区成熟度</v>
      </c>
      <c r="R15" s="667" t="s">
        <v>14</v>
      </c>
      <c r="S15" s="668">
        <f t="shared" si="0"/>
        <v>100</v>
      </c>
      <c r="T15" s="667" t="s">
        <v>14</v>
      </c>
      <c r="U15" s="668">
        <f t="shared" si="1"/>
        <v>100</v>
      </c>
      <c r="V15" s="667" t="s">
        <v>14</v>
      </c>
      <c r="W15" s="668">
        <f t="shared" si="2"/>
        <v>100</v>
      </c>
      <c r="X15" s="1265"/>
      <c r="Y15" s="348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90"/>
      <c r="Q16" s="1263"/>
      <c r="R16" s="667"/>
      <c r="S16" s="668"/>
      <c r="T16" s="667"/>
      <c r="U16" s="668"/>
      <c r="V16" s="667"/>
      <c r="W16" s="668"/>
      <c r="X16" s="1265"/>
      <c r="Y16" s="349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90"/>
      <c r="Q17" s="1263" t="str">
        <f>B17</f>
        <v>商业繁华度</v>
      </c>
      <c r="R17" s="667" t="s">
        <v>14</v>
      </c>
      <c r="S17" s="668">
        <f>F17</f>
        <v>100</v>
      </c>
      <c r="T17" s="667" t="s">
        <v>14</v>
      </c>
      <c r="U17" s="668">
        <f>H17</f>
        <v>100</v>
      </c>
      <c r="V17" s="667" t="s">
        <v>14</v>
      </c>
      <c r="W17" s="668">
        <f>J17</f>
        <v>100</v>
      </c>
      <c r="X17" s="1265"/>
      <c r="Y17" s="34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90"/>
      <c r="Q18" s="1263"/>
      <c r="R18" s="667"/>
      <c r="S18" s="668"/>
      <c r="T18" s="667"/>
      <c r="U18" s="668"/>
      <c r="V18" s="667"/>
      <c r="W18" s="668"/>
      <c r="X18" s="1265"/>
      <c r="Y18" s="349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90"/>
      <c r="Q19" s="1263" t="str">
        <f>B19</f>
        <v>办公集聚程度</v>
      </c>
      <c r="R19" s="667" t="s">
        <v>14</v>
      </c>
      <c r="S19" s="668">
        <f>F19</f>
        <v>100</v>
      </c>
      <c r="T19" s="667" t="s">
        <v>14</v>
      </c>
      <c r="U19" s="668">
        <f>H19</f>
        <v>100</v>
      </c>
      <c r="V19" s="667" t="s">
        <v>14</v>
      </c>
      <c r="W19" s="668">
        <f>J19</f>
        <v>100</v>
      </c>
      <c r="X19" s="1265"/>
      <c r="Y19" s="34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90"/>
      <c r="Q20" s="1263"/>
      <c r="R20" s="667"/>
      <c r="S20" s="668"/>
      <c r="T20" s="667"/>
      <c r="U20" s="668"/>
      <c r="V20" s="667"/>
      <c r="W20" s="668"/>
      <c r="X20" s="1265"/>
      <c r="Y20" s="349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90"/>
      <c r="Q21" s="1263" t="str">
        <f>B21</f>
        <v>交通便捷度</v>
      </c>
      <c r="R21" s="667" t="s">
        <v>14</v>
      </c>
      <c r="S21" s="668">
        <f>F21</f>
        <v>100</v>
      </c>
      <c r="T21" s="667" t="s">
        <v>14</v>
      </c>
      <c r="U21" s="668">
        <f>H21</f>
        <v>100</v>
      </c>
      <c r="V21" s="667" t="s">
        <v>14</v>
      </c>
      <c r="W21" s="668">
        <f>J21</f>
        <v>100</v>
      </c>
      <c r="X21" s="1265"/>
      <c r="Y21" s="34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90"/>
      <c r="Q22" s="1263"/>
      <c r="R22" s="667"/>
      <c r="S22" s="668"/>
      <c r="T22" s="667"/>
      <c r="U22" s="668"/>
      <c r="V22" s="667"/>
      <c r="W22" s="668"/>
      <c r="X22" s="1265"/>
      <c r="Y22" s="349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90"/>
      <c r="Q23" s="1263" t="str">
        <f t="shared" ref="Q23:Q37" si="8">B23</f>
        <v>区域土地利用方向</v>
      </c>
      <c r="R23" s="667" t="s">
        <v>14</v>
      </c>
      <c r="S23" s="668">
        <f>F23</f>
        <v>100</v>
      </c>
      <c r="T23" s="667" t="s">
        <v>14</v>
      </c>
      <c r="U23" s="668">
        <f>H23</f>
        <v>100</v>
      </c>
      <c r="V23" s="667" t="s">
        <v>14</v>
      </c>
      <c r="W23" s="668">
        <f>J23</f>
        <v>100</v>
      </c>
      <c r="X23" s="1265"/>
      <c r="Y23" s="34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90"/>
      <c r="Q24" s="1263"/>
      <c r="R24" s="667"/>
      <c r="S24" s="668"/>
      <c r="T24" s="667"/>
      <c r="U24" s="668"/>
      <c r="V24" s="667"/>
      <c r="W24" s="668"/>
      <c r="X24" s="1265"/>
      <c r="Y24" s="349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90"/>
      <c r="Q25" s="1263" t="str">
        <f t="shared" si="8"/>
        <v>自然及人文环境状况</v>
      </c>
      <c r="R25" s="667" t="s">
        <v>14</v>
      </c>
      <c r="S25" s="668">
        <f>F25</f>
        <v>100</v>
      </c>
      <c r="T25" s="667" t="s">
        <v>14</v>
      </c>
      <c r="U25" s="668">
        <f>H25</f>
        <v>100</v>
      </c>
      <c r="V25" s="667" t="s">
        <v>14</v>
      </c>
      <c r="W25" s="668">
        <f>J25</f>
        <v>100</v>
      </c>
      <c r="X25" s="1265"/>
      <c r="Y25" s="34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90"/>
      <c r="Q26" s="1263"/>
      <c r="R26" s="667"/>
      <c r="S26" s="668"/>
      <c r="T26" s="667"/>
      <c r="U26" s="668"/>
      <c r="V26" s="667"/>
      <c r="W26" s="668"/>
      <c r="X26" s="1265"/>
      <c r="Y26" s="349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90"/>
      <c r="Q27" s="530" t="str">
        <f t="shared" si="8"/>
        <v>公共配套设施</v>
      </c>
      <c r="R27" s="664" t="s">
        <v>14</v>
      </c>
      <c r="S27" s="665">
        <f>F27</f>
        <v>100</v>
      </c>
      <c r="T27" s="664" t="s">
        <v>14</v>
      </c>
      <c r="U27" s="665">
        <f>H27</f>
        <v>100</v>
      </c>
      <c r="V27" s="664" t="s">
        <v>14</v>
      </c>
      <c r="W27" s="665">
        <f>J27</f>
        <v>100</v>
      </c>
      <c r="X27" s="666"/>
      <c r="Y27" s="34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90"/>
      <c r="Q28" s="530"/>
      <c r="R28" s="664"/>
      <c r="S28" s="665"/>
      <c r="T28" s="664"/>
      <c r="U28" s="665"/>
      <c r="V28" s="664"/>
      <c r="W28" s="665"/>
      <c r="X28" s="666"/>
      <c r="Y28" s="349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90"/>
      <c r="Q29" s="530" t="str">
        <f t="shared" ref="Q29" si="9">B29</f>
        <v>基础设施水平</v>
      </c>
      <c r="R29" s="664" t="s">
        <v>14</v>
      </c>
      <c r="S29" s="665">
        <f>F29</f>
        <v>100</v>
      </c>
      <c r="T29" s="664" t="s">
        <v>14</v>
      </c>
      <c r="U29" s="665">
        <f>H29</f>
        <v>100</v>
      </c>
      <c r="V29" s="664" t="s">
        <v>14</v>
      </c>
      <c r="W29" s="665">
        <f>J29</f>
        <v>100</v>
      </c>
      <c r="X29" s="666"/>
      <c r="Y29" s="34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90"/>
      <c r="Q30" s="530"/>
      <c r="R30" s="664"/>
      <c r="S30" s="665"/>
      <c r="T30" s="664"/>
      <c r="U30" s="665"/>
      <c r="V30" s="664"/>
      <c r="W30" s="665"/>
      <c r="X30" s="666"/>
      <c r="Y30" s="349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90"/>
      <c r="Q32" s="1263" t="str">
        <f t="shared" si="8"/>
        <v>毗邻道路的类型与等级</v>
      </c>
      <c r="R32" s="667" t="s">
        <v>14</v>
      </c>
      <c r="S32" s="668">
        <f t="shared" si="10"/>
        <v>100</v>
      </c>
      <c r="T32" s="667" t="s">
        <v>14</v>
      </c>
      <c r="U32" s="668">
        <f t="shared" si="11"/>
        <v>100</v>
      </c>
      <c r="V32" s="667" t="s">
        <v>14</v>
      </c>
      <c r="W32" s="668">
        <f t="shared" si="12"/>
        <v>100</v>
      </c>
      <c r="X32" s="1265"/>
      <c r="Y32" s="34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90"/>
      <c r="Q33" s="1263"/>
      <c r="R33" s="667"/>
      <c r="S33" s="668"/>
      <c r="T33" s="667"/>
      <c r="U33" s="668"/>
      <c r="V33" s="667"/>
      <c r="W33" s="668"/>
      <c r="X33" s="1265"/>
      <c r="Y33" s="349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90"/>
      <c r="Q34" s="1263" t="str">
        <f t="shared" si="8"/>
        <v>土地级别</v>
      </c>
      <c r="R34" s="667" t="s">
        <v>14</v>
      </c>
      <c r="S34" s="668">
        <f t="shared" si="10"/>
        <v>100</v>
      </c>
      <c r="T34" s="667" t="s">
        <v>14</v>
      </c>
      <c r="U34" s="668">
        <f t="shared" si="11"/>
        <v>100</v>
      </c>
      <c r="V34" s="667" t="s">
        <v>14</v>
      </c>
      <c r="W34" s="668">
        <f t="shared" si="12"/>
        <v>100</v>
      </c>
      <c r="X34" s="1265"/>
      <c r="Y34" s="34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90"/>
      <c r="Q35" s="1263">
        <f t="shared" si="8"/>
        <v>111</v>
      </c>
      <c r="R35" s="667" t="s">
        <v>14</v>
      </c>
      <c r="S35" s="668">
        <f t="shared" si="10"/>
        <v>100</v>
      </c>
      <c r="T35" s="667" t="s">
        <v>14</v>
      </c>
      <c r="U35" s="668">
        <f t="shared" si="11"/>
        <v>100</v>
      </c>
      <c r="V35" s="667" t="s">
        <v>14</v>
      </c>
      <c r="W35" s="668">
        <f t="shared" si="12"/>
        <v>100</v>
      </c>
      <c r="X35" s="1265"/>
      <c r="Y35" s="34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17" t="s">
        <v>1694</v>
      </c>
      <c r="Q36" s="1263">
        <f t="shared" si="8"/>
        <v>111</v>
      </c>
      <c r="R36" s="667" t="s">
        <v>14</v>
      </c>
      <c r="S36" s="668">
        <f t="shared" si="10"/>
        <v>100</v>
      </c>
      <c r="T36" s="667" t="s">
        <v>14</v>
      </c>
      <c r="U36" s="668">
        <f t="shared" si="11"/>
        <v>100</v>
      </c>
      <c r="V36" s="667" t="s">
        <v>14</v>
      </c>
      <c r="W36" s="668">
        <f t="shared" si="12"/>
        <v>100</v>
      </c>
      <c r="X36" s="1265"/>
      <c r="Y36" s="349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4"/>
      <c r="Q37" s="1263">
        <f t="shared" si="8"/>
        <v>111</v>
      </c>
      <c r="R37" s="669" t="s">
        <v>14</v>
      </c>
      <c r="S37" s="670">
        <f t="shared" si="10"/>
        <v>100</v>
      </c>
      <c r="T37" s="669" t="s">
        <v>14</v>
      </c>
      <c r="U37" s="670">
        <f t="shared" si="11"/>
        <v>100</v>
      </c>
      <c r="V37" s="669" t="s">
        <v>14</v>
      </c>
      <c r="W37" s="670">
        <f t="shared" si="12"/>
        <v>100</v>
      </c>
      <c r="X37" s="671"/>
      <c r="Y37" s="3494"/>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94"/>
      <c r="Q38" s="1263" t="str">
        <f>B38</f>
        <v>宗地面积</v>
      </c>
      <c r="R38" s="667" t="s">
        <v>14</v>
      </c>
      <c r="S38" s="668">
        <f t="shared" si="10"/>
        <v>103</v>
      </c>
      <c r="T38" s="667" t="s">
        <v>14</v>
      </c>
      <c r="U38" s="668">
        <f t="shared" si="11"/>
        <v>101</v>
      </c>
      <c r="V38" s="667" t="s">
        <v>14</v>
      </c>
      <c r="W38" s="668">
        <f t="shared" si="12"/>
        <v>102</v>
      </c>
      <c r="X38" s="1265"/>
      <c r="Y38" s="3494"/>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4"/>
      <c r="Q39" s="1263" t="str">
        <f t="shared" ref="Q39:Q45" si="14">B39</f>
        <v>宗地形状</v>
      </c>
      <c r="R39" s="667" t="s">
        <v>14</v>
      </c>
      <c r="S39" s="668">
        <f t="shared" si="10"/>
        <v>100</v>
      </c>
      <c r="T39" s="667" t="s">
        <v>14</v>
      </c>
      <c r="U39" s="668">
        <f t="shared" si="11"/>
        <v>100</v>
      </c>
      <c r="V39" s="667" t="s">
        <v>14</v>
      </c>
      <c r="W39" s="668">
        <f t="shared" si="12"/>
        <v>100</v>
      </c>
      <c r="X39" s="1265"/>
      <c r="Y39" s="349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4"/>
      <c r="Q40" s="1263" t="str">
        <f t="shared" si="14"/>
        <v>临街宽度及深度</v>
      </c>
      <c r="R40" s="667" t="s">
        <v>14</v>
      </c>
      <c r="S40" s="668">
        <f t="shared" si="10"/>
        <v>100</v>
      </c>
      <c r="T40" s="667" t="s">
        <v>14</v>
      </c>
      <c r="U40" s="668">
        <f t="shared" si="11"/>
        <v>100</v>
      </c>
      <c r="V40" s="667" t="s">
        <v>14</v>
      </c>
      <c r="W40" s="668">
        <f t="shared" si="12"/>
        <v>100</v>
      </c>
      <c r="X40" s="1265"/>
      <c r="Y40" s="349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4"/>
      <c r="Q41" s="1263" t="str">
        <f t="shared" si="14"/>
        <v>宗地开发程度</v>
      </c>
      <c r="R41" s="664" t="s">
        <v>14</v>
      </c>
      <c r="S41" s="665">
        <f t="shared" si="10"/>
        <v>100</v>
      </c>
      <c r="T41" s="664" t="s">
        <v>14</v>
      </c>
      <c r="U41" s="665">
        <f t="shared" si="11"/>
        <v>100</v>
      </c>
      <c r="V41" s="664" t="s">
        <v>14</v>
      </c>
      <c r="W41" s="665">
        <f t="shared" si="12"/>
        <v>100</v>
      </c>
      <c r="X41" s="666"/>
      <c r="Y41" s="349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4" t="s">
        <v>1694</v>
      </c>
      <c r="Q42" s="1263" t="str">
        <f t="shared" si="14"/>
        <v>工程地质条件</v>
      </c>
      <c r="R42" s="667" t="s">
        <v>14</v>
      </c>
      <c r="S42" s="668">
        <f t="shared" si="10"/>
        <v>100</v>
      </c>
      <c r="T42" s="667" t="s">
        <v>14</v>
      </c>
      <c r="U42" s="668">
        <f t="shared" si="11"/>
        <v>100</v>
      </c>
      <c r="V42" s="667" t="s">
        <v>14</v>
      </c>
      <c r="W42" s="668">
        <f t="shared" si="12"/>
        <v>100</v>
      </c>
      <c r="X42" s="1265"/>
      <c r="Y42" s="349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4"/>
      <c r="Q43" s="1263">
        <f t="shared" si="14"/>
        <v>111</v>
      </c>
      <c r="R43" s="667" t="s">
        <v>14</v>
      </c>
      <c r="S43" s="668">
        <f t="shared" si="10"/>
        <v>100</v>
      </c>
      <c r="T43" s="667" t="s">
        <v>14</v>
      </c>
      <c r="U43" s="668">
        <f t="shared" si="11"/>
        <v>100</v>
      </c>
      <c r="V43" s="667" t="s">
        <v>14</v>
      </c>
      <c r="W43" s="668">
        <f t="shared" si="12"/>
        <v>100</v>
      </c>
      <c r="X43" s="1265"/>
      <c r="Y43" s="34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4"/>
      <c r="Q44" s="1263">
        <f t="shared" si="14"/>
        <v>111</v>
      </c>
      <c r="R44" s="667" t="s">
        <v>14</v>
      </c>
      <c r="S44" s="668">
        <f t="shared" si="10"/>
        <v>100</v>
      </c>
      <c r="T44" s="667" t="s">
        <v>14</v>
      </c>
      <c r="U44" s="668">
        <f t="shared" si="11"/>
        <v>100</v>
      </c>
      <c r="V44" s="667" t="s">
        <v>14</v>
      </c>
      <c r="W44" s="668">
        <f t="shared" si="12"/>
        <v>100</v>
      </c>
      <c r="X44" s="1265"/>
      <c r="Y44" s="34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4"/>
      <c r="Q45" s="1263">
        <f t="shared" si="14"/>
        <v>111</v>
      </c>
      <c r="R45" s="669" t="s">
        <v>14</v>
      </c>
      <c r="S45" s="670">
        <f t="shared" si="10"/>
        <v>100</v>
      </c>
      <c r="T45" s="669" t="s">
        <v>14</v>
      </c>
      <c r="U45" s="670">
        <f t="shared" si="11"/>
        <v>100</v>
      </c>
      <c r="V45" s="669" t="s">
        <v>14</v>
      </c>
      <c r="W45" s="670">
        <f t="shared" si="12"/>
        <v>100</v>
      </c>
      <c r="X45" s="671"/>
      <c r="Y45" s="3494"/>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96" t="str">
        <f>A46</f>
        <v>成交单价</v>
      </c>
      <c r="Q46" s="3496"/>
      <c r="R46" s="3458">
        <f>E46</f>
        <v>1388</v>
      </c>
      <c r="S46" s="3458"/>
      <c r="T46" s="3458">
        <f>G46</f>
        <v>1333</v>
      </c>
      <c r="U46" s="3458"/>
      <c r="V46" s="3458">
        <f>I46</f>
        <v>1388</v>
      </c>
      <c r="W46" s="3458"/>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96" t="str">
        <f>A47</f>
        <v>比较价值（元/平方米）</v>
      </c>
      <c r="Q47" s="3496"/>
      <c r="R47" s="3521">
        <f>ROUND(PRODUCT(R46,AA7:AA45),0)</f>
        <v>1214</v>
      </c>
      <c r="S47" s="3521"/>
      <c r="T47" s="3521">
        <f>ROUND(PRODUCT(T46,AB7:AB45),0)</f>
        <v>1189</v>
      </c>
      <c r="U47" s="3521"/>
      <c r="V47" s="3521">
        <f>ROUND(PRODUCT(V46,AC7:AC45),0)</f>
        <v>1226</v>
      </c>
      <c r="W47" s="3521"/>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97" t="str">
        <f>A48</f>
        <v>估价对象XX用房的比较价值（楼面单价，元/平方米）</v>
      </c>
      <c r="Q48" s="3498"/>
      <c r="R48" s="3522">
        <f>ROUND(IF(D47="简单平均",AVERAGE(R47:W47),R47*F47+T47*H47+V47*J47),0)</f>
        <v>1210</v>
      </c>
      <c r="S48" s="3522"/>
      <c r="T48" s="3522"/>
      <c r="U48" s="3522"/>
      <c r="V48" s="3522"/>
      <c r="W48" s="35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74" t="s">
        <v>1885</v>
      </c>
      <c r="H55" s="3523"/>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73"/>
      <c r="H56" s="34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500" t="s">
        <v>3433</v>
      </c>
      <c r="B1" s="3500" t="s">
        <v>3434</v>
      </c>
      <c r="C1" s="3500" t="s">
        <v>3435</v>
      </c>
      <c r="D1" s="3500" t="s">
        <v>3436</v>
      </c>
      <c r="E1" s="3500" t="s">
        <v>3437</v>
      </c>
      <c r="F1" s="3500" t="s">
        <v>3438</v>
      </c>
      <c r="G1" s="3500" t="s">
        <v>3439</v>
      </c>
      <c r="H1" s="3500" t="s">
        <v>3440</v>
      </c>
      <c r="I1" s="3500" t="s">
        <v>3441</v>
      </c>
      <c r="J1" s="3500" t="s">
        <v>3442</v>
      </c>
      <c r="K1" s="3500" t="s">
        <v>3443</v>
      </c>
      <c r="L1" s="3500" t="s">
        <v>3444</v>
      </c>
      <c r="M1" s="3500" t="s">
        <v>3445</v>
      </c>
      <c r="N1" s="3500" t="s">
        <v>3446</v>
      </c>
      <c r="O1" s="3500" t="s">
        <v>3447</v>
      </c>
      <c r="P1" s="3500" t="s">
        <v>3448</v>
      </c>
      <c r="Q1" s="3500" t="s">
        <v>3449</v>
      </c>
      <c r="R1" s="3500" t="s">
        <v>3450</v>
      </c>
      <c r="S1" s="3500" t="s">
        <v>3451</v>
      </c>
      <c r="T1" s="3500" t="s">
        <v>3452</v>
      </c>
    </row>
    <row r="2" spans="1:21" ht="14.25">
      <c r="A2" s="3500" t="s">
        <v>4791</v>
      </c>
      <c r="B2" s="3500" t="s">
        <v>3454</v>
      </c>
      <c r="C2" s="3500" t="s">
        <v>4792</v>
      </c>
      <c r="D2" s="3500" t="s">
        <v>3455</v>
      </c>
      <c r="E2" s="3500">
        <v>13550</v>
      </c>
      <c r="F2" s="3500">
        <v>47425</v>
      </c>
      <c r="G2" s="3500" t="s">
        <v>3925</v>
      </c>
      <c r="H2" s="3500" t="s">
        <v>3457</v>
      </c>
      <c r="I2" s="3500" t="s">
        <v>3407</v>
      </c>
      <c r="J2" s="3500" t="s">
        <v>3427</v>
      </c>
      <c r="K2" s="3500" t="s">
        <v>4793</v>
      </c>
      <c r="L2" s="3500" t="s">
        <v>4793</v>
      </c>
      <c r="M2" s="3500" t="s">
        <v>3460</v>
      </c>
      <c r="N2" s="3500" t="s">
        <v>4794</v>
      </c>
      <c r="O2" s="3500">
        <v>12201</v>
      </c>
      <c r="P2" s="3500">
        <v>2450</v>
      </c>
      <c r="Q2" s="3500" t="s">
        <v>4795</v>
      </c>
      <c r="R2" s="3500">
        <v>12201</v>
      </c>
      <c r="S2" s="3500">
        <v>2573</v>
      </c>
      <c r="T2" s="3500">
        <v>0</v>
      </c>
      <c r="U2">
        <f>R2/E2*10000</f>
        <v>9004.4280442804429</v>
      </c>
    </row>
    <row r="3" spans="1:21" s="3183" customFormat="1" ht="14.25">
      <c r="A3" s="3524" t="s">
        <v>4796</v>
      </c>
      <c r="B3" s="3524" t="s">
        <v>3454</v>
      </c>
      <c r="C3" s="3524" t="s">
        <v>4797</v>
      </c>
      <c r="D3" s="3524" t="s">
        <v>3464</v>
      </c>
      <c r="E3" s="3524">
        <v>21389</v>
      </c>
      <c r="F3" s="3524">
        <v>49194.7</v>
      </c>
      <c r="G3" s="3524" t="s">
        <v>3471</v>
      </c>
      <c r="H3" s="3524" t="s">
        <v>3457</v>
      </c>
      <c r="I3" s="3524" t="s">
        <v>3408</v>
      </c>
      <c r="J3" s="3524" t="s">
        <v>3427</v>
      </c>
      <c r="K3" s="3524" t="s">
        <v>4798</v>
      </c>
      <c r="L3" s="3524" t="s">
        <v>4798</v>
      </c>
      <c r="M3" s="3524" t="s">
        <v>3460</v>
      </c>
      <c r="N3" s="3524" t="s">
        <v>4799</v>
      </c>
      <c r="O3" s="3524">
        <v>16684</v>
      </c>
      <c r="P3" s="3524">
        <v>3337</v>
      </c>
      <c r="Q3" s="3524" t="s">
        <v>4800</v>
      </c>
      <c r="R3" s="3524">
        <v>20184</v>
      </c>
      <c r="S3" s="3524">
        <v>4103</v>
      </c>
      <c r="T3" s="3524">
        <v>20.98</v>
      </c>
      <c r="U3">
        <f t="shared" ref="U3:U57" si="0">R3/E3*10000</f>
        <v>9436.6263032399838</v>
      </c>
    </row>
    <row r="4" spans="1:21" s="3183" customFormat="1" ht="14.25">
      <c r="A4" s="3524" t="s">
        <v>4801</v>
      </c>
      <c r="B4" s="3524" t="s">
        <v>3454</v>
      </c>
      <c r="C4" s="3524" t="s">
        <v>4802</v>
      </c>
      <c r="D4" s="3524" t="s">
        <v>3464</v>
      </c>
      <c r="E4" s="3524">
        <v>36667</v>
      </c>
      <c r="F4" s="3524">
        <v>73334</v>
      </c>
      <c r="G4" s="3524" t="s">
        <v>3523</v>
      </c>
      <c r="H4" s="3524" t="s">
        <v>3457</v>
      </c>
      <c r="I4" s="3524" t="s">
        <v>3408</v>
      </c>
      <c r="J4" s="3524" t="s">
        <v>3427</v>
      </c>
      <c r="K4" s="3524" t="s">
        <v>4803</v>
      </c>
      <c r="L4" s="3524" t="s">
        <v>4803</v>
      </c>
      <c r="M4" s="3524" t="s">
        <v>3460</v>
      </c>
      <c r="N4" s="3524" t="s">
        <v>4172</v>
      </c>
      <c r="O4" s="3524">
        <v>10030</v>
      </c>
      <c r="P4" s="3524">
        <v>2006</v>
      </c>
      <c r="Q4" s="3524" t="s">
        <v>4804</v>
      </c>
      <c r="R4" s="3524">
        <v>10030</v>
      </c>
      <c r="S4" s="3524">
        <v>1368</v>
      </c>
      <c r="T4" s="3524">
        <v>0</v>
      </c>
      <c r="U4">
        <f t="shared" si="0"/>
        <v>2735.4296779120191</v>
      </c>
    </row>
    <row r="5" spans="1:21" ht="14.25">
      <c r="A5" s="3526" t="s">
        <v>4805</v>
      </c>
      <c r="B5" s="3526" t="s">
        <v>3454</v>
      </c>
      <c r="C5" s="3526" t="s">
        <v>4806</v>
      </c>
      <c r="D5" s="3526" t="s">
        <v>3455</v>
      </c>
      <c r="E5" s="3526">
        <v>21437</v>
      </c>
      <c r="F5" s="3526">
        <v>85748</v>
      </c>
      <c r="G5" s="3526" t="s">
        <v>3765</v>
      </c>
      <c r="H5" s="3526" t="s">
        <v>3457</v>
      </c>
      <c r="I5" s="3526" t="s">
        <v>3973</v>
      </c>
      <c r="J5" s="3526" t="s">
        <v>3427</v>
      </c>
      <c r="K5" s="3526" t="s">
        <v>4807</v>
      </c>
      <c r="L5" s="3526" t="s">
        <v>4807</v>
      </c>
      <c r="M5" s="3526" t="s">
        <v>3460</v>
      </c>
      <c r="N5" s="3526" t="s">
        <v>4808</v>
      </c>
      <c r="O5" s="3526">
        <v>11900</v>
      </c>
      <c r="P5" s="3526">
        <v>2380</v>
      </c>
      <c r="Q5" s="3526" t="s">
        <v>4809</v>
      </c>
      <c r="R5" s="3526">
        <v>11900</v>
      </c>
      <c r="S5" s="3526">
        <v>1388</v>
      </c>
      <c r="T5" s="3526">
        <v>0</v>
      </c>
      <c r="U5" s="3206">
        <f t="shared" si="0"/>
        <v>5551.1498810467883</v>
      </c>
    </row>
    <row r="6" spans="1:21" ht="14.25">
      <c r="A6" s="3500" t="s">
        <v>4810</v>
      </c>
      <c r="B6" s="3500" t="s">
        <v>3454</v>
      </c>
      <c r="C6" s="3500" t="s">
        <v>4811</v>
      </c>
      <c r="D6" s="3500" t="s">
        <v>3464</v>
      </c>
      <c r="E6" s="3500">
        <v>32728</v>
      </c>
      <c r="F6" s="3500">
        <v>75274.399999999994</v>
      </c>
      <c r="G6" s="3500" t="s">
        <v>4812</v>
      </c>
      <c r="H6" s="3500" t="s">
        <v>3457</v>
      </c>
      <c r="I6" s="3500" t="s">
        <v>3408</v>
      </c>
      <c r="J6" s="3500" t="s">
        <v>3427</v>
      </c>
      <c r="K6" s="3500" t="s">
        <v>4813</v>
      </c>
      <c r="L6" s="3500" t="s">
        <v>4813</v>
      </c>
      <c r="M6" s="3500" t="s">
        <v>3460</v>
      </c>
      <c r="N6" s="3500" t="s">
        <v>4814</v>
      </c>
      <c r="O6" s="3500">
        <v>21610</v>
      </c>
      <c r="P6" s="3500">
        <v>4330</v>
      </c>
      <c r="Q6" s="3500" t="s">
        <v>4815</v>
      </c>
      <c r="R6" s="3500">
        <v>21610</v>
      </c>
      <c r="S6" s="3500">
        <v>2871</v>
      </c>
      <c r="T6" s="3500">
        <v>0</v>
      </c>
      <c r="U6">
        <f t="shared" si="0"/>
        <v>6602.9088242483504</v>
      </c>
    </row>
    <row r="7" spans="1:21" s="3159" customFormat="1" ht="14.25">
      <c r="A7" s="3527" t="s">
        <v>4816</v>
      </c>
      <c r="B7" s="3527" t="s">
        <v>3454</v>
      </c>
      <c r="C7" s="3527" t="s">
        <v>4817</v>
      </c>
      <c r="D7" s="3527" t="s">
        <v>3464</v>
      </c>
      <c r="E7" s="3527">
        <v>19685</v>
      </c>
      <c r="F7" s="3527">
        <v>43307</v>
      </c>
      <c r="G7" s="3527" t="s">
        <v>4818</v>
      </c>
      <c r="H7" s="3527" t="s">
        <v>3457</v>
      </c>
      <c r="I7" s="3527" t="s">
        <v>3408</v>
      </c>
      <c r="J7" s="3527" t="s">
        <v>3427</v>
      </c>
      <c r="K7" s="3527" t="s">
        <v>4819</v>
      </c>
      <c r="L7" s="3527" t="s">
        <v>4819</v>
      </c>
      <c r="M7" s="3527" t="s">
        <v>3460</v>
      </c>
      <c r="N7" s="3527" t="s">
        <v>4820</v>
      </c>
      <c r="O7" s="3527">
        <v>13000</v>
      </c>
      <c r="P7" s="3527">
        <v>2600</v>
      </c>
      <c r="Q7" s="3527" t="s">
        <v>4821</v>
      </c>
      <c r="R7" s="3527">
        <v>13000</v>
      </c>
      <c r="S7" s="3527">
        <v>3002</v>
      </c>
      <c r="T7" s="3527">
        <v>0</v>
      </c>
      <c r="U7">
        <f t="shared" si="0"/>
        <v>6604.0132080264157</v>
      </c>
    </row>
    <row r="8" spans="1:21" ht="14.25">
      <c r="A8" s="3500" t="s">
        <v>4822</v>
      </c>
      <c r="B8" s="3500" t="s">
        <v>3454</v>
      </c>
      <c r="C8" s="3500" t="s">
        <v>4823</v>
      </c>
      <c r="D8" s="3500" t="s">
        <v>3455</v>
      </c>
      <c r="E8" s="3500">
        <v>26328</v>
      </c>
      <c r="F8" s="3500">
        <v>68452.800000000003</v>
      </c>
      <c r="G8" s="3500" t="s">
        <v>4824</v>
      </c>
      <c r="H8" s="3500" t="s">
        <v>3457</v>
      </c>
      <c r="I8" s="3500" t="s">
        <v>3407</v>
      </c>
      <c r="J8" s="3500" t="s">
        <v>3427</v>
      </c>
      <c r="K8" s="3500" t="s">
        <v>4825</v>
      </c>
      <c r="L8" s="3500" t="s">
        <v>4825</v>
      </c>
      <c r="M8" s="3500" t="s">
        <v>3460</v>
      </c>
      <c r="N8" s="3500" t="s">
        <v>4826</v>
      </c>
      <c r="O8" s="3500">
        <v>11850</v>
      </c>
      <c r="P8" s="3500">
        <v>2370</v>
      </c>
      <c r="Q8" s="3500" t="s">
        <v>4827</v>
      </c>
      <c r="R8" s="3500">
        <v>11850</v>
      </c>
      <c r="S8" s="3500">
        <v>1731</v>
      </c>
      <c r="T8" s="3500">
        <v>0</v>
      </c>
      <c r="U8">
        <f t="shared" si="0"/>
        <v>4500.9115770282588</v>
      </c>
    </row>
    <row r="9" spans="1:21" ht="14.25">
      <c r="A9" s="3500" t="s">
        <v>3480</v>
      </c>
      <c r="B9" s="3500" t="s">
        <v>3454</v>
      </c>
      <c r="C9" s="3500" t="s">
        <v>3481</v>
      </c>
      <c r="D9" s="3500" t="s">
        <v>3455</v>
      </c>
      <c r="E9" s="3500">
        <v>259</v>
      </c>
      <c r="F9" s="3500">
        <v>1554</v>
      </c>
      <c r="G9" s="3500" t="s">
        <v>3482</v>
      </c>
      <c r="H9" s="3500" t="s">
        <v>3457</v>
      </c>
      <c r="I9" s="3500" t="s">
        <v>3458</v>
      </c>
      <c r="J9" s="3500" t="s">
        <v>3427</v>
      </c>
      <c r="K9" s="3500" t="s">
        <v>3483</v>
      </c>
      <c r="L9" s="3500" t="s">
        <v>3483</v>
      </c>
      <c r="M9" s="3500" t="s">
        <v>3460</v>
      </c>
      <c r="N9" s="3500" t="s">
        <v>3484</v>
      </c>
      <c r="O9" s="3500">
        <v>160</v>
      </c>
      <c r="P9" s="3500">
        <v>40</v>
      </c>
      <c r="Q9" s="3500" t="s">
        <v>3485</v>
      </c>
      <c r="R9" s="3500">
        <v>160</v>
      </c>
      <c r="S9" s="3500">
        <v>1030</v>
      </c>
      <c r="T9" s="3500">
        <v>0</v>
      </c>
      <c r="U9">
        <f t="shared" si="0"/>
        <v>6177.6061776061779</v>
      </c>
    </row>
    <row r="10" spans="1:21" ht="14.25">
      <c r="A10" s="3526" t="s">
        <v>3486</v>
      </c>
      <c r="B10" s="3526" t="s">
        <v>3454</v>
      </c>
      <c r="C10" s="3526" t="s">
        <v>3487</v>
      </c>
      <c r="D10" s="3526" t="s">
        <v>3455</v>
      </c>
      <c r="E10" s="3526">
        <v>13940</v>
      </c>
      <c r="F10" s="3526">
        <v>55760</v>
      </c>
      <c r="G10" s="3526" t="s">
        <v>3488</v>
      </c>
      <c r="H10" s="3526" t="s">
        <v>3457</v>
      </c>
      <c r="I10" s="3526" t="s">
        <v>3458</v>
      </c>
      <c r="J10" s="3526" t="s">
        <v>3427</v>
      </c>
      <c r="K10" s="3526" t="s">
        <v>3483</v>
      </c>
      <c r="L10" s="3526" t="s">
        <v>3483</v>
      </c>
      <c r="M10" s="3526" t="s">
        <v>3460</v>
      </c>
      <c r="N10" s="3526" t="s">
        <v>3484</v>
      </c>
      <c r="O10" s="3526">
        <v>7430</v>
      </c>
      <c r="P10" s="3526">
        <v>1490</v>
      </c>
      <c r="Q10" s="3526" t="s">
        <v>3485</v>
      </c>
      <c r="R10" s="3526">
        <v>7430</v>
      </c>
      <c r="S10" s="3526">
        <v>1333</v>
      </c>
      <c r="T10" s="3526">
        <v>0</v>
      </c>
      <c r="U10" s="3206">
        <f t="shared" si="0"/>
        <v>5329.9856527977045</v>
      </c>
    </row>
    <row r="11" spans="1:21" s="3183" customFormat="1" ht="14.25">
      <c r="A11" s="3524" t="s">
        <v>3536</v>
      </c>
      <c r="B11" s="3524" t="s">
        <v>3454</v>
      </c>
      <c r="C11" s="3524" t="s">
        <v>3537</v>
      </c>
      <c r="D11" s="3524" t="s">
        <v>3455</v>
      </c>
      <c r="E11" s="3524">
        <v>6260</v>
      </c>
      <c r="F11" s="3524">
        <v>10016</v>
      </c>
      <c r="G11" s="3524" t="s">
        <v>3538</v>
      </c>
      <c r="H11" s="3524" t="s">
        <v>3457</v>
      </c>
      <c r="I11" s="3524" t="s">
        <v>3407</v>
      </c>
      <c r="J11" s="3524" t="s">
        <v>3427</v>
      </c>
      <c r="K11" s="3524" t="s">
        <v>3512</v>
      </c>
      <c r="L11" s="3524" t="s">
        <v>3512</v>
      </c>
      <c r="M11" s="3524" t="s">
        <v>3460</v>
      </c>
      <c r="N11" s="3524" t="s">
        <v>3539</v>
      </c>
      <c r="O11" s="3524">
        <v>3006</v>
      </c>
      <c r="P11" s="3524">
        <v>601</v>
      </c>
      <c r="Q11" s="3524" t="s">
        <v>3514</v>
      </c>
      <c r="R11" s="3524">
        <v>3006</v>
      </c>
      <c r="S11" s="3524">
        <v>3001</v>
      </c>
      <c r="T11" s="3524">
        <v>0</v>
      </c>
      <c r="U11">
        <f t="shared" si="0"/>
        <v>4801.9169329073484</v>
      </c>
    </row>
    <row r="12" spans="1:21" ht="14.25">
      <c r="A12" s="3500" t="s">
        <v>3544</v>
      </c>
      <c r="B12" s="3500" t="s">
        <v>3454</v>
      </c>
      <c r="C12" s="3500" t="s">
        <v>3545</v>
      </c>
      <c r="D12" s="3500" t="s">
        <v>3464</v>
      </c>
      <c r="E12" s="3500">
        <v>28649</v>
      </c>
      <c r="F12" s="3500">
        <v>74487.399999999994</v>
      </c>
      <c r="G12" s="3500" t="s">
        <v>3546</v>
      </c>
      <c r="H12" s="3500" t="s">
        <v>3457</v>
      </c>
      <c r="I12" s="3500" t="s">
        <v>3408</v>
      </c>
      <c r="J12" s="3500" t="s">
        <v>3427</v>
      </c>
      <c r="K12" s="3500" t="s">
        <v>3512</v>
      </c>
      <c r="L12" s="3500" t="s">
        <v>3512</v>
      </c>
      <c r="M12" s="3500" t="s">
        <v>3460</v>
      </c>
      <c r="N12" s="3500" t="s">
        <v>3539</v>
      </c>
      <c r="O12" s="3500">
        <v>50376</v>
      </c>
      <c r="P12" s="3500">
        <v>10677</v>
      </c>
      <c r="Q12" s="3500" t="s">
        <v>3514</v>
      </c>
      <c r="R12" s="3500">
        <v>53376</v>
      </c>
      <c r="S12" s="3500">
        <v>7166</v>
      </c>
      <c r="T12" s="3500">
        <v>5.96</v>
      </c>
      <c r="U12">
        <f t="shared" si="0"/>
        <v>18631.016789416735</v>
      </c>
    </row>
    <row r="13" spans="1:21" ht="14.25">
      <c r="A13" s="3500" t="s">
        <v>3717</v>
      </c>
      <c r="B13" s="3500" t="s">
        <v>3454</v>
      </c>
      <c r="C13" s="3500" t="s">
        <v>3718</v>
      </c>
      <c r="D13" s="3500" t="s">
        <v>3455</v>
      </c>
      <c r="E13" s="3500">
        <v>24170</v>
      </c>
      <c r="F13" s="3500">
        <v>31421</v>
      </c>
      <c r="G13" s="3500" t="s">
        <v>3719</v>
      </c>
      <c r="H13" s="3500" t="s">
        <v>3457</v>
      </c>
      <c r="I13" s="3500" t="s">
        <v>3407</v>
      </c>
      <c r="J13" s="3500" t="s">
        <v>3427</v>
      </c>
      <c r="K13" s="3500" t="s">
        <v>3705</v>
      </c>
      <c r="L13" s="3500" t="s">
        <v>3705</v>
      </c>
      <c r="M13" s="3500" t="s">
        <v>3460</v>
      </c>
      <c r="N13" s="3500" t="s">
        <v>3720</v>
      </c>
      <c r="O13" s="3500">
        <v>3210</v>
      </c>
      <c r="P13" s="3500">
        <v>642</v>
      </c>
      <c r="Q13" s="3500" t="s">
        <v>3706</v>
      </c>
      <c r="R13" s="3500">
        <v>3210</v>
      </c>
      <c r="S13" s="3500">
        <v>1022</v>
      </c>
      <c r="T13" s="3500">
        <v>0</v>
      </c>
      <c r="U13">
        <f t="shared" si="0"/>
        <v>1328.0926768721554</v>
      </c>
    </row>
    <row r="14" spans="1:21" ht="14.25">
      <c r="A14" s="3500" t="s">
        <v>3757</v>
      </c>
      <c r="B14" s="3500" t="s">
        <v>3454</v>
      </c>
      <c r="C14" s="3500" t="s">
        <v>3758</v>
      </c>
      <c r="D14" s="3500" t="s">
        <v>3455</v>
      </c>
      <c r="E14" s="3500">
        <v>20853</v>
      </c>
      <c r="F14" s="3500">
        <v>52132.5</v>
      </c>
      <c r="G14" s="3500" t="s">
        <v>3759</v>
      </c>
      <c r="H14" s="3500" t="s">
        <v>3457</v>
      </c>
      <c r="I14" s="3500" t="s">
        <v>3407</v>
      </c>
      <c r="J14" s="3500" t="s">
        <v>3427</v>
      </c>
      <c r="K14" s="3500" t="s">
        <v>3760</v>
      </c>
      <c r="L14" s="3500" t="s">
        <v>3760</v>
      </c>
      <c r="M14" s="3500" t="s">
        <v>3460</v>
      </c>
      <c r="N14" s="3500" t="s">
        <v>3761</v>
      </c>
      <c r="O14" s="3500">
        <v>9080</v>
      </c>
      <c r="P14" s="3500">
        <v>1820</v>
      </c>
      <c r="Q14" s="3500" t="s">
        <v>3762</v>
      </c>
      <c r="R14" s="3500">
        <v>9080</v>
      </c>
      <c r="S14" s="3500">
        <v>1742</v>
      </c>
      <c r="T14" s="3500">
        <v>0</v>
      </c>
      <c r="U14">
        <f t="shared" si="0"/>
        <v>4354.2895506641735</v>
      </c>
    </row>
    <row r="15" spans="1:21" s="3183" customFormat="1" ht="14.25">
      <c r="A15" s="3525" t="s">
        <v>3763</v>
      </c>
      <c r="B15" s="3525" t="s">
        <v>3454</v>
      </c>
      <c r="C15" s="3525" t="s">
        <v>3764</v>
      </c>
      <c r="D15" s="3525" t="s">
        <v>3455</v>
      </c>
      <c r="E15" s="3525">
        <v>19581</v>
      </c>
      <c r="F15" s="3525">
        <v>78324</v>
      </c>
      <c r="G15" s="3525" t="s">
        <v>3765</v>
      </c>
      <c r="H15" s="3525" t="s">
        <v>3457</v>
      </c>
      <c r="I15" s="3525" t="s">
        <v>3407</v>
      </c>
      <c r="J15" s="3525" t="s">
        <v>3427</v>
      </c>
      <c r="K15" s="3525" t="s">
        <v>3760</v>
      </c>
      <c r="L15" s="3525" t="s">
        <v>3760</v>
      </c>
      <c r="M15" s="3525" t="s">
        <v>3460</v>
      </c>
      <c r="N15" s="3525" t="s">
        <v>3761</v>
      </c>
      <c r="O15" s="3525">
        <v>10870</v>
      </c>
      <c r="P15" s="3525">
        <v>2180</v>
      </c>
      <c r="Q15" s="3525" t="s">
        <v>3762</v>
      </c>
      <c r="R15" s="3525">
        <v>10870</v>
      </c>
      <c r="S15" s="3525">
        <v>1388</v>
      </c>
      <c r="T15" s="3525">
        <v>0</v>
      </c>
      <c r="U15" s="3206">
        <f t="shared" si="0"/>
        <v>5551.299729329452</v>
      </c>
    </row>
    <row r="16" spans="1:21" ht="14.25">
      <c r="A16" s="3500" t="s">
        <v>3766</v>
      </c>
      <c r="B16" s="3500" t="s">
        <v>3454</v>
      </c>
      <c r="C16" s="3500" t="s">
        <v>3767</v>
      </c>
      <c r="D16" s="3500" t="s">
        <v>3464</v>
      </c>
      <c r="E16" s="3500">
        <v>20839</v>
      </c>
      <c r="F16" s="3500">
        <v>45845.8</v>
      </c>
      <c r="G16" s="3500" t="s">
        <v>3531</v>
      </c>
      <c r="H16" s="3500" t="s">
        <v>3457</v>
      </c>
      <c r="I16" s="3500" t="s">
        <v>3408</v>
      </c>
      <c r="J16" s="3500" t="s">
        <v>3427</v>
      </c>
      <c r="K16" s="3500" t="s">
        <v>3760</v>
      </c>
      <c r="L16" s="3500" t="s">
        <v>3760</v>
      </c>
      <c r="M16" s="3500" t="s">
        <v>3460</v>
      </c>
      <c r="N16" s="3500" t="s">
        <v>3761</v>
      </c>
      <c r="O16" s="3500">
        <v>13760</v>
      </c>
      <c r="P16" s="3500">
        <v>2760</v>
      </c>
      <c r="Q16" s="3500" t="s">
        <v>3762</v>
      </c>
      <c r="R16" s="3500">
        <v>13760</v>
      </c>
      <c r="S16" s="3500">
        <v>3001</v>
      </c>
      <c r="T16" s="3500">
        <v>0</v>
      </c>
      <c r="U16">
        <f t="shared" si="0"/>
        <v>6603.0039829166462</v>
      </c>
    </row>
    <row r="17" spans="1:21" ht="14.25">
      <c r="A17" s="3500" t="s">
        <v>3801</v>
      </c>
      <c r="B17" s="3500" t="s">
        <v>3454</v>
      </c>
      <c r="C17" s="3500" t="s">
        <v>3802</v>
      </c>
      <c r="D17" s="3500" t="s">
        <v>3464</v>
      </c>
      <c r="E17" s="3500">
        <v>62665</v>
      </c>
      <c r="F17" s="3500">
        <v>68931.5</v>
      </c>
      <c r="G17" s="3500" t="s">
        <v>3682</v>
      </c>
      <c r="H17" s="3500" t="s">
        <v>3457</v>
      </c>
      <c r="I17" s="3500" t="s">
        <v>3408</v>
      </c>
      <c r="J17" s="3500" t="s">
        <v>3427</v>
      </c>
      <c r="K17" s="3500" t="s">
        <v>3788</v>
      </c>
      <c r="L17" s="3500" t="s">
        <v>3788</v>
      </c>
      <c r="M17" s="3500" t="s">
        <v>3460</v>
      </c>
      <c r="N17" s="3500" t="s">
        <v>3803</v>
      </c>
      <c r="O17" s="3500">
        <v>47000</v>
      </c>
      <c r="P17" s="3500">
        <v>9400</v>
      </c>
      <c r="Q17" s="3500" t="s">
        <v>3790</v>
      </c>
      <c r="R17" s="3500">
        <v>47000</v>
      </c>
      <c r="S17" s="3500">
        <v>6818</v>
      </c>
      <c r="T17" s="3500">
        <v>0</v>
      </c>
      <c r="U17">
        <f t="shared" si="0"/>
        <v>7500.1994733902502</v>
      </c>
    </row>
    <row r="18" spans="1:21" ht="14.25">
      <c r="A18" s="3500" t="s">
        <v>3808</v>
      </c>
      <c r="B18" s="3500" t="s">
        <v>3454</v>
      </c>
      <c r="C18" s="3500" t="s">
        <v>3809</v>
      </c>
      <c r="D18" s="3500" t="s">
        <v>3464</v>
      </c>
      <c r="E18" s="3500">
        <v>29618</v>
      </c>
      <c r="F18" s="3500">
        <v>32579.8</v>
      </c>
      <c r="G18" s="3500" t="s">
        <v>3682</v>
      </c>
      <c r="H18" s="3500" t="s">
        <v>3457</v>
      </c>
      <c r="I18" s="3500" t="s">
        <v>3408</v>
      </c>
      <c r="J18" s="3500" t="s">
        <v>3427</v>
      </c>
      <c r="K18" s="3500" t="s">
        <v>3788</v>
      </c>
      <c r="L18" s="3500" t="s">
        <v>3788</v>
      </c>
      <c r="M18" s="3500" t="s">
        <v>3460</v>
      </c>
      <c r="N18" s="3500" t="s">
        <v>3803</v>
      </c>
      <c r="O18" s="3500">
        <v>22220</v>
      </c>
      <c r="P18" s="3500">
        <v>4450</v>
      </c>
      <c r="Q18" s="3500" t="s">
        <v>3790</v>
      </c>
      <c r="R18" s="3500">
        <v>25720</v>
      </c>
      <c r="S18" s="3500">
        <v>7894</v>
      </c>
      <c r="T18" s="3500">
        <v>15.75</v>
      </c>
      <c r="U18">
        <f t="shared" si="0"/>
        <v>8683.9084340603695</v>
      </c>
    </row>
    <row r="19" spans="1:21" s="3183" customFormat="1" ht="14.25">
      <c r="A19" s="3524" t="s">
        <v>3810</v>
      </c>
      <c r="B19" s="3524" t="s">
        <v>3454</v>
      </c>
      <c r="C19" s="3524" t="s">
        <v>3811</v>
      </c>
      <c r="D19" s="3524" t="s">
        <v>3455</v>
      </c>
      <c r="E19" s="3524">
        <v>2035</v>
      </c>
      <c r="F19" s="3524">
        <v>5291</v>
      </c>
      <c r="G19" s="3524" t="s">
        <v>3546</v>
      </c>
      <c r="H19" s="3524" t="s">
        <v>3457</v>
      </c>
      <c r="I19" s="3524" t="s">
        <v>3407</v>
      </c>
      <c r="J19" s="3524" t="s">
        <v>3427</v>
      </c>
      <c r="K19" s="3524" t="s">
        <v>3788</v>
      </c>
      <c r="L19" s="3524" t="s">
        <v>3788</v>
      </c>
      <c r="M19" s="3524" t="s">
        <v>3460</v>
      </c>
      <c r="N19" s="3524" t="s">
        <v>3812</v>
      </c>
      <c r="O19" s="3524">
        <v>1772</v>
      </c>
      <c r="P19" s="3524">
        <v>355</v>
      </c>
      <c r="Q19" s="3524" t="s">
        <v>3790</v>
      </c>
      <c r="R19" s="3524">
        <v>1772</v>
      </c>
      <c r="S19" s="3524">
        <v>3349</v>
      </c>
      <c r="T19" s="3524">
        <v>0</v>
      </c>
      <c r="U19">
        <f t="shared" si="0"/>
        <v>8707.6167076167076</v>
      </c>
    </row>
    <row r="20" spans="1:21" ht="14.25">
      <c r="A20" s="3500" t="s">
        <v>3813</v>
      </c>
      <c r="B20" s="3500" t="s">
        <v>3454</v>
      </c>
      <c r="C20" s="3500" t="s">
        <v>3814</v>
      </c>
      <c r="D20" s="3500" t="s">
        <v>3464</v>
      </c>
      <c r="E20" s="3500">
        <v>37590</v>
      </c>
      <c r="F20" s="3500">
        <v>41349</v>
      </c>
      <c r="G20" s="3500" t="s">
        <v>3682</v>
      </c>
      <c r="H20" s="3500" t="s">
        <v>3457</v>
      </c>
      <c r="I20" s="3500" t="s">
        <v>3408</v>
      </c>
      <c r="J20" s="3500" t="s">
        <v>3427</v>
      </c>
      <c r="K20" s="3500" t="s">
        <v>3788</v>
      </c>
      <c r="L20" s="3500" t="s">
        <v>3788</v>
      </c>
      <c r="M20" s="3500" t="s">
        <v>3460</v>
      </c>
      <c r="N20" s="3500" t="s">
        <v>3803</v>
      </c>
      <c r="O20" s="3500">
        <v>28200</v>
      </c>
      <c r="P20" s="3500">
        <v>5640</v>
      </c>
      <c r="Q20" s="3500" t="s">
        <v>3790</v>
      </c>
      <c r="R20" s="3500">
        <v>30700</v>
      </c>
      <c r="S20" s="3500">
        <v>7425</v>
      </c>
      <c r="T20" s="3500">
        <v>8.8699999999999992</v>
      </c>
      <c r="U20">
        <f t="shared" si="0"/>
        <v>8167.0657089651495</v>
      </c>
    </row>
    <row r="21" spans="1:21" ht="14.25">
      <c r="A21" s="3500" t="s">
        <v>3876</v>
      </c>
      <c r="B21" s="3500" t="s">
        <v>3454</v>
      </c>
      <c r="C21" s="3500" t="s">
        <v>3877</v>
      </c>
      <c r="D21" s="3500" t="s">
        <v>3455</v>
      </c>
      <c r="E21" s="3500">
        <v>14603</v>
      </c>
      <c r="F21" s="3500">
        <v>11682.4</v>
      </c>
      <c r="G21" s="3500" t="s">
        <v>3878</v>
      </c>
      <c r="H21" s="3500" t="s">
        <v>3457</v>
      </c>
      <c r="I21" s="3500" t="s">
        <v>3458</v>
      </c>
      <c r="J21" s="3500" t="s">
        <v>3427</v>
      </c>
      <c r="K21" s="3500" t="s">
        <v>3873</v>
      </c>
      <c r="L21" s="3500" t="s">
        <v>3873</v>
      </c>
      <c r="M21" s="3500" t="s">
        <v>3460</v>
      </c>
      <c r="N21" s="3500" t="s">
        <v>3879</v>
      </c>
      <c r="O21" s="3500">
        <v>3950</v>
      </c>
      <c r="P21" s="3500">
        <v>790</v>
      </c>
      <c r="Q21" s="3500" t="s">
        <v>3875</v>
      </c>
      <c r="R21" s="3500">
        <v>3950</v>
      </c>
      <c r="S21" s="3500">
        <v>3381</v>
      </c>
      <c r="T21" s="3500">
        <v>0</v>
      </c>
      <c r="U21">
        <f t="shared" si="0"/>
        <v>2704.9236458261998</v>
      </c>
    </row>
    <row r="22" spans="1:21" ht="14.25">
      <c r="A22" s="3500" t="s">
        <v>3881</v>
      </c>
      <c r="B22" s="3500" t="s">
        <v>3454</v>
      </c>
      <c r="C22" s="3500" t="s">
        <v>3882</v>
      </c>
      <c r="D22" s="3500" t="s">
        <v>3455</v>
      </c>
      <c r="E22" s="3500">
        <v>29047</v>
      </c>
      <c r="F22" s="3500">
        <v>23237.599999999999</v>
      </c>
      <c r="G22" s="3500" t="s">
        <v>3878</v>
      </c>
      <c r="H22" s="3500" t="s">
        <v>3457</v>
      </c>
      <c r="I22" s="3500" t="s">
        <v>3458</v>
      </c>
      <c r="J22" s="3500" t="s">
        <v>3427</v>
      </c>
      <c r="K22" s="3500" t="s">
        <v>3873</v>
      </c>
      <c r="L22" s="3500" t="s">
        <v>3873</v>
      </c>
      <c r="M22" s="3500" t="s">
        <v>3460</v>
      </c>
      <c r="N22" s="3500" t="s">
        <v>3879</v>
      </c>
      <c r="O22" s="3500">
        <v>7850</v>
      </c>
      <c r="P22" s="3500">
        <v>1570</v>
      </c>
      <c r="Q22" s="3500" t="s">
        <v>3875</v>
      </c>
      <c r="R22" s="3500">
        <v>7850</v>
      </c>
      <c r="S22" s="3500">
        <v>3378</v>
      </c>
      <c r="T22" s="3500">
        <v>0</v>
      </c>
      <c r="U22">
        <f t="shared" si="0"/>
        <v>2702.5166110097425</v>
      </c>
    </row>
    <row r="23" spans="1:21" ht="14.25">
      <c r="A23" s="3500" t="s">
        <v>3887</v>
      </c>
      <c r="B23" s="3500" t="s">
        <v>3454</v>
      </c>
      <c r="C23" s="3500" t="s">
        <v>3888</v>
      </c>
      <c r="D23" s="3500" t="s">
        <v>3455</v>
      </c>
      <c r="E23" s="3500">
        <v>6079</v>
      </c>
      <c r="F23" s="3500">
        <v>3647.4</v>
      </c>
      <c r="G23" s="3500" t="s">
        <v>3889</v>
      </c>
      <c r="H23" s="3500" t="s">
        <v>3457</v>
      </c>
      <c r="I23" s="3500" t="s">
        <v>3458</v>
      </c>
      <c r="J23" s="3500" t="s">
        <v>3427</v>
      </c>
      <c r="K23" s="3500" t="s">
        <v>3873</v>
      </c>
      <c r="L23" s="3500" t="s">
        <v>3873</v>
      </c>
      <c r="M23" s="3500" t="s">
        <v>3460</v>
      </c>
      <c r="N23" s="3500" t="s">
        <v>3879</v>
      </c>
      <c r="O23" s="3500">
        <v>1140</v>
      </c>
      <c r="P23" s="3500">
        <v>230</v>
      </c>
      <c r="Q23" s="3500" t="s">
        <v>3875</v>
      </c>
      <c r="R23" s="3500">
        <v>1140</v>
      </c>
      <c r="S23" s="3500">
        <v>3126</v>
      </c>
      <c r="T23" s="3500">
        <v>0</v>
      </c>
      <c r="U23">
        <f t="shared" si="0"/>
        <v>1875.3084388879752</v>
      </c>
    </row>
    <row r="24" spans="1:21" ht="14.25">
      <c r="A24" s="3500" t="s">
        <v>3890</v>
      </c>
      <c r="B24" s="3500" t="s">
        <v>3454</v>
      </c>
      <c r="C24" s="3500" t="s">
        <v>3891</v>
      </c>
      <c r="D24" s="3500" t="s">
        <v>3455</v>
      </c>
      <c r="E24" s="3500">
        <v>13260</v>
      </c>
      <c r="F24" s="3500">
        <v>10608</v>
      </c>
      <c r="G24" s="3500" t="s">
        <v>3878</v>
      </c>
      <c r="H24" s="3500" t="s">
        <v>3457</v>
      </c>
      <c r="I24" s="3500" t="s">
        <v>3458</v>
      </c>
      <c r="J24" s="3500" t="s">
        <v>3427</v>
      </c>
      <c r="K24" s="3500" t="s">
        <v>3873</v>
      </c>
      <c r="L24" s="3500" t="s">
        <v>3873</v>
      </c>
      <c r="M24" s="3500" t="s">
        <v>3460</v>
      </c>
      <c r="N24" s="3500" t="s">
        <v>3879</v>
      </c>
      <c r="O24" s="3500">
        <v>3590</v>
      </c>
      <c r="P24" s="3500">
        <v>720</v>
      </c>
      <c r="Q24" s="3500" t="s">
        <v>3875</v>
      </c>
      <c r="R24" s="3500">
        <v>3590</v>
      </c>
      <c r="S24" s="3500">
        <v>3384</v>
      </c>
      <c r="T24" s="3500">
        <v>0</v>
      </c>
      <c r="U24">
        <f t="shared" si="0"/>
        <v>2707.3906485671191</v>
      </c>
    </row>
    <row r="25" spans="1:21" ht="14.25">
      <c r="A25" s="3500" t="s">
        <v>3897</v>
      </c>
      <c r="B25" s="3500" t="s">
        <v>3454</v>
      </c>
      <c r="C25" s="3500" t="s">
        <v>3898</v>
      </c>
      <c r="D25" s="3500" t="s">
        <v>3455</v>
      </c>
      <c r="E25" s="3500">
        <v>56031</v>
      </c>
      <c r="F25" s="3500">
        <v>212917.8</v>
      </c>
      <c r="G25" s="3500" t="s">
        <v>3899</v>
      </c>
      <c r="H25" s="3500" t="s">
        <v>3457</v>
      </c>
      <c r="I25" s="3500" t="s">
        <v>3458</v>
      </c>
      <c r="J25" s="3500" t="s">
        <v>3427</v>
      </c>
      <c r="K25" s="3500" t="s">
        <v>3900</v>
      </c>
      <c r="L25" s="3500" t="s">
        <v>3900</v>
      </c>
      <c r="M25" s="3500" t="s">
        <v>3460</v>
      </c>
      <c r="N25" s="3500" t="s">
        <v>3901</v>
      </c>
      <c r="O25" s="3500">
        <v>31940</v>
      </c>
      <c r="P25" s="3500">
        <v>6390</v>
      </c>
      <c r="Q25" s="3500" t="s">
        <v>3902</v>
      </c>
      <c r="R25" s="3500">
        <v>31940</v>
      </c>
      <c r="S25" s="3500">
        <v>1500</v>
      </c>
      <c r="T25" s="3500">
        <v>0</v>
      </c>
      <c r="U25">
        <f t="shared" si="0"/>
        <v>5700.415841230747</v>
      </c>
    </row>
    <row r="26" spans="1:21" ht="14.25">
      <c r="A26" s="3500" t="s">
        <v>3958</v>
      </c>
      <c r="B26" s="3500" t="s">
        <v>3454</v>
      </c>
      <c r="C26" s="3500" t="s">
        <v>3959</v>
      </c>
      <c r="D26" s="3500" t="s">
        <v>3464</v>
      </c>
      <c r="E26" s="3500">
        <v>15468</v>
      </c>
      <c r="F26" s="3500">
        <v>34029.599999999999</v>
      </c>
      <c r="G26" s="3500" t="s">
        <v>3531</v>
      </c>
      <c r="H26" s="3500" t="s">
        <v>3457</v>
      </c>
      <c r="I26" s="3500" t="s">
        <v>3408</v>
      </c>
      <c r="J26" s="3500" t="s">
        <v>3427</v>
      </c>
      <c r="K26" s="3500" t="s">
        <v>3960</v>
      </c>
      <c r="L26" s="3500" t="s">
        <v>3960</v>
      </c>
      <c r="M26" s="3500" t="s">
        <v>3460</v>
      </c>
      <c r="N26" s="3500" t="s">
        <v>3961</v>
      </c>
      <c r="O26" s="3500">
        <v>11791</v>
      </c>
      <c r="P26" s="3500">
        <v>2359</v>
      </c>
      <c r="Q26" s="3500" t="s">
        <v>3962</v>
      </c>
      <c r="R26" s="3500">
        <v>11791</v>
      </c>
      <c r="S26" s="3500">
        <v>3465</v>
      </c>
      <c r="T26" s="3500">
        <v>0</v>
      </c>
      <c r="U26">
        <f t="shared" si="0"/>
        <v>7622.8342384277212</v>
      </c>
    </row>
    <row r="27" spans="1:21" ht="14.25">
      <c r="A27" s="3500" t="s">
        <v>4018</v>
      </c>
      <c r="B27" s="3500" t="s">
        <v>3454</v>
      </c>
      <c r="C27" s="3500" t="s">
        <v>4019</v>
      </c>
      <c r="D27" s="3500" t="s">
        <v>3455</v>
      </c>
      <c r="E27" s="3500">
        <v>19423</v>
      </c>
      <c r="F27" s="3500">
        <v>33019.1</v>
      </c>
      <c r="G27" s="3500" t="s">
        <v>4020</v>
      </c>
      <c r="H27" s="3500" t="s">
        <v>3457</v>
      </c>
      <c r="I27" s="3500" t="s">
        <v>3458</v>
      </c>
      <c r="J27" s="3500" t="s">
        <v>3427</v>
      </c>
      <c r="K27" s="3500" t="s">
        <v>4015</v>
      </c>
      <c r="L27" s="3500" t="s">
        <v>4015</v>
      </c>
      <c r="M27" s="3500" t="s">
        <v>3460</v>
      </c>
      <c r="N27" s="3500" t="s">
        <v>3879</v>
      </c>
      <c r="O27" s="3500">
        <v>7430</v>
      </c>
      <c r="P27" s="3500">
        <v>1490</v>
      </c>
      <c r="Q27" s="3500" t="s">
        <v>4017</v>
      </c>
      <c r="R27" s="3500">
        <v>7430</v>
      </c>
      <c r="S27" s="3500">
        <v>2250</v>
      </c>
      <c r="T27" s="3500">
        <v>0</v>
      </c>
      <c r="U27">
        <f t="shared" si="0"/>
        <v>3825.3616846007312</v>
      </c>
    </row>
    <row r="28" spans="1:21" s="3183" customFormat="1" ht="14.25">
      <c r="A28" s="3524" t="s">
        <v>4169</v>
      </c>
      <c r="B28" s="3524" t="s">
        <v>3454</v>
      </c>
      <c r="C28" s="3524" t="s">
        <v>4170</v>
      </c>
      <c r="D28" s="3524" t="s">
        <v>3464</v>
      </c>
      <c r="E28" s="3524">
        <v>81009</v>
      </c>
      <c r="F28" s="3524">
        <v>162018</v>
      </c>
      <c r="G28" s="3524" t="s">
        <v>3523</v>
      </c>
      <c r="H28" s="3524" t="s">
        <v>3457</v>
      </c>
      <c r="I28" s="3524" t="s">
        <v>3408</v>
      </c>
      <c r="J28" s="3524" t="s">
        <v>3427</v>
      </c>
      <c r="K28" s="3524" t="s">
        <v>4171</v>
      </c>
      <c r="L28" s="3524" t="s">
        <v>4171</v>
      </c>
      <c r="M28" s="3524" t="s">
        <v>3460</v>
      </c>
      <c r="N28" s="3524" t="s">
        <v>4172</v>
      </c>
      <c r="O28" s="3524">
        <v>31619</v>
      </c>
      <c r="P28" s="3524">
        <v>6324</v>
      </c>
      <c r="Q28" s="3524" t="s">
        <v>4173</v>
      </c>
      <c r="R28" s="3524">
        <v>31619</v>
      </c>
      <c r="S28" s="3524">
        <v>1952</v>
      </c>
      <c r="T28" s="3524">
        <v>0</v>
      </c>
      <c r="U28">
        <f t="shared" si="0"/>
        <v>3903.1465639620287</v>
      </c>
    </row>
    <row r="29" spans="1:21" ht="14.25">
      <c r="A29" s="3500" t="s">
        <v>4176</v>
      </c>
      <c r="B29" s="3500" t="s">
        <v>3454</v>
      </c>
      <c r="C29" s="3500" t="s">
        <v>4177</v>
      </c>
      <c r="D29" s="3500" t="s">
        <v>3464</v>
      </c>
      <c r="E29" s="3500">
        <v>9876</v>
      </c>
      <c r="F29" s="3500">
        <v>17776.8</v>
      </c>
      <c r="G29" s="3500" t="s">
        <v>4178</v>
      </c>
      <c r="H29" s="3500" t="s">
        <v>3457</v>
      </c>
      <c r="I29" s="3500" t="s">
        <v>3408</v>
      </c>
      <c r="J29" s="3500" t="s">
        <v>3427</v>
      </c>
      <c r="K29" s="3500" t="s">
        <v>4179</v>
      </c>
      <c r="L29" s="3500" t="s">
        <v>4179</v>
      </c>
      <c r="M29" s="3500" t="s">
        <v>3460</v>
      </c>
      <c r="N29" s="3500" t="s">
        <v>3484</v>
      </c>
      <c r="O29" s="3500">
        <v>6080</v>
      </c>
      <c r="P29" s="3500">
        <v>1980</v>
      </c>
      <c r="Q29" s="3500" t="s">
        <v>4180</v>
      </c>
      <c r="R29" s="3500">
        <v>6080</v>
      </c>
      <c r="S29" s="3500">
        <v>3420</v>
      </c>
      <c r="T29" s="3500">
        <v>0</v>
      </c>
      <c r="U29">
        <f t="shared" si="0"/>
        <v>6156.338598622925</v>
      </c>
    </row>
    <row r="30" spans="1:21" ht="14.25">
      <c r="A30" s="3500" t="s">
        <v>4181</v>
      </c>
      <c r="B30" s="3500" t="s">
        <v>3454</v>
      </c>
      <c r="C30" s="3500" t="s">
        <v>4182</v>
      </c>
      <c r="D30" s="3500" t="s">
        <v>3464</v>
      </c>
      <c r="E30" s="3500">
        <v>42162</v>
      </c>
      <c r="F30" s="3500">
        <v>84324</v>
      </c>
      <c r="G30" s="3500" t="s">
        <v>3728</v>
      </c>
      <c r="H30" s="3500" t="s">
        <v>3457</v>
      </c>
      <c r="I30" s="3500" t="s">
        <v>3408</v>
      </c>
      <c r="J30" s="3500" t="s">
        <v>3427</v>
      </c>
      <c r="K30" s="3500" t="s">
        <v>4179</v>
      </c>
      <c r="L30" s="3500" t="s">
        <v>4179</v>
      </c>
      <c r="M30" s="3500" t="s">
        <v>3460</v>
      </c>
      <c r="N30" s="3500" t="s">
        <v>4183</v>
      </c>
      <c r="O30" s="3500">
        <v>26570</v>
      </c>
      <c r="P30" s="3500">
        <v>5320</v>
      </c>
      <c r="Q30" s="3500" t="s">
        <v>4180</v>
      </c>
      <c r="R30" s="3500">
        <v>26570</v>
      </c>
      <c r="S30" s="3500">
        <v>3151</v>
      </c>
      <c r="T30" s="3500">
        <v>0</v>
      </c>
      <c r="U30">
        <f t="shared" si="0"/>
        <v>6301.88321237133</v>
      </c>
    </row>
    <row r="31" spans="1:21" ht="14.25">
      <c r="A31" s="3500" t="s">
        <v>4184</v>
      </c>
      <c r="B31" s="3500" t="s">
        <v>3454</v>
      </c>
      <c r="C31" s="3500" t="s">
        <v>4185</v>
      </c>
      <c r="D31" s="3500" t="s">
        <v>3455</v>
      </c>
      <c r="E31" s="3500">
        <v>96992</v>
      </c>
      <c r="F31" s="3500">
        <v>126089.60000000001</v>
      </c>
      <c r="G31" s="3500" t="s">
        <v>4083</v>
      </c>
      <c r="H31" s="3500" t="s">
        <v>3457</v>
      </c>
      <c r="I31" s="3500" t="s">
        <v>3973</v>
      </c>
      <c r="J31" s="3500" t="s">
        <v>3427</v>
      </c>
      <c r="K31" s="3500" t="s">
        <v>4179</v>
      </c>
      <c r="L31" s="3500" t="s">
        <v>4179</v>
      </c>
      <c r="M31" s="3500" t="s">
        <v>3460</v>
      </c>
      <c r="N31" s="3500" t="s">
        <v>4186</v>
      </c>
      <c r="O31" s="3500">
        <v>18920</v>
      </c>
      <c r="P31" s="3500">
        <v>3790</v>
      </c>
      <c r="Q31" s="3500" t="s">
        <v>4180</v>
      </c>
      <c r="R31" s="3500">
        <v>18920</v>
      </c>
      <c r="S31" s="3500">
        <v>1501</v>
      </c>
      <c r="T31" s="3500">
        <v>0</v>
      </c>
      <c r="U31">
        <f t="shared" si="0"/>
        <v>1950.6763444407788</v>
      </c>
    </row>
    <row r="32" spans="1:21" ht="14.25">
      <c r="A32" s="3500" t="s">
        <v>4187</v>
      </c>
      <c r="B32" s="3500" t="s">
        <v>3454</v>
      </c>
      <c r="C32" s="3500" t="s">
        <v>4188</v>
      </c>
      <c r="D32" s="3500" t="s">
        <v>3455</v>
      </c>
      <c r="E32" s="3500">
        <v>9014</v>
      </c>
      <c r="F32" s="3500">
        <v>22535</v>
      </c>
      <c r="G32" s="3500" t="s">
        <v>3511</v>
      </c>
      <c r="H32" s="3500" t="s">
        <v>3457</v>
      </c>
      <c r="I32" s="3500" t="s">
        <v>3407</v>
      </c>
      <c r="J32" s="3500" t="s">
        <v>3427</v>
      </c>
      <c r="K32" s="3500" t="s">
        <v>4179</v>
      </c>
      <c r="L32" s="3500" t="s">
        <v>4179</v>
      </c>
      <c r="M32" s="3500" t="s">
        <v>3460</v>
      </c>
      <c r="N32" s="3500" t="s">
        <v>3484</v>
      </c>
      <c r="O32" s="3500">
        <v>3790</v>
      </c>
      <c r="P32" s="3500">
        <v>1980</v>
      </c>
      <c r="Q32" s="3500" t="s">
        <v>4180</v>
      </c>
      <c r="R32" s="3500">
        <v>3790</v>
      </c>
      <c r="S32" s="3500">
        <v>1682</v>
      </c>
      <c r="T32" s="3500">
        <v>0</v>
      </c>
      <c r="U32">
        <f t="shared" si="0"/>
        <v>4204.570667850011</v>
      </c>
    </row>
    <row r="33" spans="1:21" ht="14.25">
      <c r="A33" s="3500" t="s">
        <v>4189</v>
      </c>
      <c r="B33" s="3500" t="s">
        <v>3454</v>
      </c>
      <c r="C33" s="3500" t="s">
        <v>4190</v>
      </c>
      <c r="D33" s="3500" t="s">
        <v>3455</v>
      </c>
      <c r="E33" s="3500">
        <v>3300</v>
      </c>
      <c r="F33" s="3500">
        <v>1980</v>
      </c>
      <c r="G33" s="3500" t="s">
        <v>3582</v>
      </c>
      <c r="H33" s="3500" t="s">
        <v>3457</v>
      </c>
      <c r="I33" s="3500" t="s">
        <v>3458</v>
      </c>
      <c r="J33" s="3500" t="s">
        <v>3427</v>
      </c>
      <c r="K33" s="3500" t="s">
        <v>4179</v>
      </c>
      <c r="L33" s="3500" t="s">
        <v>4179</v>
      </c>
      <c r="M33" s="3500" t="s">
        <v>3460</v>
      </c>
      <c r="N33" s="3500" t="s">
        <v>3879</v>
      </c>
      <c r="O33" s="3500">
        <v>620</v>
      </c>
      <c r="P33" s="3500">
        <v>130</v>
      </c>
      <c r="Q33" s="3500" t="s">
        <v>4180</v>
      </c>
      <c r="R33" s="3500">
        <v>620</v>
      </c>
      <c r="S33" s="3500">
        <v>3131</v>
      </c>
      <c r="T33" s="3500">
        <v>0</v>
      </c>
      <c r="U33">
        <f t="shared" si="0"/>
        <v>1878.7878787878788</v>
      </c>
    </row>
    <row r="34" spans="1:21" ht="14.25">
      <c r="A34" s="3500" t="s">
        <v>4229</v>
      </c>
      <c r="B34" s="3500" t="s">
        <v>3454</v>
      </c>
      <c r="C34" s="3500" t="s">
        <v>4230</v>
      </c>
      <c r="D34" s="3500" t="s">
        <v>3464</v>
      </c>
      <c r="E34" s="3500">
        <v>17149</v>
      </c>
      <c r="F34" s="3500">
        <v>20578.8</v>
      </c>
      <c r="G34" s="3500" t="s">
        <v>3773</v>
      </c>
      <c r="H34" s="3500" t="s">
        <v>3457</v>
      </c>
      <c r="I34" s="3500" t="s">
        <v>3408</v>
      </c>
      <c r="J34" s="3500" t="s">
        <v>3427</v>
      </c>
      <c r="K34" s="3500" t="s">
        <v>4231</v>
      </c>
      <c r="L34" s="3500" t="s">
        <v>4231</v>
      </c>
      <c r="M34" s="3500" t="s">
        <v>3460</v>
      </c>
      <c r="N34" s="3500" t="s">
        <v>4183</v>
      </c>
      <c r="O34" s="3500">
        <v>9270</v>
      </c>
      <c r="P34" s="3500">
        <v>4740</v>
      </c>
      <c r="Q34" s="3500" t="s">
        <v>4232</v>
      </c>
      <c r="R34" s="3500">
        <v>9270</v>
      </c>
      <c r="S34" s="3500">
        <v>4505</v>
      </c>
      <c r="T34" s="3500">
        <v>0</v>
      </c>
      <c r="U34">
        <f t="shared" si="0"/>
        <v>5405.5630065893056</v>
      </c>
    </row>
    <row r="35" spans="1:21" ht="14.25">
      <c r="A35" s="3500" t="s">
        <v>4233</v>
      </c>
      <c r="B35" s="3500" t="s">
        <v>3454</v>
      </c>
      <c r="C35" s="3500" t="s">
        <v>4234</v>
      </c>
      <c r="D35" s="3500" t="s">
        <v>3464</v>
      </c>
      <c r="E35" s="3500">
        <v>19070</v>
      </c>
      <c r="F35" s="3500">
        <v>26698</v>
      </c>
      <c r="G35" s="3500" t="s">
        <v>4235</v>
      </c>
      <c r="H35" s="3500" t="s">
        <v>3457</v>
      </c>
      <c r="I35" s="3500" t="s">
        <v>3408</v>
      </c>
      <c r="J35" s="3500" t="s">
        <v>3427</v>
      </c>
      <c r="K35" s="3500" t="s">
        <v>4231</v>
      </c>
      <c r="L35" s="3500" t="s">
        <v>4231</v>
      </c>
      <c r="M35" s="3500" t="s">
        <v>3460</v>
      </c>
      <c r="N35" s="3500" t="s">
        <v>4183</v>
      </c>
      <c r="O35" s="3500">
        <v>10880</v>
      </c>
      <c r="P35" s="3500">
        <v>4740</v>
      </c>
      <c r="Q35" s="3500" t="s">
        <v>4232</v>
      </c>
      <c r="R35" s="3500">
        <v>10880</v>
      </c>
      <c r="S35" s="3500">
        <v>4075</v>
      </c>
      <c r="T35" s="3500">
        <v>0</v>
      </c>
      <c r="U35">
        <f t="shared" si="0"/>
        <v>5705.296276874672</v>
      </c>
    </row>
    <row r="36" spans="1:21" ht="14.25">
      <c r="A36" s="3500" t="s">
        <v>4241</v>
      </c>
      <c r="B36" s="3500" t="s">
        <v>3454</v>
      </c>
      <c r="C36" s="3500" t="s">
        <v>4242</v>
      </c>
      <c r="D36" s="3500" t="s">
        <v>3455</v>
      </c>
      <c r="E36" s="3500">
        <v>11575</v>
      </c>
      <c r="F36" s="3500">
        <v>23150</v>
      </c>
      <c r="G36" s="3500" t="s">
        <v>3728</v>
      </c>
      <c r="H36" s="3500" t="s">
        <v>3457</v>
      </c>
      <c r="I36" s="3500" t="s">
        <v>3407</v>
      </c>
      <c r="J36" s="3500" t="s">
        <v>3427</v>
      </c>
      <c r="K36" s="3500" t="s">
        <v>4231</v>
      </c>
      <c r="L36" s="3500" t="s">
        <v>4231</v>
      </c>
      <c r="M36" s="3500" t="s">
        <v>3460</v>
      </c>
      <c r="N36" s="3500" t="s">
        <v>4183</v>
      </c>
      <c r="O36" s="3500">
        <v>3480</v>
      </c>
      <c r="P36" s="3500">
        <v>700</v>
      </c>
      <c r="Q36" s="3500" t="s">
        <v>4232</v>
      </c>
      <c r="R36" s="3500">
        <v>3480</v>
      </c>
      <c r="S36" s="3500">
        <v>1503</v>
      </c>
      <c r="T36" s="3500">
        <v>0</v>
      </c>
      <c r="U36">
        <f t="shared" si="0"/>
        <v>3006.4794816414687</v>
      </c>
    </row>
    <row r="37" spans="1:21" ht="14.25">
      <c r="A37" s="3500" t="s">
        <v>4828</v>
      </c>
      <c r="B37" s="3500" t="s">
        <v>3454</v>
      </c>
      <c r="C37" s="3500" t="s">
        <v>4829</v>
      </c>
      <c r="D37" s="3500" t="s">
        <v>3455</v>
      </c>
      <c r="E37" s="3500">
        <v>10008</v>
      </c>
      <c r="F37" s="3500">
        <v>25020</v>
      </c>
      <c r="G37" s="3500" t="s">
        <v>3511</v>
      </c>
      <c r="H37" s="3500" t="s">
        <v>3457</v>
      </c>
      <c r="I37" s="3500" t="s">
        <v>3407</v>
      </c>
      <c r="J37" s="3500" t="s">
        <v>3427</v>
      </c>
      <c r="K37" s="3500" t="s">
        <v>4830</v>
      </c>
      <c r="L37" s="3500" t="s">
        <v>4830</v>
      </c>
      <c r="M37" s="3500" t="s">
        <v>3460</v>
      </c>
      <c r="N37" s="3500" t="s">
        <v>3484</v>
      </c>
      <c r="O37" s="3500">
        <v>4210</v>
      </c>
      <c r="P37" s="3500">
        <v>2060</v>
      </c>
      <c r="Q37" s="3500" t="s">
        <v>4831</v>
      </c>
      <c r="R37" s="3500">
        <v>4210</v>
      </c>
      <c r="S37" s="3500">
        <v>1683</v>
      </c>
      <c r="T37" s="3500">
        <v>0</v>
      </c>
      <c r="U37">
        <f t="shared" si="0"/>
        <v>4206.6346922462026</v>
      </c>
    </row>
    <row r="38" spans="1:21" ht="14.25">
      <c r="A38" s="3500" t="s">
        <v>4832</v>
      </c>
      <c r="B38" s="3500" t="s">
        <v>3454</v>
      </c>
      <c r="C38" s="3500" t="s">
        <v>4833</v>
      </c>
      <c r="D38" s="3500" t="s">
        <v>3464</v>
      </c>
      <c r="E38" s="3500">
        <v>15711</v>
      </c>
      <c r="F38" s="3500">
        <v>36135.300000000003</v>
      </c>
      <c r="G38" s="3500" t="s">
        <v>3471</v>
      </c>
      <c r="H38" s="3500" t="s">
        <v>3457</v>
      </c>
      <c r="I38" s="3500" t="s">
        <v>3408</v>
      </c>
      <c r="J38" s="3500" t="s">
        <v>3427</v>
      </c>
      <c r="K38" s="3500" t="s">
        <v>4830</v>
      </c>
      <c r="L38" s="3500" t="s">
        <v>4830</v>
      </c>
      <c r="M38" s="3500" t="s">
        <v>3460</v>
      </c>
      <c r="N38" s="3500" t="s">
        <v>4183</v>
      </c>
      <c r="O38" s="3500">
        <v>9900</v>
      </c>
      <c r="P38" s="3500">
        <v>3640</v>
      </c>
      <c r="Q38" s="3500" t="s">
        <v>4831</v>
      </c>
      <c r="R38" s="3500">
        <v>9900</v>
      </c>
      <c r="S38" s="3500">
        <v>2740</v>
      </c>
      <c r="T38" s="3500">
        <v>0</v>
      </c>
      <c r="U38">
        <f t="shared" si="0"/>
        <v>6301.3175482146271</v>
      </c>
    </row>
    <row r="39" spans="1:21" ht="14.25">
      <c r="A39" s="3500" t="s">
        <v>4834</v>
      </c>
      <c r="B39" s="3500" t="s">
        <v>3454</v>
      </c>
      <c r="C39" s="3500" t="s">
        <v>4835</v>
      </c>
      <c r="D39" s="3500" t="s">
        <v>3455</v>
      </c>
      <c r="E39" s="3500">
        <v>19980</v>
      </c>
      <c r="F39" s="3500">
        <v>39960</v>
      </c>
      <c r="G39" s="3500" t="s">
        <v>3456</v>
      </c>
      <c r="H39" s="3500" t="s">
        <v>3457</v>
      </c>
      <c r="I39" s="3500" t="s">
        <v>3407</v>
      </c>
      <c r="J39" s="3500" t="s">
        <v>3427</v>
      </c>
      <c r="K39" s="3500" t="s">
        <v>4830</v>
      </c>
      <c r="L39" s="3500" t="s">
        <v>4830</v>
      </c>
      <c r="M39" s="3500" t="s">
        <v>3460</v>
      </c>
      <c r="N39" s="3500" t="s">
        <v>4836</v>
      </c>
      <c r="O39" s="3500">
        <v>7800</v>
      </c>
      <c r="P39" s="3500">
        <v>1560</v>
      </c>
      <c r="Q39" s="3500" t="s">
        <v>4831</v>
      </c>
      <c r="R39" s="3500">
        <v>7800</v>
      </c>
      <c r="S39" s="3500">
        <v>1952</v>
      </c>
      <c r="T39" s="3500">
        <v>0</v>
      </c>
      <c r="U39">
        <f t="shared" si="0"/>
        <v>3903.9039039039035</v>
      </c>
    </row>
    <row r="40" spans="1:21" ht="14.25">
      <c r="A40" s="3500" t="s">
        <v>4837</v>
      </c>
      <c r="B40" s="3500" t="s">
        <v>3454</v>
      </c>
      <c r="C40" s="3500" t="s">
        <v>4838</v>
      </c>
      <c r="D40" s="3500" t="s">
        <v>3455</v>
      </c>
      <c r="E40" s="3500">
        <v>14620</v>
      </c>
      <c r="F40" s="3500">
        <v>87720</v>
      </c>
      <c r="G40" s="3500" t="s">
        <v>4839</v>
      </c>
      <c r="H40" s="3500" t="s">
        <v>3457</v>
      </c>
      <c r="I40" s="3500" t="s">
        <v>3407</v>
      </c>
      <c r="J40" s="3500" t="s">
        <v>3427</v>
      </c>
      <c r="K40" s="3500" t="s">
        <v>4830</v>
      </c>
      <c r="L40" s="3500" t="s">
        <v>4830</v>
      </c>
      <c r="M40" s="3500" t="s">
        <v>3460</v>
      </c>
      <c r="N40" s="3500" t="s">
        <v>4183</v>
      </c>
      <c r="O40" s="3500">
        <v>7900</v>
      </c>
      <c r="P40" s="3500">
        <v>3240</v>
      </c>
      <c r="Q40" s="3500" t="s">
        <v>4831</v>
      </c>
      <c r="R40" s="3500">
        <v>7900</v>
      </c>
      <c r="S40" s="3500">
        <v>901</v>
      </c>
      <c r="T40" s="3500">
        <v>0</v>
      </c>
      <c r="U40">
        <f t="shared" si="0"/>
        <v>5403.5567715458274</v>
      </c>
    </row>
    <row r="41" spans="1:21" ht="14.25">
      <c r="A41" s="3500" t="s">
        <v>4840</v>
      </c>
      <c r="B41" s="3500" t="s">
        <v>3454</v>
      </c>
      <c r="C41" s="3500" t="s">
        <v>4841</v>
      </c>
      <c r="D41" s="3500" t="s">
        <v>3464</v>
      </c>
      <c r="E41" s="3500">
        <v>9787</v>
      </c>
      <c r="F41" s="3500">
        <v>17616.599999999999</v>
      </c>
      <c r="G41" s="3500" t="s">
        <v>4178</v>
      </c>
      <c r="H41" s="3500" t="s">
        <v>3457</v>
      </c>
      <c r="I41" s="3500" t="s">
        <v>3408</v>
      </c>
      <c r="J41" s="3500" t="s">
        <v>3427</v>
      </c>
      <c r="K41" s="3500" t="s">
        <v>4830</v>
      </c>
      <c r="L41" s="3500" t="s">
        <v>4830</v>
      </c>
      <c r="M41" s="3500" t="s">
        <v>3460</v>
      </c>
      <c r="N41" s="3500" t="s">
        <v>3484</v>
      </c>
      <c r="O41" s="3500">
        <v>6020</v>
      </c>
      <c r="P41" s="3500">
        <v>2060</v>
      </c>
      <c r="Q41" s="3500" t="s">
        <v>4831</v>
      </c>
      <c r="R41" s="3500">
        <v>6020</v>
      </c>
      <c r="S41" s="3500">
        <v>3417</v>
      </c>
      <c r="T41" s="3500">
        <v>0</v>
      </c>
      <c r="U41">
        <f t="shared" si="0"/>
        <v>6151.0166547460922</v>
      </c>
    </row>
    <row r="42" spans="1:21" ht="14.25">
      <c r="A42" s="3500" t="s">
        <v>4842</v>
      </c>
      <c r="B42" s="3500" t="s">
        <v>3454</v>
      </c>
      <c r="C42" s="3500" t="s">
        <v>4843</v>
      </c>
      <c r="D42" s="3500" t="s">
        <v>3455</v>
      </c>
      <c r="E42" s="3500">
        <v>15133</v>
      </c>
      <c r="F42" s="3500">
        <v>90798</v>
      </c>
      <c r="G42" s="3500" t="s">
        <v>4844</v>
      </c>
      <c r="H42" s="3500" t="s">
        <v>3457</v>
      </c>
      <c r="I42" s="3500" t="s">
        <v>3407</v>
      </c>
      <c r="J42" s="3500" t="s">
        <v>3427</v>
      </c>
      <c r="K42" s="3500" t="s">
        <v>4830</v>
      </c>
      <c r="L42" s="3500" t="s">
        <v>4830</v>
      </c>
      <c r="M42" s="3500" t="s">
        <v>3460</v>
      </c>
      <c r="N42" s="3500" t="s">
        <v>3484</v>
      </c>
      <c r="O42" s="3500">
        <v>8970</v>
      </c>
      <c r="P42" s="3500">
        <v>3940</v>
      </c>
      <c r="Q42" s="3500" t="s">
        <v>4831</v>
      </c>
      <c r="R42" s="3500">
        <v>8970</v>
      </c>
      <c r="S42" s="3500">
        <v>988</v>
      </c>
      <c r="T42" s="3500">
        <v>0</v>
      </c>
      <c r="U42">
        <f t="shared" si="0"/>
        <v>5927.4433357562939</v>
      </c>
    </row>
    <row r="43" spans="1:21" ht="14.25">
      <c r="A43" s="3500" t="s">
        <v>4845</v>
      </c>
      <c r="B43" s="3500" t="s">
        <v>3454</v>
      </c>
      <c r="C43" s="3500" t="s">
        <v>4846</v>
      </c>
      <c r="D43" s="3500" t="s">
        <v>3464</v>
      </c>
      <c r="E43" s="3500">
        <v>15711</v>
      </c>
      <c r="F43" s="3500">
        <v>36135.300000000003</v>
      </c>
      <c r="G43" s="3500" t="s">
        <v>3471</v>
      </c>
      <c r="H43" s="3500" t="s">
        <v>3457</v>
      </c>
      <c r="I43" s="3500" t="s">
        <v>3408</v>
      </c>
      <c r="J43" s="3500" t="s">
        <v>3427</v>
      </c>
      <c r="K43" s="3500" t="s">
        <v>4830</v>
      </c>
      <c r="L43" s="3500" t="s">
        <v>4830</v>
      </c>
      <c r="M43" s="3500" t="s">
        <v>3460</v>
      </c>
      <c r="N43" s="3500" t="s">
        <v>4183</v>
      </c>
      <c r="O43" s="3500">
        <v>9900</v>
      </c>
      <c r="P43" s="3500">
        <v>3540</v>
      </c>
      <c r="Q43" s="3500" t="s">
        <v>4831</v>
      </c>
      <c r="R43" s="3500">
        <v>9900</v>
      </c>
      <c r="S43" s="3500">
        <v>2740</v>
      </c>
      <c r="T43" s="3500">
        <v>0</v>
      </c>
      <c r="U43">
        <f t="shared" si="0"/>
        <v>6301.3175482146271</v>
      </c>
    </row>
    <row r="44" spans="1:21" ht="14.25">
      <c r="A44" s="3500" t="s">
        <v>4847</v>
      </c>
      <c r="B44" s="3500" t="s">
        <v>3454</v>
      </c>
      <c r="C44" s="3500" t="s">
        <v>4848</v>
      </c>
      <c r="D44" s="3500" t="s">
        <v>3455</v>
      </c>
      <c r="E44" s="3500">
        <v>15013</v>
      </c>
      <c r="F44" s="3500">
        <v>52545.5</v>
      </c>
      <c r="G44" s="3500" t="s">
        <v>4849</v>
      </c>
      <c r="H44" s="3500" t="s">
        <v>3457</v>
      </c>
      <c r="I44" s="3500" t="s">
        <v>3407</v>
      </c>
      <c r="J44" s="3500" t="s">
        <v>3427</v>
      </c>
      <c r="K44" s="3500" t="s">
        <v>4830</v>
      </c>
      <c r="L44" s="3500" t="s">
        <v>4830</v>
      </c>
      <c r="M44" s="3500" t="s">
        <v>3460</v>
      </c>
      <c r="N44" s="3500" t="s">
        <v>3484</v>
      </c>
      <c r="O44" s="3500">
        <v>7210</v>
      </c>
      <c r="P44" s="3500">
        <v>3280</v>
      </c>
      <c r="Q44" s="3500" t="s">
        <v>4831</v>
      </c>
      <c r="R44" s="3500">
        <v>7210</v>
      </c>
      <c r="S44" s="3500">
        <v>1372</v>
      </c>
      <c r="T44" s="3500">
        <v>0</v>
      </c>
      <c r="U44">
        <f t="shared" si="0"/>
        <v>4802.5044961033773</v>
      </c>
    </row>
    <row r="45" spans="1:21" ht="14.25">
      <c r="A45" s="3500" t="s">
        <v>4850</v>
      </c>
      <c r="B45" s="3500" t="s">
        <v>3454</v>
      </c>
      <c r="C45" s="3500" t="s">
        <v>4851</v>
      </c>
      <c r="D45" s="3500" t="s">
        <v>3455</v>
      </c>
      <c r="E45" s="3500">
        <v>15801</v>
      </c>
      <c r="F45" s="3500">
        <v>9480.6</v>
      </c>
      <c r="G45" s="3500" t="s">
        <v>3582</v>
      </c>
      <c r="H45" s="3500" t="s">
        <v>3457</v>
      </c>
      <c r="I45" s="3500" t="s">
        <v>3407</v>
      </c>
      <c r="J45" s="3500" t="s">
        <v>3427</v>
      </c>
      <c r="K45" s="3500" t="s">
        <v>4830</v>
      </c>
      <c r="L45" s="3500" t="s">
        <v>4830</v>
      </c>
      <c r="M45" s="3500" t="s">
        <v>3460</v>
      </c>
      <c r="N45" s="3500" t="s">
        <v>3879</v>
      </c>
      <c r="O45" s="3500">
        <v>2970</v>
      </c>
      <c r="P45" s="3500">
        <v>600</v>
      </c>
      <c r="Q45" s="3500" t="s">
        <v>4831</v>
      </c>
      <c r="R45" s="3500">
        <v>2970</v>
      </c>
      <c r="S45" s="3500">
        <v>3133</v>
      </c>
      <c r="T45" s="3500">
        <v>0</v>
      </c>
      <c r="U45">
        <f t="shared" si="0"/>
        <v>1879.6278716536929</v>
      </c>
    </row>
    <row r="46" spans="1:21" ht="14.25">
      <c r="A46" s="3500" t="s">
        <v>4852</v>
      </c>
      <c r="B46" s="3500" t="s">
        <v>3454</v>
      </c>
      <c r="C46" s="3500" t="s">
        <v>4853</v>
      </c>
      <c r="D46" s="3500" t="s">
        <v>3464</v>
      </c>
      <c r="E46" s="3500">
        <v>22810</v>
      </c>
      <c r="F46" s="3500">
        <v>50182</v>
      </c>
      <c r="G46" s="3500" t="s">
        <v>3531</v>
      </c>
      <c r="H46" s="3500" t="s">
        <v>3457</v>
      </c>
      <c r="I46" s="3500" t="s">
        <v>3408</v>
      </c>
      <c r="J46" s="3500" t="s">
        <v>3427</v>
      </c>
      <c r="K46" s="3500" t="s">
        <v>4830</v>
      </c>
      <c r="L46" s="3500" t="s">
        <v>4830</v>
      </c>
      <c r="M46" s="3500" t="s">
        <v>3460</v>
      </c>
      <c r="N46" s="3500" t="s">
        <v>4183</v>
      </c>
      <c r="O46" s="3500">
        <v>14380</v>
      </c>
      <c r="P46" s="3500">
        <v>5500</v>
      </c>
      <c r="Q46" s="3500" t="s">
        <v>4831</v>
      </c>
      <c r="R46" s="3500">
        <v>14380</v>
      </c>
      <c r="S46" s="3500">
        <v>2866</v>
      </c>
      <c r="T46" s="3500">
        <v>0</v>
      </c>
      <c r="U46">
        <f t="shared" si="0"/>
        <v>6304.2525208241996</v>
      </c>
    </row>
    <row r="47" spans="1:21" ht="14.25">
      <c r="A47" s="3500" t="s">
        <v>4854</v>
      </c>
      <c r="B47" s="3500" t="s">
        <v>3454</v>
      </c>
      <c r="C47" s="3500" t="s">
        <v>4855</v>
      </c>
      <c r="D47" s="3500" t="s">
        <v>3455</v>
      </c>
      <c r="E47" s="3500">
        <v>32069</v>
      </c>
      <c r="F47" s="3500">
        <v>32069</v>
      </c>
      <c r="G47" s="3500" t="s">
        <v>3636</v>
      </c>
      <c r="H47" s="3500" t="s">
        <v>3457</v>
      </c>
      <c r="I47" s="3500" t="s">
        <v>3407</v>
      </c>
      <c r="J47" s="3500" t="s">
        <v>3427</v>
      </c>
      <c r="K47" s="3500" t="s">
        <v>4830</v>
      </c>
      <c r="L47" s="3500" t="s">
        <v>4830</v>
      </c>
      <c r="M47" s="3500" t="s">
        <v>3460</v>
      </c>
      <c r="N47" s="3500" t="s">
        <v>3879</v>
      </c>
      <c r="O47" s="3500">
        <v>9870</v>
      </c>
      <c r="P47" s="3500">
        <v>1980</v>
      </c>
      <c r="Q47" s="3500" t="s">
        <v>4831</v>
      </c>
      <c r="R47" s="3500">
        <v>9870</v>
      </c>
      <c r="S47" s="3500">
        <v>3078</v>
      </c>
      <c r="T47" s="3500">
        <v>0</v>
      </c>
      <c r="U47">
        <f t="shared" si="0"/>
        <v>3077.7386260874991</v>
      </c>
    </row>
    <row r="48" spans="1:21" ht="14.25">
      <c r="A48" s="3500" t="s">
        <v>4856</v>
      </c>
      <c r="B48" s="3500" t="s">
        <v>3454</v>
      </c>
      <c r="C48" s="3500" t="s">
        <v>4857</v>
      </c>
      <c r="D48" s="3500" t="s">
        <v>3455</v>
      </c>
      <c r="E48" s="3500">
        <v>10870</v>
      </c>
      <c r="F48" s="3500">
        <v>6522</v>
      </c>
      <c r="G48" s="3500" t="s">
        <v>3582</v>
      </c>
      <c r="H48" s="3500" t="s">
        <v>3457</v>
      </c>
      <c r="I48" s="3500" t="s">
        <v>3407</v>
      </c>
      <c r="J48" s="3500" t="s">
        <v>3427</v>
      </c>
      <c r="K48" s="3500" t="s">
        <v>4830</v>
      </c>
      <c r="L48" s="3500" t="s">
        <v>4830</v>
      </c>
      <c r="M48" s="3500" t="s">
        <v>3460</v>
      </c>
      <c r="N48" s="3500" t="s">
        <v>3879</v>
      </c>
      <c r="O48" s="3500">
        <v>2040</v>
      </c>
      <c r="P48" s="3500">
        <v>410</v>
      </c>
      <c r="Q48" s="3500" t="s">
        <v>4831</v>
      </c>
      <c r="R48" s="3500">
        <v>2040</v>
      </c>
      <c r="S48" s="3500">
        <v>3128</v>
      </c>
      <c r="T48" s="3500">
        <v>0</v>
      </c>
      <c r="U48">
        <f t="shared" si="0"/>
        <v>1876.7249310027598</v>
      </c>
    </row>
    <row r="49" spans="1:21" ht="14.25">
      <c r="A49" s="3500" t="s">
        <v>4858</v>
      </c>
      <c r="B49" s="3500" t="s">
        <v>3454</v>
      </c>
      <c r="C49" s="3500" t="s">
        <v>4859</v>
      </c>
      <c r="D49" s="3500" t="s">
        <v>3464</v>
      </c>
      <c r="E49" s="3500">
        <v>13366</v>
      </c>
      <c r="F49" s="3500">
        <v>30741.8</v>
      </c>
      <c r="G49" s="3500" t="s">
        <v>3471</v>
      </c>
      <c r="H49" s="3500" t="s">
        <v>3457</v>
      </c>
      <c r="I49" s="3500" t="s">
        <v>3408</v>
      </c>
      <c r="J49" s="3500" t="s">
        <v>3427</v>
      </c>
      <c r="K49" s="3500" t="s">
        <v>4830</v>
      </c>
      <c r="L49" s="3500" t="s">
        <v>4830</v>
      </c>
      <c r="M49" s="3500" t="s">
        <v>3460</v>
      </c>
      <c r="N49" s="3500" t="s">
        <v>4183</v>
      </c>
      <c r="O49" s="3500">
        <v>8430</v>
      </c>
      <c r="P49" s="3500">
        <v>1690</v>
      </c>
      <c r="Q49" s="3500" t="s">
        <v>4831</v>
      </c>
      <c r="R49" s="3500">
        <v>8430</v>
      </c>
      <c r="S49" s="3500">
        <v>2742</v>
      </c>
      <c r="T49" s="3500">
        <v>0</v>
      </c>
      <c r="U49">
        <f t="shared" si="0"/>
        <v>6307.047733054018</v>
      </c>
    </row>
    <row r="50" spans="1:21" ht="14.25">
      <c r="A50" s="3500" t="s">
        <v>4860</v>
      </c>
      <c r="B50" s="3500" t="s">
        <v>3454</v>
      </c>
      <c r="C50" s="3500" t="s">
        <v>4861</v>
      </c>
      <c r="D50" s="3500" t="s">
        <v>3464</v>
      </c>
      <c r="E50" s="3500">
        <v>14515</v>
      </c>
      <c r="F50" s="3500">
        <v>31933</v>
      </c>
      <c r="G50" s="3500" t="s">
        <v>3531</v>
      </c>
      <c r="H50" s="3500" t="s">
        <v>3457</v>
      </c>
      <c r="I50" s="3500" t="s">
        <v>3408</v>
      </c>
      <c r="J50" s="3500" t="s">
        <v>3427</v>
      </c>
      <c r="K50" s="3500" t="s">
        <v>4830</v>
      </c>
      <c r="L50" s="3500" t="s">
        <v>4830</v>
      </c>
      <c r="M50" s="3500" t="s">
        <v>3460</v>
      </c>
      <c r="N50" s="3500" t="s">
        <v>3484</v>
      </c>
      <c r="O50" s="3500">
        <v>9150</v>
      </c>
      <c r="P50" s="3500">
        <v>3280</v>
      </c>
      <c r="Q50" s="3500" t="s">
        <v>4831</v>
      </c>
      <c r="R50" s="3500">
        <v>9150</v>
      </c>
      <c r="S50" s="3500">
        <v>2865</v>
      </c>
      <c r="T50" s="3500">
        <v>0</v>
      </c>
      <c r="U50">
        <f t="shared" si="0"/>
        <v>6303.8236307268344</v>
      </c>
    </row>
    <row r="51" spans="1:21" ht="14.25">
      <c r="A51" s="3500" t="s">
        <v>4862</v>
      </c>
      <c r="B51" s="3500" t="s">
        <v>3454</v>
      </c>
      <c r="C51" s="3500" t="s">
        <v>4863</v>
      </c>
      <c r="D51" s="3500" t="s">
        <v>3455</v>
      </c>
      <c r="E51" s="3500">
        <v>21362</v>
      </c>
      <c r="F51" s="3500">
        <v>12817.2</v>
      </c>
      <c r="G51" s="3500" t="s">
        <v>3582</v>
      </c>
      <c r="H51" s="3500" t="s">
        <v>3457</v>
      </c>
      <c r="I51" s="3500" t="s">
        <v>3407</v>
      </c>
      <c r="J51" s="3500" t="s">
        <v>3427</v>
      </c>
      <c r="K51" s="3500" t="s">
        <v>4830</v>
      </c>
      <c r="L51" s="3500" t="s">
        <v>4830</v>
      </c>
      <c r="M51" s="3500" t="s">
        <v>3460</v>
      </c>
      <c r="N51" s="3500" t="s">
        <v>3879</v>
      </c>
      <c r="O51" s="3500">
        <v>4010</v>
      </c>
      <c r="P51" s="3500">
        <v>810</v>
      </c>
      <c r="Q51" s="3500" t="s">
        <v>4831</v>
      </c>
      <c r="R51" s="3500">
        <v>4010</v>
      </c>
      <c r="S51" s="3500">
        <v>3129</v>
      </c>
      <c r="T51" s="3500">
        <v>0</v>
      </c>
      <c r="U51">
        <f t="shared" si="0"/>
        <v>1877.1650594513621</v>
      </c>
    </row>
    <row r="52" spans="1:21" ht="14.25">
      <c r="A52" s="3500" t="s">
        <v>3453</v>
      </c>
      <c r="B52" s="3500" t="s">
        <v>3454</v>
      </c>
      <c r="C52" s="3500" t="s">
        <v>3453</v>
      </c>
      <c r="D52" s="3500" t="s">
        <v>3455</v>
      </c>
      <c r="E52" s="3500">
        <v>18000</v>
      </c>
      <c r="F52" s="3500">
        <v>36000</v>
      </c>
      <c r="G52" s="3500" t="s">
        <v>3456</v>
      </c>
      <c r="H52" s="3500" t="s">
        <v>3457</v>
      </c>
      <c r="I52" s="3500" t="s">
        <v>3458</v>
      </c>
      <c r="J52" s="3500" t="s">
        <v>3427</v>
      </c>
      <c r="K52" s="3500" t="s">
        <v>3459</v>
      </c>
      <c r="L52" s="3500" t="s">
        <v>3459</v>
      </c>
      <c r="M52" s="3500" t="s">
        <v>3460</v>
      </c>
      <c r="N52" s="3500" t="s">
        <v>3461</v>
      </c>
      <c r="O52" s="3500">
        <v>5400</v>
      </c>
      <c r="P52" s="3500">
        <v>1700</v>
      </c>
      <c r="Q52" s="3500" t="s">
        <v>3462</v>
      </c>
      <c r="R52" s="3500">
        <v>5400</v>
      </c>
      <c r="S52" s="3500">
        <v>1500</v>
      </c>
      <c r="T52" s="3500">
        <v>0</v>
      </c>
      <c r="U52">
        <f t="shared" si="0"/>
        <v>3000</v>
      </c>
    </row>
    <row r="53" spans="1:21" ht="14.25">
      <c r="A53" s="3500" t="s">
        <v>3463</v>
      </c>
      <c r="B53" s="3500" t="s">
        <v>3454</v>
      </c>
      <c r="C53" s="3500" t="s">
        <v>3463</v>
      </c>
      <c r="D53" s="3500" t="s">
        <v>3464</v>
      </c>
      <c r="E53" s="3500">
        <v>8667</v>
      </c>
      <c r="F53" s="3500">
        <v>15600.6</v>
      </c>
      <c r="G53" s="3500" t="s">
        <v>3465</v>
      </c>
      <c r="H53" s="3500" t="s">
        <v>3457</v>
      </c>
      <c r="I53" s="3500" t="s">
        <v>3408</v>
      </c>
      <c r="J53" s="3500" t="s">
        <v>3427</v>
      </c>
      <c r="K53" s="3500" t="s">
        <v>3459</v>
      </c>
      <c r="L53" s="3500" t="s">
        <v>3459</v>
      </c>
      <c r="M53" s="3500" t="s">
        <v>3460</v>
      </c>
      <c r="N53" s="3500" t="s">
        <v>3466</v>
      </c>
      <c r="O53" s="3500">
        <v>2600</v>
      </c>
      <c r="P53" s="3500">
        <v>780</v>
      </c>
      <c r="Q53" s="3500" t="s">
        <v>3462</v>
      </c>
      <c r="R53" s="3500">
        <v>2600</v>
      </c>
      <c r="S53" s="3500">
        <v>1667</v>
      </c>
      <c r="T53" s="3500">
        <v>0</v>
      </c>
      <c r="U53">
        <f t="shared" si="0"/>
        <v>2999.8846198223146</v>
      </c>
    </row>
    <row r="54" spans="1:21" ht="14.25">
      <c r="A54" s="3500" t="s">
        <v>3467</v>
      </c>
      <c r="B54" s="3500" t="s">
        <v>3454</v>
      </c>
      <c r="C54" s="3500" t="s">
        <v>3467</v>
      </c>
      <c r="D54" s="3500" t="s">
        <v>3464</v>
      </c>
      <c r="E54" s="3500">
        <v>16667</v>
      </c>
      <c r="F54" s="3500">
        <v>30000.6</v>
      </c>
      <c r="G54" s="3500" t="s">
        <v>3465</v>
      </c>
      <c r="H54" s="3500" t="s">
        <v>3457</v>
      </c>
      <c r="I54" s="3500" t="s">
        <v>3408</v>
      </c>
      <c r="J54" s="3500" t="s">
        <v>3427</v>
      </c>
      <c r="K54" s="3500" t="s">
        <v>3459</v>
      </c>
      <c r="L54" s="3500" t="s">
        <v>3459</v>
      </c>
      <c r="M54" s="3500" t="s">
        <v>3460</v>
      </c>
      <c r="N54" s="3500" t="s">
        <v>3468</v>
      </c>
      <c r="O54" s="3500">
        <v>5000</v>
      </c>
      <c r="P54" s="3500">
        <v>1500</v>
      </c>
      <c r="Q54" s="3500" t="s">
        <v>3462</v>
      </c>
      <c r="R54" s="3500">
        <v>5000</v>
      </c>
      <c r="S54" s="3500">
        <v>1667</v>
      </c>
      <c r="T54" s="3500">
        <v>0</v>
      </c>
      <c r="U54">
        <f t="shared" si="0"/>
        <v>2999.940001199976</v>
      </c>
    </row>
    <row r="55" spans="1:21" ht="14.25">
      <c r="A55" s="3500" t="s">
        <v>3469</v>
      </c>
      <c r="B55" s="3500" t="s">
        <v>3454</v>
      </c>
      <c r="C55" s="3500" t="s">
        <v>3470</v>
      </c>
      <c r="D55" s="3500" t="s">
        <v>3464</v>
      </c>
      <c r="E55" s="3500">
        <v>13694</v>
      </c>
      <c r="F55" s="3500">
        <v>31496.2</v>
      </c>
      <c r="G55" s="3500" t="s">
        <v>3471</v>
      </c>
      <c r="H55" s="3500" t="s">
        <v>3457</v>
      </c>
      <c r="I55" s="3500" t="s">
        <v>3408</v>
      </c>
      <c r="J55" s="3500" t="s">
        <v>3427</v>
      </c>
      <c r="K55" s="3500" t="s">
        <v>3472</v>
      </c>
      <c r="L55" s="3500" t="s">
        <v>3472</v>
      </c>
      <c r="M55" s="3500" t="s">
        <v>3460</v>
      </c>
      <c r="N55" s="3500" t="s">
        <v>3473</v>
      </c>
      <c r="O55" s="3500">
        <v>26709</v>
      </c>
      <c r="P55" s="3500">
        <v>6000</v>
      </c>
      <c r="Q55" s="3500" t="s">
        <v>3474</v>
      </c>
      <c r="R55" s="3500">
        <v>32909</v>
      </c>
      <c r="S55" s="3500">
        <v>10449</v>
      </c>
      <c r="T55" s="3500">
        <v>23.21</v>
      </c>
      <c r="U55">
        <f t="shared" si="0"/>
        <v>24031.692712136704</v>
      </c>
    </row>
    <row r="56" spans="1:21" ht="14.25">
      <c r="A56" s="3500" t="s">
        <v>4790</v>
      </c>
      <c r="B56" s="3500" t="s">
        <v>3454</v>
      </c>
      <c r="C56" s="3500" t="s">
        <v>3475</v>
      </c>
      <c r="D56" s="3500" t="s">
        <v>3464</v>
      </c>
      <c r="E56" s="3500">
        <v>32663</v>
      </c>
      <c r="F56" s="3500">
        <v>55527.1</v>
      </c>
      <c r="G56" s="3500" t="s">
        <v>3476</v>
      </c>
      <c r="H56" s="3500" t="s">
        <v>3457</v>
      </c>
      <c r="I56" s="3500" t="s">
        <v>3408</v>
      </c>
      <c r="J56" s="3500" t="s">
        <v>3427</v>
      </c>
      <c r="K56" s="3500" t="s">
        <v>3477</v>
      </c>
      <c r="L56" s="3500" t="s">
        <v>3477</v>
      </c>
      <c r="M56" s="3500" t="s">
        <v>3460</v>
      </c>
      <c r="N56" s="3500" t="s">
        <v>3478</v>
      </c>
      <c r="O56" s="3500">
        <v>33026</v>
      </c>
      <c r="P56" s="3500">
        <v>6606</v>
      </c>
      <c r="Q56" s="3500" t="s">
        <v>3479</v>
      </c>
      <c r="R56" s="3500">
        <v>33026</v>
      </c>
      <c r="S56" s="3500">
        <v>5948</v>
      </c>
      <c r="T56" s="3500">
        <v>0</v>
      </c>
      <c r="U56">
        <f t="shared" si="0"/>
        <v>10111.134923307718</v>
      </c>
    </row>
    <row r="57" spans="1:21" ht="14.25">
      <c r="A57" s="3500" t="s">
        <v>3480</v>
      </c>
      <c r="B57" s="3500" t="s">
        <v>3454</v>
      </c>
      <c r="C57" s="3500" t="s">
        <v>3481</v>
      </c>
      <c r="D57" s="3500" t="s">
        <v>3455</v>
      </c>
      <c r="E57" s="3500">
        <v>259</v>
      </c>
      <c r="F57" s="3500">
        <v>1554</v>
      </c>
      <c r="G57" s="3500" t="s">
        <v>3482</v>
      </c>
      <c r="H57" s="3500" t="s">
        <v>3457</v>
      </c>
      <c r="I57" s="3500" t="s">
        <v>3458</v>
      </c>
      <c r="J57" s="3500" t="s">
        <v>3427</v>
      </c>
      <c r="K57" s="3500" t="s">
        <v>3483</v>
      </c>
      <c r="L57" s="3500" t="s">
        <v>3483</v>
      </c>
      <c r="M57" s="3500" t="s">
        <v>3460</v>
      </c>
      <c r="N57" s="3500" t="s">
        <v>3484</v>
      </c>
      <c r="O57" s="3500">
        <v>160</v>
      </c>
      <c r="P57" s="3500">
        <v>40</v>
      </c>
      <c r="Q57" s="3500" t="s">
        <v>3485</v>
      </c>
      <c r="R57" s="3500">
        <v>160</v>
      </c>
      <c r="S57" s="3500">
        <v>1030</v>
      </c>
      <c r="T57" s="3500">
        <v>0</v>
      </c>
      <c r="U57">
        <f t="shared" si="0"/>
        <v>6177.6061776061779</v>
      </c>
    </row>
    <row r="58" spans="1:21" ht="14.25">
      <c r="A58" s="3500" t="s">
        <v>3486</v>
      </c>
      <c r="B58" s="3500" t="s">
        <v>3454</v>
      </c>
      <c r="C58" s="3500" t="s">
        <v>3487</v>
      </c>
      <c r="D58" s="3500" t="s">
        <v>3455</v>
      </c>
      <c r="E58" s="3500">
        <v>13940</v>
      </c>
      <c r="F58" s="3500">
        <v>55760</v>
      </c>
      <c r="G58" s="3500" t="s">
        <v>3488</v>
      </c>
      <c r="H58" s="3500" t="s">
        <v>3457</v>
      </c>
      <c r="I58" s="3500" t="s">
        <v>3458</v>
      </c>
      <c r="J58" s="3500" t="s">
        <v>3427</v>
      </c>
      <c r="K58" s="3500" t="s">
        <v>3483</v>
      </c>
      <c r="L58" s="3500" t="s">
        <v>3483</v>
      </c>
      <c r="M58" s="3500" t="s">
        <v>3460</v>
      </c>
      <c r="N58" s="3500" t="s">
        <v>3484</v>
      </c>
      <c r="O58" s="3500">
        <v>7430</v>
      </c>
      <c r="P58" s="3500">
        <v>1490</v>
      </c>
      <c r="Q58" s="3500" t="s">
        <v>3485</v>
      </c>
      <c r="R58" s="3500">
        <v>7430</v>
      </c>
      <c r="S58" s="3500">
        <v>1333</v>
      </c>
      <c r="T58" s="3500">
        <v>0</v>
      </c>
    </row>
    <row r="59" spans="1:21" ht="14.25">
      <c r="A59" s="3500" t="s">
        <v>3489</v>
      </c>
      <c r="B59" s="3500" t="s">
        <v>3454</v>
      </c>
      <c r="C59" s="3500" t="s">
        <v>3489</v>
      </c>
      <c r="D59" s="3500" t="s">
        <v>3455</v>
      </c>
      <c r="E59" s="3500">
        <v>6415</v>
      </c>
      <c r="F59" s="3500">
        <v>12830</v>
      </c>
      <c r="G59" s="3500" t="s">
        <v>3456</v>
      </c>
      <c r="H59" s="3500" t="s">
        <v>3457</v>
      </c>
      <c r="I59" s="3500" t="s">
        <v>3458</v>
      </c>
      <c r="J59" s="3500" t="s">
        <v>3427</v>
      </c>
      <c r="K59" s="3500" t="s">
        <v>3490</v>
      </c>
      <c r="L59" s="3500" t="s">
        <v>3490</v>
      </c>
      <c r="M59" s="3500" t="s">
        <v>3460</v>
      </c>
      <c r="N59" s="3500" t="s">
        <v>3491</v>
      </c>
      <c r="O59" s="3500">
        <v>442</v>
      </c>
      <c r="P59" s="3500">
        <v>230</v>
      </c>
      <c r="Q59" s="3500" t="s">
        <v>3492</v>
      </c>
      <c r="R59" s="3500">
        <v>442</v>
      </c>
      <c r="S59" s="3500">
        <v>345</v>
      </c>
      <c r="T59" s="3500">
        <v>0</v>
      </c>
    </row>
    <row r="60" spans="1:21" ht="14.25">
      <c r="A60" s="3500" t="s">
        <v>3493</v>
      </c>
      <c r="B60" s="3500" t="s">
        <v>3454</v>
      </c>
      <c r="C60" s="3500" t="s">
        <v>3493</v>
      </c>
      <c r="D60" s="3500" t="s">
        <v>3455</v>
      </c>
      <c r="E60" s="3500">
        <v>7796</v>
      </c>
      <c r="F60" s="3500">
        <v>15592</v>
      </c>
      <c r="G60" s="3500" t="s">
        <v>3456</v>
      </c>
      <c r="H60" s="3500" t="s">
        <v>3457</v>
      </c>
      <c r="I60" s="3500" t="s">
        <v>3458</v>
      </c>
      <c r="J60" s="3500" t="s">
        <v>3427</v>
      </c>
      <c r="K60" s="3500" t="s">
        <v>3490</v>
      </c>
      <c r="L60" s="3500" t="s">
        <v>3490</v>
      </c>
      <c r="M60" s="3500" t="s">
        <v>3460</v>
      </c>
      <c r="N60" s="3500" t="s">
        <v>3494</v>
      </c>
      <c r="O60" s="3500">
        <v>547</v>
      </c>
      <c r="P60" s="3500">
        <v>280</v>
      </c>
      <c r="Q60" s="3500" t="s">
        <v>3492</v>
      </c>
      <c r="R60" s="3500">
        <v>635</v>
      </c>
      <c r="S60" s="3500">
        <v>407</v>
      </c>
      <c r="T60" s="3500">
        <v>16.09</v>
      </c>
    </row>
    <row r="61" spans="1:21" ht="14.25">
      <c r="A61" s="3500" t="s">
        <v>3495</v>
      </c>
      <c r="B61" s="3500" t="s">
        <v>3454</v>
      </c>
      <c r="C61" s="3500" t="s">
        <v>3495</v>
      </c>
      <c r="D61" s="3500" t="s">
        <v>3455</v>
      </c>
      <c r="E61" s="3500">
        <v>1373</v>
      </c>
      <c r="F61" s="3500">
        <v>2471.4</v>
      </c>
      <c r="G61" s="3500" t="s">
        <v>3496</v>
      </c>
      <c r="H61" s="3500" t="s">
        <v>3457</v>
      </c>
      <c r="I61" s="3500" t="s">
        <v>3458</v>
      </c>
      <c r="J61" s="3500" t="s">
        <v>3427</v>
      </c>
      <c r="K61" s="3500" t="s">
        <v>3490</v>
      </c>
      <c r="L61" s="3500" t="s">
        <v>3490</v>
      </c>
      <c r="M61" s="3500" t="s">
        <v>3460</v>
      </c>
      <c r="N61" s="3500" t="s">
        <v>3497</v>
      </c>
      <c r="O61" s="3500">
        <v>176</v>
      </c>
      <c r="P61" s="3500">
        <v>90</v>
      </c>
      <c r="Q61" s="3500" t="s">
        <v>3492</v>
      </c>
      <c r="R61" s="3500">
        <v>176</v>
      </c>
      <c r="S61" s="3500">
        <v>712</v>
      </c>
      <c r="T61" s="3500">
        <v>0</v>
      </c>
    </row>
    <row r="62" spans="1:21" ht="14.25">
      <c r="A62" s="3500" t="s">
        <v>3498</v>
      </c>
      <c r="B62" s="3500" t="s">
        <v>3454</v>
      </c>
      <c r="C62" s="3500" t="s">
        <v>3498</v>
      </c>
      <c r="D62" s="3500" t="s">
        <v>3455</v>
      </c>
      <c r="E62" s="3500">
        <v>181408</v>
      </c>
      <c r="F62" s="3500">
        <v>272112</v>
      </c>
      <c r="G62" s="3500" t="s">
        <v>3499</v>
      </c>
      <c r="H62" s="3500" t="s">
        <v>3457</v>
      </c>
      <c r="I62" s="3500" t="s">
        <v>3458</v>
      </c>
      <c r="J62" s="3500" t="s">
        <v>3427</v>
      </c>
      <c r="K62" s="3500" t="s">
        <v>3500</v>
      </c>
      <c r="L62" s="3500" t="s">
        <v>3500</v>
      </c>
      <c r="M62" s="3500" t="s">
        <v>3460</v>
      </c>
      <c r="N62" s="3500" t="s">
        <v>3501</v>
      </c>
      <c r="O62" s="3500">
        <v>10885</v>
      </c>
      <c r="P62" s="3500">
        <v>5443</v>
      </c>
      <c r="Q62" s="3500" t="s">
        <v>3502</v>
      </c>
      <c r="R62" s="3500">
        <v>10885</v>
      </c>
      <c r="S62" s="3500">
        <v>400</v>
      </c>
      <c r="T62" s="3500">
        <v>0</v>
      </c>
    </row>
    <row r="63" spans="1:21" ht="14.25">
      <c r="A63" s="3500" t="s">
        <v>3503</v>
      </c>
      <c r="B63" s="3500" t="s">
        <v>3454</v>
      </c>
      <c r="C63" s="3500" t="s">
        <v>3504</v>
      </c>
      <c r="D63" s="3500" t="s">
        <v>3455</v>
      </c>
      <c r="E63" s="3500">
        <v>22368</v>
      </c>
      <c r="F63" s="3500">
        <v>33552</v>
      </c>
      <c r="G63" s="3500" t="s">
        <v>3505</v>
      </c>
      <c r="H63" s="3500" t="s">
        <v>3457</v>
      </c>
      <c r="I63" s="3500" t="s">
        <v>3458</v>
      </c>
      <c r="J63" s="3500" t="s">
        <v>3427</v>
      </c>
      <c r="K63" s="3500" t="s">
        <v>3506</v>
      </c>
      <c r="L63" s="3500" t="s">
        <v>3506</v>
      </c>
      <c r="M63" s="3500" t="s">
        <v>3460</v>
      </c>
      <c r="N63" s="3500" t="s">
        <v>3507</v>
      </c>
      <c r="O63" s="3500">
        <v>5043</v>
      </c>
      <c r="P63" s="3500">
        <v>1009</v>
      </c>
      <c r="Q63" s="3500" t="s">
        <v>3508</v>
      </c>
      <c r="R63" s="3500">
        <v>5043</v>
      </c>
      <c r="S63" s="3500">
        <v>1503</v>
      </c>
      <c r="T63" s="3500">
        <v>0</v>
      </c>
    </row>
    <row r="64" spans="1:21" ht="14.25">
      <c r="A64" s="3500" t="s">
        <v>3509</v>
      </c>
      <c r="B64" s="3500" t="s">
        <v>3454</v>
      </c>
      <c r="C64" s="3500" t="s">
        <v>3510</v>
      </c>
      <c r="D64" s="3500" t="s">
        <v>3464</v>
      </c>
      <c r="E64" s="3500">
        <v>60971</v>
      </c>
      <c r="F64" s="3500">
        <v>152427.5</v>
      </c>
      <c r="G64" s="3500" t="s">
        <v>3511</v>
      </c>
      <c r="H64" s="3500" t="s">
        <v>3457</v>
      </c>
      <c r="I64" s="3500" t="s">
        <v>3408</v>
      </c>
      <c r="J64" s="3500" t="s">
        <v>3427</v>
      </c>
      <c r="K64" s="3500" t="s">
        <v>3512</v>
      </c>
      <c r="L64" s="3500" t="s">
        <v>3512</v>
      </c>
      <c r="M64" s="3500" t="s">
        <v>3460</v>
      </c>
      <c r="N64" s="3500" t="s">
        <v>3513</v>
      </c>
      <c r="O64" s="3500">
        <v>98621</v>
      </c>
      <c r="P64" s="3500">
        <v>20000</v>
      </c>
      <c r="Q64" s="3500" t="s">
        <v>3514</v>
      </c>
      <c r="R64" s="3500">
        <v>148621</v>
      </c>
      <c r="S64" s="3500">
        <v>9750</v>
      </c>
      <c r="T64" s="3500">
        <v>50.7</v>
      </c>
    </row>
    <row r="65" spans="1:20" ht="14.25">
      <c r="A65" s="3500" t="s">
        <v>3515</v>
      </c>
      <c r="B65" s="3500" t="s">
        <v>3454</v>
      </c>
      <c r="C65" s="3500" t="s">
        <v>3516</v>
      </c>
      <c r="D65" s="3500" t="s">
        <v>3455</v>
      </c>
      <c r="E65" s="3500">
        <v>40064</v>
      </c>
      <c r="F65" s="3500">
        <v>120192</v>
      </c>
      <c r="G65" s="3500" t="s">
        <v>3517</v>
      </c>
      <c r="H65" s="3500" t="s">
        <v>3457</v>
      </c>
      <c r="I65" s="3500" t="s">
        <v>3458</v>
      </c>
      <c r="J65" s="3500" t="s">
        <v>3427</v>
      </c>
      <c r="K65" s="3500" t="s">
        <v>3518</v>
      </c>
      <c r="L65" s="3500" t="s">
        <v>3518</v>
      </c>
      <c r="M65" s="3500" t="s">
        <v>3460</v>
      </c>
      <c r="N65" s="3500" t="s">
        <v>3519</v>
      </c>
      <c r="O65" s="3500">
        <v>18029</v>
      </c>
      <c r="P65" s="3500">
        <v>3606</v>
      </c>
      <c r="Q65" s="3500" t="s">
        <v>3520</v>
      </c>
      <c r="R65" s="3500">
        <v>18029</v>
      </c>
      <c r="S65" s="3500">
        <v>1500</v>
      </c>
      <c r="T65" s="3500">
        <v>0</v>
      </c>
    </row>
    <row r="66" spans="1:20" ht="14.25">
      <c r="A66" s="3500" t="s">
        <v>3521</v>
      </c>
      <c r="B66" s="3500" t="s">
        <v>3454</v>
      </c>
      <c r="C66" s="3500" t="s">
        <v>3522</v>
      </c>
      <c r="D66" s="3500" t="s">
        <v>3464</v>
      </c>
      <c r="E66" s="3500">
        <v>19082</v>
      </c>
      <c r="F66" s="3500">
        <v>38164</v>
      </c>
      <c r="G66" s="3500" t="s">
        <v>3523</v>
      </c>
      <c r="H66" s="3500" t="s">
        <v>3457</v>
      </c>
      <c r="I66" s="3500" t="s">
        <v>3408</v>
      </c>
      <c r="J66" s="3500" t="s">
        <v>3427</v>
      </c>
      <c r="K66" s="3500" t="s">
        <v>3512</v>
      </c>
      <c r="L66" s="3500" t="s">
        <v>3512</v>
      </c>
      <c r="M66" s="3500" t="s">
        <v>3460</v>
      </c>
      <c r="N66" s="3500" t="s">
        <v>3524</v>
      </c>
      <c r="O66" s="3500">
        <v>26361</v>
      </c>
      <c r="P66" s="3500">
        <v>5300</v>
      </c>
      <c r="Q66" s="3500" t="s">
        <v>3514</v>
      </c>
      <c r="R66" s="3500">
        <v>40061</v>
      </c>
      <c r="S66" s="3500">
        <v>10497</v>
      </c>
      <c r="T66" s="3500">
        <v>51.97</v>
      </c>
    </row>
    <row r="67" spans="1:20" ht="14.25">
      <c r="A67" s="3500" t="s">
        <v>3525</v>
      </c>
      <c r="B67" s="3500" t="s">
        <v>3454</v>
      </c>
      <c r="C67" s="3500" t="s">
        <v>3526</v>
      </c>
      <c r="D67" s="3500" t="s">
        <v>3455</v>
      </c>
      <c r="E67" s="3500">
        <v>7732</v>
      </c>
      <c r="F67" s="3500">
        <v>38660</v>
      </c>
      <c r="G67" s="3500" t="s">
        <v>3527</v>
      </c>
      <c r="H67" s="3500" t="s">
        <v>3457</v>
      </c>
      <c r="I67" s="3500" t="s">
        <v>3407</v>
      </c>
      <c r="J67" s="3500" t="s">
        <v>3427</v>
      </c>
      <c r="K67" s="3500" t="s">
        <v>3518</v>
      </c>
      <c r="L67" s="3500" t="s">
        <v>3518</v>
      </c>
      <c r="M67" s="3500" t="s">
        <v>3460</v>
      </c>
      <c r="N67" s="3500" t="s">
        <v>3528</v>
      </c>
      <c r="O67" s="3500">
        <v>13952</v>
      </c>
      <c r="P67" s="3500">
        <v>2791</v>
      </c>
      <c r="Q67" s="3500" t="s">
        <v>3520</v>
      </c>
      <c r="R67" s="3500">
        <v>13952</v>
      </c>
      <c r="S67" s="3500">
        <v>3609</v>
      </c>
      <c r="T67" s="3500">
        <v>0</v>
      </c>
    </row>
    <row r="68" spans="1:20" ht="14.25">
      <c r="A68" s="3500" t="s">
        <v>3529</v>
      </c>
      <c r="B68" s="3500" t="s">
        <v>3454</v>
      </c>
      <c r="C68" s="3500" t="s">
        <v>3530</v>
      </c>
      <c r="D68" s="3500" t="s">
        <v>3464</v>
      </c>
      <c r="E68" s="3500">
        <v>12858</v>
      </c>
      <c r="F68" s="3500">
        <v>28287.599999999999</v>
      </c>
      <c r="G68" s="3500" t="s">
        <v>3531</v>
      </c>
      <c r="H68" s="3500" t="s">
        <v>3457</v>
      </c>
      <c r="I68" s="3500" t="s">
        <v>3408</v>
      </c>
      <c r="J68" s="3500" t="s">
        <v>3427</v>
      </c>
      <c r="K68" s="3500" t="s">
        <v>3512</v>
      </c>
      <c r="L68" s="3500" t="s">
        <v>3512</v>
      </c>
      <c r="M68" s="3500" t="s">
        <v>3460</v>
      </c>
      <c r="N68" s="3500" t="s">
        <v>3532</v>
      </c>
      <c r="O68" s="3500">
        <v>12072</v>
      </c>
      <c r="P68" s="3500">
        <v>2415</v>
      </c>
      <c r="Q68" s="3500" t="s">
        <v>3514</v>
      </c>
      <c r="R68" s="3500">
        <v>12072</v>
      </c>
      <c r="S68" s="3500">
        <v>4268</v>
      </c>
      <c r="T68" s="3500">
        <v>0</v>
      </c>
    </row>
    <row r="69" spans="1:20" ht="14.25">
      <c r="A69" s="3500" t="s">
        <v>3533</v>
      </c>
      <c r="B69" s="3500" t="s">
        <v>3454</v>
      </c>
      <c r="C69" s="3500" t="s">
        <v>3534</v>
      </c>
      <c r="D69" s="3500" t="s">
        <v>3464</v>
      </c>
      <c r="E69" s="3500">
        <v>45828</v>
      </c>
      <c r="F69" s="3500">
        <v>82490.399999999994</v>
      </c>
      <c r="G69" s="3500" t="s">
        <v>3465</v>
      </c>
      <c r="H69" s="3500" t="s">
        <v>3457</v>
      </c>
      <c r="I69" s="3500" t="s">
        <v>3408</v>
      </c>
      <c r="J69" s="3500" t="s">
        <v>3427</v>
      </c>
      <c r="K69" s="3500" t="s">
        <v>3512</v>
      </c>
      <c r="L69" s="3500" t="s">
        <v>3512</v>
      </c>
      <c r="M69" s="3500" t="s">
        <v>3460</v>
      </c>
      <c r="N69" s="3500" t="s">
        <v>3535</v>
      </c>
      <c r="O69" s="3500">
        <v>46884</v>
      </c>
      <c r="P69" s="3500">
        <v>10010</v>
      </c>
      <c r="Q69" s="3500" t="s">
        <v>3514</v>
      </c>
      <c r="R69" s="3500">
        <v>46884</v>
      </c>
      <c r="S69" s="3500">
        <v>5684</v>
      </c>
      <c r="T69" s="3500">
        <v>0</v>
      </c>
    </row>
    <row r="70" spans="1:20" ht="14.25">
      <c r="A70" s="3500" t="s">
        <v>3536</v>
      </c>
      <c r="B70" s="3500" t="s">
        <v>3454</v>
      </c>
      <c r="C70" s="3500" t="s">
        <v>3537</v>
      </c>
      <c r="D70" s="3500" t="s">
        <v>3455</v>
      </c>
      <c r="E70" s="3500">
        <v>6260</v>
      </c>
      <c r="F70" s="3500">
        <v>10016</v>
      </c>
      <c r="G70" s="3500" t="s">
        <v>3538</v>
      </c>
      <c r="H70" s="3500" t="s">
        <v>3457</v>
      </c>
      <c r="I70" s="3500" t="s">
        <v>3407</v>
      </c>
      <c r="J70" s="3500" t="s">
        <v>3427</v>
      </c>
      <c r="K70" s="3500" t="s">
        <v>3512</v>
      </c>
      <c r="L70" s="3500" t="s">
        <v>3512</v>
      </c>
      <c r="M70" s="3500" t="s">
        <v>3460</v>
      </c>
      <c r="N70" s="3500" t="s">
        <v>3539</v>
      </c>
      <c r="O70" s="3500">
        <v>3006</v>
      </c>
      <c r="P70" s="3500">
        <v>601</v>
      </c>
      <c r="Q70" s="3500" t="s">
        <v>3514</v>
      </c>
      <c r="R70" s="3500">
        <v>3006</v>
      </c>
      <c r="S70" s="3500">
        <v>3001</v>
      </c>
      <c r="T70" s="3500">
        <v>0</v>
      </c>
    </row>
    <row r="71" spans="1:20" ht="14.25">
      <c r="A71" s="3500" t="s">
        <v>3540</v>
      </c>
      <c r="B71" s="3500" t="s">
        <v>3454</v>
      </c>
      <c r="C71" s="3500" t="s">
        <v>3541</v>
      </c>
      <c r="D71" s="3500" t="s">
        <v>3455</v>
      </c>
      <c r="E71" s="3500">
        <v>19862</v>
      </c>
      <c r="F71" s="3500">
        <v>51641.2</v>
      </c>
      <c r="G71" s="3500" t="s">
        <v>3542</v>
      </c>
      <c r="H71" s="3500" t="s">
        <v>3457</v>
      </c>
      <c r="I71" s="3500" t="s">
        <v>3458</v>
      </c>
      <c r="J71" s="3500" t="s">
        <v>3427</v>
      </c>
      <c r="K71" s="3500" t="s">
        <v>3512</v>
      </c>
      <c r="L71" s="3500" t="s">
        <v>3512</v>
      </c>
      <c r="M71" s="3500" t="s">
        <v>3460</v>
      </c>
      <c r="N71" s="3500" t="s">
        <v>3543</v>
      </c>
      <c r="O71" s="3500">
        <v>4343</v>
      </c>
      <c r="P71" s="3500">
        <v>1000</v>
      </c>
      <c r="Q71" s="3500" t="s">
        <v>3514</v>
      </c>
      <c r="R71" s="3500">
        <v>4343</v>
      </c>
      <c r="S71" s="3500">
        <v>841</v>
      </c>
      <c r="T71" s="3500">
        <v>0</v>
      </c>
    </row>
    <row r="72" spans="1:20" s="3183" customFormat="1" ht="14.25">
      <c r="A72" s="3524" t="s">
        <v>3544</v>
      </c>
      <c r="B72" s="3524" t="s">
        <v>3454</v>
      </c>
      <c r="C72" s="3524" t="s">
        <v>3545</v>
      </c>
      <c r="D72" s="3524" t="s">
        <v>3464</v>
      </c>
      <c r="E72" s="3524">
        <v>28649</v>
      </c>
      <c r="F72" s="3524">
        <v>74487.399999999994</v>
      </c>
      <c r="G72" s="3524" t="s">
        <v>3546</v>
      </c>
      <c r="H72" s="3524" t="s">
        <v>3457</v>
      </c>
      <c r="I72" s="3524" t="s">
        <v>3408</v>
      </c>
      <c r="J72" s="3524" t="s">
        <v>3427</v>
      </c>
      <c r="K72" s="3524" t="s">
        <v>3512</v>
      </c>
      <c r="L72" s="3524" t="s">
        <v>3512</v>
      </c>
      <c r="M72" s="3524" t="s">
        <v>3460</v>
      </c>
      <c r="N72" s="3524" t="s">
        <v>3539</v>
      </c>
      <c r="O72" s="3524">
        <v>50376</v>
      </c>
      <c r="P72" s="3524">
        <v>10677</v>
      </c>
      <c r="Q72" s="3524" t="s">
        <v>3514</v>
      </c>
      <c r="R72" s="3524">
        <v>53376</v>
      </c>
      <c r="S72" s="3524">
        <v>7166</v>
      </c>
      <c r="T72" s="3524">
        <v>5.96</v>
      </c>
    </row>
    <row r="73" spans="1:20" ht="14.25">
      <c r="A73" s="3500" t="s">
        <v>3547</v>
      </c>
      <c r="B73" s="3500" t="s">
        <v>3454</v>
      </c>
      <c r="C73" s="3500" t="s">
        <v>3548</v>
      </c>
      <c r="D73" s="3500" t="s">
        <v>3455</v>
      </c>
      <c r="E73" s="3500">
        <v>15548</v>
      </c>
      <c r="F73" s="3500">
        <v>93288</v>
      </c>
      <c r="G73" s="3500" t="s">
        <v>3549</v>
      </c>
      <c r="H73" s="3500" t="s">
        <v>3457</v>
      </c>
      <c r="I73" s="3500" t="s">
        <v>3407</v>
      </c>
      <c r="J73" s="3500" t="s">
        <v>3427</v>
      </c>
      <c r="K73" s="3500" t="s">
        <v>3518</v>
      </c>
      <c r="L73" s="3500" t="s">
        <v>3518</v>
      </c>
      <c r="M73" s="3500" t="s">
        <v>3460</v>
      </c>
      <c r="N73" s="3500" t="s">
        <v>3550</v>
      </c>
      <c r="O73" s="3500">
        <v>39042</v>
      </c>
      <c r="P73" s="3500">
        <v>7809</v>
      </c>
      <c r="Q73" s="3500" t="s">
        <v>3520</v>
      </c>
      <c r="R73" s="3500">
        <v>39042</v>
      </c>
      <c r="S73" s="3500">
        <v>4185</v>
      </c>
      <c r="T73" s="3500">
        <v>0</v>
      </c>
    </row>
    <row r="74" spans="1:20" ht="14.25">
      <c r="A74" s="3500" t="s">
        <v>3551</v>
      </c>
      <c r="B74" s="3500" t="s">
        <v>3454</v>
      </c>
      <c r="C74" s="3500" t="s">
        <v>3552</v>
      </c>
      <c r="D74" s="3500" t="s">
        <v>3455</v>
      </c>
      <c r="E74" s="3500">
        <v>13215</v>
      </c>
      <c r="F74" s="3500">
        <v>26430</v>
      </c>
      <c r="G74" s="3500" t="s">
        <v>3553</v>
      </c>
      <c r="H74" s="3500" t="s">
        <v>3457</v>
      </c>
      <c r="I74" s="3500" t="s">
        <v>3407</v>
      </c>
      <c r="J74" s="3500" t="s">
        <v>3427</v>
      </c>
      <c r="K74" s="3500" t="s">
        <v>3518</v>
      </c>
      <c r="L74" s="3500" t="s">
        <v>3518</v>
      </c>
      <c r="M74" s="3500" t="s">
        <v>3460</v>
      </c>
      <c r="N74" s="3500" t="s">
        <v>3554</v>
      </c>
      <c r="O74" s="3500">
        <v>4519</v>
      </c>
      <c r="P74" s="3500">
        <v>904</v>
      </c>
      <c r="Q74" s="3500" t="s">
        <v>3520</v>
      </c>
      <c r="R74" s="3500">
        <v>4519</v>
      </c>
      <c r="S74" s="3500">
        <v>1710</v>
      </c>
      <c r="T74" s="3500">
        <v>0</v>
      </c>
    </row>
    <row r="75" spans="1:20" ht="14.25">
      <c r="A75" s="3500" t="s">
        <v>3555</v>
      </c>
      <c r="B75" s="3500" t="s">
        <v>3454</v>
      </c>
      <c r="C75" s="3500" t="s">
        <v>3555</v>
      </c>
      <c r="D75" s="3500" t="s">
        <v>3464</v>
      </c>
      <c r="E75" s="3500">
        <v>18443</v>
      </c>
      <c r="F75" s="3500">
        <v>29508.799999999999</v>
      </c>
      <c r="G75" s="3500" t="s">
        <v>3556</v>
      </c>
      <c r="H75" s="3500" t="s">
        <v>3457</v>
      </c>
      <c r="I75" s="3500" t="s">
        <v>3408</v>
      </c>
      <c r="J75" s="3500" t="s">
        <v>3427</v>
      </c>
      <c r="K75" s="3500" t="s">
        <v>3557</v>
      </c>
      <c r="L75" s="3500" t="s">
        <v>3557</v>
      </c>
      <c r="M75" s="3500" t="s">
        <v>3460</v>
      </c>
      <c r="N75" s="3500" t="s">
        <v>3468</v>
      </c>
      <c r="O75" s="3500">
        <v>5533</v>
      </c>
      <c r="P75" s="3500">
        <v>1700</v>
      </c>
      <c r="Q75" s="3500" t="s">
        <v>3558</v>
      </c>
      <c r="R75" s="3500">
        <v>5533</v>
      </c>
      <c r="S75" s="3500">
        <v>1875</v>
      </c>
      <c r="T75" s="3500">
        <v>0</v>
      </c>
    </row>
    <row r="76" spans="1:20" ht="14.25">
      <c r="A76" s="3500" t="s">
        <v>3559</v>
      </c>
      <c r="B76" s="3500" t="s">
        <v>3454</v>
      </c>
      <c r="C76" s="3500" t="s">
        <v>3559</v>
      </c>
      <c r="D76" s="3500" t="s">
        <v>3464</v>
      </c>
      <c r="E76" s="3500">
        <v>9647</v>
      </c>
      <c r="F76" s="3500">
        <v>15435.2</v>
      </c>
      <c r="G76" s="3500" t="s">
        <v>3556</v>
      </c>
      <c r="H76" s="3500" t="s">
        <v>3457</v>
      </c>
      <c r="I76" s="3500" t="s">
        <v>3408</v>
      </c>
      <c r="J76" s="3500" t="s">
        <v>3427</v>
      </c>
      <c r="K76" s="3500" t="s">
        <v>3557</v>
      </c>
      <c r="L76" s="3500" t="s">
        <v>3557</v>
      </c>
      <c r="M76" s="3500" t="s">
        <v>3460</v>
      </c>
      <c r="N76" s="3500" t="s">
        <v>3468</v>
      </c>
      <c r="O76" s="3500">
        <v>2895</v>
      </c>
      <c r="P76" s="3500">
        <v>900</v>
      </c>
      <c r="Q76" s="3500" t="s">
        <v>3558</v>
      </c>
      <c r="R76" s="3500">
        <v>2895</v>
      </c>
      <c r="S76" s="3500">
        <v>1876</v>
      </c>
      <c r="T76" s="3500">
        <v>0</v>
      </c>
    </row>
    <row r="77" spans="1:20" ht="14.25">
      <c r="A77" s="3500" t="s">
        <v>3560</v>
      </c>
      <c r="B77" s="3500" t="s">
        <v>3454</v>
      </c>
      <c r="C77" s="3500" t="s">
        <v>3560</v>
      </c>
      <c r="D77" s="3500" t="s">
        <v>3455</v>
      </c>
      <c r="E77" s="3500">
        <v>8402</v>
      </c>
      <c r="F77" s="3500">
        <v>15123.6</v>
      </c>
      <c r="G77" s="3500" t="s">
        <v>3496</v>
      </c>
      <c r="H77" s="3500" t="s">
        <v>3457</v>
      </c>
      <c r="I77" s="3500" t="s">
        <v>3458</v>
      </c>
      <c r="J77" s="3500" t="s">
        <v>3427</v>
      </c>
      <c r="K77" s="3500" t="s">
        <v>3557</v>
      </c>
      <c r="L77" s="3500" t="s">
        <v>3557</v>
      </c>
      <c r="M77" s="3500" t="s">
        <v>3460</v>
      </c>
      <c r="N77" s="3500" t="s">
        <v>3468</v>
      </c>
      <c r="O77" s="3500">
        <v>2521</v>
      </c>
      <c r="P77" s="3500">
        <v>760</v>
      </c>
      <c r="Q77" s="3500" t="s">
        <v>3558</v>
      </c>
      <c r="R77" s="3500">
        <v>2521</v>
      </c>
      <c r="S77" s="3500">
        <v>1667</v>
      </c>
      <c r="T77" s="3500">
        <v>0</v>
      </c>
    </row>
    <row r="78" spans="1:20" ht="14.25">
      <c r="A78" s="3500" t="s">
        <v>3561</v>
      </c>
      <c r="B78" s="3500" t="s">
        <v>3454</v>
      </c>
      <c r="C78" s="3500" t="s">
        <v>3562</v>
      </c>
      <c r="D78" s="3500" t="s">
        <v>3464</v>
      </c>
      <c r="E78" s="3500">
        <v>41697</v>
      </c>
      <c r="F78" s="3500">
        <v>66715.199999999997</v>
      </c>
      <c r="G78" s="3500" t="s">
        <v>3563</v>
      </c>
      <c r="H78" s="3500" t="s">
        <v>3457</v>
      </c>
      <c r="I78" s="3500" t="s">
        <v>3408</v>
      </c>
      <c r="J78" s="3500" t="s">
        <v>3427</v>
      </c>
      <c r="K78" s="3500" t="s">
        <v>3564</v>
      </c>
      <c r="L78" s="3500" t="s">
        <v>3564</v>
      </c>
      <c r="M78" s="3500" t="s">
        <v>3460</v>
      </c>
      <c r="N78" s="3500" t="s">
        <v>3565</v>
      </c>
      <c r="O78" s="3500">
        <v>23794</v>
      </c>
      <c r="P78" s="3500">
        <v>4800</v>
      </c>
      <c r="Q78" s="3500" t="s">
        <v>3566</v>
      </c>
      <c r="R78" s="3500">
        <v>23794</v>
      </c>
      <c r="S78" s="3500">
        <v>3567</v>
      </c>
      <c r="T78" s="3500">
        <v>0</v>
      </c>
    </row>
    <row r="79" spans="1:20" ht="14.25">
      <c r="A79" s="3500" t="s">
        <v>3567</v>
      </c>
      <c r="B79" s="3500" t="s">
        <v>3454</v>
      </c>
      <c r="C79" s="3500" t="s">
        <v>3568</v>
      </c>
      <c r="D79" s="3500" t="s">
        <v>3464</v>
      </c>
      <c r="E79" s="3500">
        <v>37271</v>
      </c>
      <c r="F79" s="3500">
        <v>108085.9</v>
      </c>
      <c r="G79" s="3500" t="s">
        <v>3569</v>
      </c>
      <c r="H79" s="3500" t="s">
        <v>3457</v>
      </c>
      <c r="I79" s="3500" t="s">
        <v>3408</v>
      </c>
      <c r="J79" s="3500" t="s">
        <v>3427</v>
      </c>
      <c r="K79" s="3500" t="s">
        <v>3570</v>
      </c>
      <c r="L79" s="3500" t="s">
        <v>3570</v>
      </c>
      <c r="M79" s="3500" t="s">
        <v>3460</v>
      </c>
      <c r="N79" s="3500" t="s">
        <v>3571</v>
      </c>
      <c r="O79" s="3500">
        <v>162129</v>
      </c>
      <c r="P79" s="3500">
        <v>32426</v>
      </c>
      <c r="Q79" s="3500" t="s">
        <v>3572</v>
      </c>
      <c r="R79" s="3500">
        <v>162129</v>
      </c>
      <c r="S79" s="3500">
        <v>15000</v>
      </c>
      <c r="T79" s="3500">
        <v>0</v>
      </c>
    </row>
    <row r="80" spans="1:20" ht="14.25">
      <c r="A80" s="3500" t="s">
        <v>3573</v>
      </c>
      <c r="B80" s="3500" t="s">
        <v>3454</v>
      </c>
      <c r="C80" s="3500" t="s">
        <v>3573</v>
      </c>
      <c r="D80" s="3500" t="s">
        <v>3464</v>
      </c>
      <c r="E80" s="3500">
        <v>16464</v>
      </c>
      <c r="F80" s="3500">
        <v>32928</v>
      </c>
      <c r="G80" s="3500" t="s">
        <v>3523</v>
      </c>
      <c r="H80" s="3500" t="s">
        <v>3457</v>
      </c>
      <c r="I80" s="3500" t="s">
        <v>3408</v>
      </c>
      <c r="J80" s="3500" t="s">
        <v>3427</v>
      </c>
      <c r="K80" s="3500" t="s">
        <v>3574</v>
      </c>
      <c r="L80" s="3500" t="s">
        <v>3574</v>
      </c>
      <c r="M80" s="3500" t="s">
        <v>3460</v>
      </c>
      <c r="N80" s="3500" t="s">
        <v>3575</v>
      </c>
      <c r="O80" s="3500">
        <v>4940</v>
      </c>
      <c r="P80" s="3500">
        <v>1500</v>
      </c>
      <c r="Q80" s="3500" t="s">
        <v>3576</v>
      </c>
      <c r="R80" s="3500">
        <v>4940</v>
      </c>
      <c r="S80" s="3500">
        <v>1500</v>
      </c>
      <c r="T80" s="3500">
        <v>0</v>
      </c>
    </row>
    <row r="81" spans="1:20" ht="14.25">
      <c r="A81" s="3500" t="s">
        <v>3577</v>
      </c>
      <c r="B81" s="3500" t="s">
        <v>3454</v>
      </c>
      <c r="C81" s="3500" t="s">
        <v>3577</v>
      </c>
      <c r="D81" s="3500" t="s">
        <v>3464</v>
      </c>
      <c r="E81" s="3500">
        <v>20098</v>
      </c>
      <c r="F81" s="3500">
        <v>40196</v>
      </c>
      <c r="G81" s="3500" t="s">
        <v>3523</v>
      </c>
      <c r="H81" s="3500" t="s">
        <v>3457</v>
      </c>
      <c r="I81" s="3500" t="s">
        <v>3408</v>
      </c>
      <c r="J81" s="3500" t="s">
        <v>3427</v>
      </c>
      <c r="K81" s="3500" t="s">
        <v>3574</v>
      </c>
      <c r="L81" s="3500" t="s">
        <v>3574</v>
      </c>
      <c r="M81" s="3500" t="s">
        <v>3460</v>
      </c>
      <c r="N81" s="3500" t="s">
        <v>3575</v>
      </c>
      <c r="O81" s="3500">
        <v>6030</v>
      </c>
      <c r="P81" s="3500">
        <v>1900</v>
      </c>
      <c r="Q81" s="3500" t="s">
        <v>3576</v>
      </c>
      <c r="R81" s="3500">
        <v>6030</v>
      </c>
      <c r="S81" s="3500">
        <v>1500</v>
      </c>
      <c r="T81" s="3500">
        <v>0</v>
      </c>
    </row>
    <row r="82" spans="1:20" ht="14.25">
      <c r="A82" s="3500" t="s">
        <v>3578</v>
      </c>
      <c r="B82" s="3500" t="s">
        <v>3454</v>
      </c>
      <c r="C82" s="3500" t="s">
        <v>3578</v>
      </c>
      <c r="D82" s="3500" t="s">
        <v>3455</v>
      </c>
      <c r="E82" s="3500">
        <v>12244</v>
      </c>
      <c r="F82" s="3500">
        <v>18366</v>
      </c>
      <c r="G82" s="3500" t="s">
        <v>3579</v>
      </c>
      <c r="H82" s="3500" t="s">
        <v>3457</v>
      </c>
      <c r="I82" s="3500" t="s">
        <v>3458</v>
      </c>
      <c r="J82" s="3500" t="s">
        <v>3427</v>
      </c>
      <c r="K82" s="3500" t="s">
        <v>3574</v>
      </c>
      <c r="L82" s="3500" t="s">
        <v>3574</v>
      </c>
      <c r="M82" s="3500" t="s">
        <v>3460</v>
      </c>
      <c r="N82" s="3500" t="s">
        <v>3580</v>
      </c>
      <c r="O82" s="3500">
        <v>3674</v>
      </c>
      <c r="P82" s="3500">
        <v>1900</v>
      </c>
      <c r="Q82" s="3500" t="s">
        <v>3576</v>
      </c>
      <c r="R82" s="3500">
        <v>3674</v>
      </c>
      <c r="S82" s="3500">
        <v>2000</v>
      </c>
      <c r="T82" s="3500">
        <v>0</v>
      </c>
    </row>
    <row r="83" spans="1:20" ht="14.25">
      <c r="A83" s="3500" t="s">
        <v>3581</v>
      </c>
      <c r="B83" s="3500" t="s">
        <v>3454</v>
      </c>
      <c r="C83" s="3500" t="s">
        <v>3581</v>
      </c>
      <c r="D83" s="3500" t="s">
        <v>3455</v>
      </c>
      <c r="E83" s="3500">
        <v>1155</v>
      </c>
      <c r="F83" s="3500">
        <v>693</v>
      </c>
      <c r="G83" s="3500" t="s">
        <v>3582</v>
      </c>
      <c r="H83" s="3500" t="s">
        <v>3457</v>
      </c>
      <c r="I83" s="3500" t="s">
        <v>3458</v>
      </c>
      <c r="J83" s="3500" t="s">
        <v>3427</v>
      </c>
      <c r="K83" s="3500" t="s">
        <v>3574</v>
      </c>
      <c r="L83" s="3500" t="s">
        <v>3574</v>
      </c>
      <c r="M83" s="3500" t="s">
        <v>3460</v>
      </c>
      <c r="N83" s="3500" t="s">
        <v>3583</v>
      </c>
      <c r="O83" s="3500">
        <v>49</v>
      </c>
      <c r="P83" s="3500">
        <v>30</v>
      </c>
      <c r="Q83" s="3500" t="s">
        <v>3576</v>
      </c>
      <c r="R83" s="3500">
        <v>49</v>
      </c>
      <c r="S83" s="3500">
        <v>707</v>
      </c>
      <c r="T83" s="3500">
        <v>0</v>
      </c>
    </row>
    <row r="84" spans="1:20" ht="14.25">
      <c r="A84" s="3500" t="s">
        <v>3584</v>
      </c>
      <c r="B84" s="3500" t="s">
        <v>3454</v>
      </c>
      <c r="C84" s="3500" t="s">
        <v>3584</v>
      </c>
      <c r="D84" s="3500" t="s">
        <v>3464</v>
      </c>
      <c r="E84" s="3500">
        <v>16463</v>
      </c>
      <c r="F84" s="3500">
        <v>32926</v>
      </c>
      <c r="G84" s="3500" t="s">
        <v>3523</v>
      </c>
      <c r="H84" s="3500" t="s">
        <v>3457</v>
      </c>
      <c r="I84" s="3500" t="s">
        <v>3408</v>
      </c>
      <c r="J84" s="3500" t="s">
        <v>3427</v>
      </c>
      <c r="K84" s="3500" t="s">
        <v>3574</v>
      </c>
      <c r="L84" s="3500" t="s">
        <v>3574</v>
      </c>
      <c r="M84" s="3500" t="s">
        <v>3460</v>
      </c>
      <c r="N84" s="3500" t="s">
        <v>3575</v>
      </c>
      <c r="O84" s="3500">
        <v>4939</v>
      </c>
      <c r="P84" s="3500">
        <v>1500</v>
      </c>
      <c r="Q84" s="3500" t="s">
        <v>3576</v>
      </c>
      <c r="R84" s="3500">
        <v>4939</v>
      </c>
      <c r="S84" s="3500">
        <v>1500</v>
      </c>
      <c r="T84" s="3500">
        <v>0</v>
      </c>
    </row>
    <row r="85" spans="1:20" ht="14.25">
      <c r="A85" s="3500" t="s">
        <v>3585</v>
      </c>
      <c r="B85" s="3500" t="s">
        <v>3454</v>
      </c>
      <c r="C85" s="3500" t="s">
        <v>3585</v>
      </c>
      <c r="D85" s="3500" t="s">
        <v>3464</v>
      </c>
      <c r="E85" s="3500">
        <v>25965</v>
      </c>
      <c r="F85" s="3500">
        <v>51930</v>
      </c>
      <c r="G85" s="3500" t="s">
        <v>3523</v>
      </c>
      <c r="H85" s="3500" t="s">
        <v>3457</v>
      </c>
      <c r="I85" s="3500" t="s">
        <v>3408</v>
      </c>
      <c r="J85" s="3500" t="s">
        <v>3427</v>
      </c>
      <c r="K85" s="3500" t="s">
        <v>3574</v>
      </c>
      <c r="L85" s="3500" t="s">
        <v>3574</v>
      </c>
      <c r="M85" s="3500" t="s">
        <v>3460</v>
      </c>
      <c r="N85" s="3500" t="s">
        <v>3575</v>
      </c>
      <c r="O85" s="3500">
        <v>7790</v>
      </c>
      <c r="P85" s="3500">
        <v>2400</v>
      </c>
      <c r="Q85" s="3500" t="s">
        <v>3576</v>
      </c>
      <c r="R85" s="3500">
        <v>7790</v>
      </c>
      <c r="S85" s="3500">
        <v>1500</v>
      </c>
      <c r="T85" s="3500">
        <v>0</v>
      </c>
    </row>
    <row r="86" spans="1:20" ht="14.25">
      <c r="A86" s="3500" t="s">
        <v>3586</v>
      </c>
      <c r="B86" s="3500" t="s">
        <v>3454</v>
      </c>
      <c r="C86" s="3500" t="s">
        <v>3586</v>
      </c>
      <c r="D86" s="3500" t="s">
        <v>3464</v>
      </c>
      <c r="E86" s="3500">
        <v>20098</v>
      </c>
      <c r="F86" s="3500">
        <v>40196</v>
      </c>
      <c r="G86" s="3500" t="s">
        <v>3523</v>
      </c>
      <c r="H86" s="3500" t="s">
        <v>3457</v>
      </c>
      <c r="I86" s="3500" t="s">
        <v>3408</v>
      </c>
      <c r="J86" s="3500" t="s">
        <v>3427</v>
      </c>
      <c r="K86" s="3500" t="s">
        <v>3587</v>
      </c>
      <c r="L86" s="3500" t="s">
        <v>3587</v>
      </c>
      <c r="M86" s="3500" t="s">
        <v>3460</v>
      </c>
      <c r="N86" s="3500" t="s">
        <v>3575</v>
      </c>
      <c r="O86" s="3500">
        <v>6030</v>
      </c>
      <c r="P86" s="3500">
        <v>1900</v>
      </c>
      <c r="Q86" s="3500" t="s">
        <v>3588</v>
      </c>
      <c r="R86" s="3500">
        <v>6030</v>
      </c>
      <c r="S86" s="3500">
        <v>1500</v>
      </c>
      <c r="T86" s="3500">
        <v>0</v>
      </c>
    </row>
    <row r="87" spans="1:20" ht="14.25">
      <c r="A87" s="3500" t="s">
        <v>3589</v>
      </c>
      <c r="B87" s="3500" t="s">
        <v>3454</v>
      </c>
      <c r="C87" s="3500" t="s">
        <v>3589</v>
      </c>
      <c r="D87" s="3500" t="s">
        <v>3464</v>
      </c>
      <c r="E87" s="3500">
        <v>41835</v>
      </c>
      <c r="F87" s="3500">
        <v>75303</v>
      </c>
      <c r="G87" s="3500" t="s">
        <v>3465</v>
      </c>
      <c r="H87" s="3500" t="s">
        <v>3457</v>
      </c>
      <c r="I87" s="3500" t="s">
        <v>3408</v>
      </c>
      <c r="J87" s="3500" t="s">
        <v>3427</v>
      </c>
      <c r="K87" s="3500" t="s">
        <v>3590</v>
      </c>
      <c r="L87" s="3500" t="s">
        <v>3590</v>
      </c>
      <c r="M87" s="3500" t="s">
        <v>3460</v>
      </c>
      <c r="N87" s="3500" t="s">
        <v>3591</v>
      </c>
      <c r="O87" s="3500">
        <v>12551</v>
      </c>
      <c r="P87" s="3500">
        <v>3800</v>
      </c>
      <c r="Q87" s="3500" t="s">
        <v>3592</v>
      </c>
      <c r="R87" s="3500">
        <v>12551</v>
      </c>
      <c r="S87" s="3500">
        <v>1667</v>
      </c>
      <c r="T87" s="3500">
        <v>0</v>
      </c>
    </row>
    <row r="88" spans="1:20" ht="14.25">
      <c r="A88" s="3500" t="s">
        <v>3593</v>
      </c>
      <c r="B88" s="3500" t="s">
        <v>3454</v>
      </c>
      <c r="C88" s="3500" t="s">
        <v>3593</v>
      </c>
      <c r="D88" s="3500" t="s">
        <v>3464</v>
      </c>
      <c r="E88" s="3500">
        <v>680</v>
      </c>
      <c r="F88" s="3500">
        <v>0</v>
      </c>
      <c r="G88" s="3500" t="s">
        <v>3594</v>
      </c>
      <c r="H88" s="3500" t="s">
        <v>3457</v>
      </c>
      <c r="I88" s="3500" t="s">
        <v>2490</v>
      </c>
      <c r="J88" s="3500" t="s">
        <v>3427</v>
      </c>
      <c r="K88" s="3500" t="s">
        <v>3595</v>
      </c>
      <c r="L88" s="3500" t="s">
        <v>3595</v>
      </c>
      <c r="M88" s="3500" t="s">
        <v>3460</v>
      </c>
      <c r="N88" s="3500" t="s">
        <v>3596</v>
      </c>
      <c r="O88" s="3500">
        <v>23</v>
      </c>
      <c r="P88" s="3500">
        <v>12</v>
      </c>
      <c r="Q88" s="3500" t="s">
        <v>3597</v>
      </c>
      <c r="R88" s="3500">
        <v>23</v>
      </c>
      <c r="S88" s="3500" t="s">
        <v>3427</v>
      </c>
      <c r="T88" s="3500">
        <v>0</v>
      </c>
    </row>
    <row r="89" spans="1:20" ht="14.25">
      <c r="A89" s="3500" t="s">
        <v>3598</v>
      </c>
      <c r="B89" s="3500" t="s">
        <v>3454</v>
      </c>
      <c r="C89" s="3500" t="s">
        <v>3598</v>
      </c>
      <c r="D89" s="3500" t="s">
        <v>3455</v>
      </c>
      <c r="E89" s="3500">
        <v>3154</v>
      </c>
      <c r="F89" s="3500">
        <v>6308</v>
      </c>
      <c r="G89" s="3500" t="s">
        <v>3456</v>
      </c>
      <c r="H89" s="3500" t="s">
        <v>3457</v>
      </c>
      <c r="I89" s="3500" t="s">
        <v>3458</v>
      </c>
      <c r="J89" s="3500" t="s">
        <v>3427</v>
      </c>
      <c r="K89" s="3500" t="s">
        <v>3595</v>
      </c>
      <c r="L89" s="3500" t="s">
        <v>3595</v>
      </c>
      <c r="M89" s="3500" t="s">
        <v>3460</v>
      </c>
      <c r="N89" s="3500" t="s">
        <v>3599</v>
      </c>
      <c r="O89" s="3500">
        <v>947</v>
      </c>
      <c r="P89" s="3500">
        <v>290</v>
      </c>
      <c r="Q89" s="3500" t="s">
        <v>3597</v>
      </c>
      <c r="R89" s="3500">
        <v>947</v>
      </c>
      <c r="S89" s="3500">
        <v>1501</v>
      </c>
      <c r="T89" s="3500">
        <v>0</v>
      </c>
    </row>
    <row r="90" spans="1:20" ht="14.25">
      <c r="A90" s="3500" t="s">
        <v>3600</v>
      </c>
      <c r="B90" s="3500" t="s">
        <v>3454</v>
      </c>
      <c r="C90" s="3500" t="s">
        <v>3601</v>
      </c>
      <c r="D90" s="3500" t="s">
        <v>3464</v>
      </c>
      <c r="E90" s="3500">
        <v>55559</v>
      </c>
      <c r="F90" s="3500">
        <v>88894.399999999994</v>
      </c>
      <c r="G90" s="3500" t="s">
        <v>3602</v>
      </c>
      <c r="H90" s="3500" t="s">
        <v>3457</v>
      </c>
      <c r="I90" s="3500" t="s">
        <v>3408</v>
      </c>
      <c r="J90" s="3500" t="s">
        <v>3427</v>
      </c>
      <c r="K90" s="3500" t="s">
        <v>3603</v>
      </c>
      <c r="L90" s="3500" t="s">
        <v>3603</v>
      </c>
      <c r="M90" s="3500" t="s">
        <v>3460</v>
      </c>
      <c r="N90" s="3500" t="s">
        <v>3528</v>
      </c>
      <c r="O90" s="3500">
        <v>29141</v>
      </c>
      <c r="P90" s="3500">
        <v>5829</v>
      </c>
      <c r="Q90" s="3500" t="s">
        <v>3604</v>
      </c>
      <c r="R90" s="3500">
        <v>29141</v>
      </c>
      <c r="S90" s="3500">
        <v>3278</v>
      </c>
      <c r="T90" s="3500">
        <v>0</v>
      </c>
    </row>
    <row r="91" spans="1:20" ht="14.25">
      <c r="A91" s="3500" t="s">
        <v>3605</v>
      </c>
      <c r="B91" s="3500" t="s">
        <v>3454</v>
      </c>
      <c r="C91" s="3500" t="s">
        <v>3606</v>
      </c>
      <c r="D91" s="3500" t="s">
        <v>3464</v>
      </c>
      <c r="E91" s="3500">
        <v>21401</v>
      </c>
      <c r="F91" s="3500">
        <v>60992.85</v>
      </c>
      <c r="G91" s="3500" t="s">
        <v>3607</v>
      </c>
      <c r="H91" s="3500" t="s">
        <v>3457</v>
      </c>
      <c r="I91" s="3500" t="s">
        <v>3408</v>
      </c>
      <c r="J91" s="3500" t="s">
        <v>3427</v>
      </c>
      <c r="K91" s="3500" t="s">
        <v>3603</v>
      </c>
      <c r="L91" s="3500" t="s">
        <v>3603</v>
      </c>
      <c r="M91" s="3500" t="s">
        <v>3460</v>
      </c>
      <c r="N91" s="3500" t="s">
        <v>3528</v>
      </c>
      <c r="O91" s="3500">
        <v>12763</v>
      </c>
      <c r="P91" s="3500">
        <v>2553</v>
      </c>
      <c r="Q91" s="3500" t="s">
        <v>3604</v>
      </c>
      <c r="R91" s="3500">
        <v>12763</v>
      </c>
      <c r="S91" s="3500">
        <v>2093</v>
      </c>
      <c r="T91" s="3500">
        <v>0</v>
      </c>
    </row>
    <row r="92" spans="1:20" ht="14.25">
      <c r="A92" s="3500" t="s">
        <v>3608</v>
      </c>
      <c r="B92" s="3500" t="s">
        <v>3454</v>
      </c>
      <c r="C92" s="3500" t="s">
        <v>3609</v>
      </c>
      <c r="D92" s="3500" t="s">
        <v>3464</v>
      </c>
      <c r="E92" s="3500">
        <v>87757</v>
      </c>
      <c r="F92" s="3500">
        <v>245719.6</v>
      </c>
      <c r="G92" s="3500" t="s">
        <v>3610</v>
      </c>
      <c r="H92" s="3500" t="s">
        <v>3457</v>
      </c>
      <c r="I92" s="3500" t="s">
        <v>3408</v>
      </c>
      <c r="J92" s="3500" t="s">
        <v>3427</v>
      </c>
      <c r="K92" s="3500" t="s">
        <v>3603</v>
      </c>
      <c r="L92" s="3500" t="s">
        <v>3603</v>
      </c>
      <c r="M92" s="3500" t="s">
        <v>3460</v>
      </c>
      <c r="N92" s="3500" t="s">
        <v>3528</v>
      </c>
      <c r="O92" s="3500">
        <v>48355</v>
      </c>
      <c r="P92" s="3500">
        <v>9671</v>
      </c>
      <c r="Q92" s="3500" t="s">
        <v>3604</v>
      </c>
      <c r="R92" s="3500">
        <v>48355</v>
      </c>
      <c r="S92" s="3500">
        <v>1968</v>
      </c>
      <c r="T92" s="3500">
        <v>0</v>
      </c>
    </row>
    <row r="93" spans="1:20" ht="14.25">
      <c r="A93" s="3500" t="s">
        <v>3611</v>
      </c>
      <c r="B93" s="3500" t="s">
        <v>3454</v>
      </c>
      <c r="C93" s="3500" t="s">
        <v>3612</v>
      </c>
      <c r="D93" s="3500" t="s">
        <v>3464</v>
      </c>
      <c r="E93" s="3500">
        <v>42185</v>
      </c>
      <c r="F93" s="3500">
        <v>118118</v>
      </c>
      <c r="G93" s="3500" t="s">
        <v>3613</v>
      </c>
      <c r="H93" s="3500" t="s">
        <v>3457</v>
      </c>
      <c r="I93" s="3500" t="s">
        <v>3408</v>
      </c>
      <c r="J93" s="3500" t="s">
        <v>3427</v>
      </c>
      <c r="K93" s="3500" t="s">
        <v>3603</v>
      </c>
      <c r="L93" s="3500" t="s">
        <v>3603</v>
      </c>
      <c r="M93" s="3500" t="s">
        <v>3460</v>
      </c>
      <c r="N93" s="3500" t="s">
        <v>3528</v>
      </c>
      <c r="O93" s="3500">
        <v>25037</v>
      </c>
      <c r="P93" s="3500">
        <v>5008</v>
      </c>
      <c r="Q93" s="3500" t="s">
        <v>3604</v>
      </c>
      <c r="R93" s="3500">
        <v>25037</v>
      </c>
      <c r="S93" s="3500">
        <v>2120</v>
      </c>
      <c r="T93" s="3500">
        <v>0</v>
      </c>
    </row>
    <row r="94" spans="1:20" ht="14.25">
      <c r="A94" s="3500" t="s">
        <v>3614</v>
      </c>
      <c r="B94" s="3500" t="s">
        <v>3454</v>
      </c>
      <c r="C94" s="3500" t="s">
        <v>3615</v>
      </c>
      <c r="D94" s="3500" t="s">
        <v>3464</v>
      </c>
      <c r="E94" s="3500">
        <v>27580</v>
      </c>
      <c r="F94" s="3500">
        <v>49644</v>
      </c>
      <c r="G94" s="3500" t="s">
        <v>3465</v>
      </c>
      <c r="H94" s="3500" t="s">
        <v>3457</v>
      </c>
      <c r="I94" s="3500" t="s">
        <v>3408</v>
      </c>
      <c r="J94" s="3500" t="s">
        <v>3427</v>
      </c>
      <c r="K94" s="3500" t="s">
        <v>3616</v>
      </c>
      <c r="L94" s="3500" t="s">
        <v>3616</v>
      </c>
      <c r="M94" s="3500" t="s">
        <v>3460</v>
      </c>
      <c r="N94" s="3500" t="s">
        <v>3617</v>
      </c>
      <c r="O94" s="3500">
        <v>12379</v>
      </c>
      <c r="P94" s="3500">
        <v>2500</v>
      </c>
      <c r="Q94" s="3500" t="s">
        <v>3618</v>
      </c>
      <c r="R94" s="3500">
        <v>12379</v>
      </c>
      <c r="S94" s="3500">
        <v>2494</v>
      </c>
      <c r="T94" s="3500">
        <v>0</v>
      </c>
    </row>
    <row r="95" spans="1:20" ht="14.25">
      <c r="A95" s="3500" t="s">
        <v>3619</v>
      </c>
      <c r="B95" s="3500" t="s">
        <v>3454</v>
      </c>
      <c r="C95" s="3500" t="s">
        <v>3620</v>
      </c>
      <c r="D95" s="3500" t="s">
        <v>3464</v>
      </c>
      <c r="E95" s="3500">
        <v>315</v>
      </c>
      <c r="F95" s="3500">
        <v>267.75</v>
      </c>
      <c r="G95" s="3500" t="s">
        <v>3621</v>
      </c>
      <c r="H95" s="3500" t="s">
        <v>3457</v>
      </c>
      <c r="I95" s="3500" t="s">
        <v>3408</v>
      </c>
      <c r="J95" s="3500" t="s">
        <v>3427</v>
      </c>
      <c r="K95" s="3500" t="s">
        <v>3616</v>
      </c>
      <c r="L95" s="3500" t="s">
        <v>3616</v>
      </c>
      <c r="M95" s="3500" t="s">
        <v>3460</v>
      </c>
      <c r="N95" s="3500" t="s">
        <v>3622</v>
      </c>
      <c r="O95" s="3500">
        <v>374</v>
      </c>
      <c r="P95" s="3500">
        <v>76</v>
      </c>
      <c r="Q95" s="3500" t="s">
        <v>3618</v>
      </c>
      <c r="R95" s="3500">
        <v>374</v>
      </c>
      <c r="S95" s="3500">
        <v>13968</v>
      </c>
      <c r="T95" s="3500">
        <v>0</v>
      </c>
    </row>
    <row r="96" spans="1:20" ht="14.25">
      <c r="A96" s="3500" t="s">
        <v>3623</v>
      </c>
      <c r="B96" s="3500" t="s">
        <v>3454</v>
      </c>
      <c r="C96" s="3500" t="s">
        <v>3624</v>
      </c>
      <c r="D96" s="3500" t="s">
        <v>3455</v>
      </c>
      <c r="E96" s="3500">
        <v>1072</v>
      </c>
      <c r="F96" s="3500">
        <v>857.6</v>
      </c>
      <c r="G96" s="3500" t="s">
        <v>3625</v>
      </c>
      <c r="H96" s="3500" t="s">
        <v>3457</v>
      </c>
      <c r="I96" s="3500" t="s">
        <v>3458</v>
      </c>
      <c r="J96" s="3500" t="s">
        <v>3427</v>
      </c>
      <c r="K96" s="3500" t="s">
        <v>3616</v>
      </c>
      <c r="L96" s="3500" t="s">
        <v>3616</v>
      </c>
      <c r="M96" s="3500" t="s">
        <v>3460</v>
      </c>
      <c r="N96" s="3500" t="s">
        <v>3626</v>
      </c>
      <c r="O96" s="3500">
        <v>779</v>
      </c>
      <c r="P96" s="3500">
        <v>160</v>
      </c>
      <c r="Q96" s="3500" t="s">
        <v>3618</v>
      </c>
      <c r="R96" s="3500">
        <v>779</v>
      </c>
      <c r="S96" s="3500">
        <v>9083</v>
      </c>
      <c r="T96" s="3500">
        <v>0</v>
      </c>
    </row>
    <row r="97" spans="1:20" ht="14.25">
      <c r="A97" s="3500" t="s">
        <v>3627</v>
      </c>
      <c r="B97" s="3500" t="s">
        <v>3454</v>
      </c>
      <c r="C97" s="3500" t="s">
        <v>3628</v>
      </c>
      <c r="D97" s="3500" t="s">
        <v>3629</v>
      </c>
      <c r="E97" s="3500">
        <v>540</v>
      </c>
      <c r="F97" s="3500">
        <v>561.6</v>
      </c>
      <c r="G97" s="3500" t="s">
        <v>3630</v>
      </c>
      <c r="H97" s="3500" t="s">
        <v>3457</v>
      </c>
      <c r="I97" s="3500" t="s">
        <v>3631</v>
      </c>
      <c r="J97" s="3500" t="s">
        <v>3427</v>
      </c>
      <c r="K97" s="3500" t="s">
        <v>3616</v>
      </c>
      <c r="L97" s="3500" t="s">
        <v>3616</v>
      </c>
      <c r="M97" s="3500" t="s">
        <v>3460</v>
      </c>
      <c r="N97" s="3500" t="s">
        <v>3622</v>
      </c>
      <c r="O97" s="3500">
        <v>588</v>
      </c>
      <c r="P97" s="3500">
        <v>464</v>
      </c>
      <c r="Q97" s="3500" t="s">
        <v>3618</v>
      </c>
      <c r="R97" s="3500">
        <v>588</v>
      </c>
      <c r="S97" s="3500">
        <v>10470</v>
      </c>
      <c r="T97" s="3500">
        <v>0</v>
      </c>
    </row>
    <row r="98" spans="1:20" ht="14.25">
      <c r="A98" s="3500" t="s">
        <v>3632</v>
      </c>
      <c r="B98" s="3500" t="s">
        <v>3454</v>
      </c>
      <c r="C98" s="3500" t="s">
        <v>3633</v>
      </c>
      <c r="D98" s="3500" t="s">
        <v>3464</v>
      </c>
      <c r="E98" s="3500">
        <v>172</v>
      </c>
      <c r="F98" s="3500">
        <v>146.19999999999999</v>
      </c>
      <c r="G98" s="3500" t="s">
        <v>3621</v>
      </c>
      <c r="H98" s="3500" t="s">
        <v>3457</v>
      </c>
      <c r="I98" s="3500" t="s">
        <v>3408</v>
      </c>
      <c r="J98" s="3500" t="s">
        <v>3427</v>
      </c>
      <c r="K98" s="3500" t="s">
        <v>3616</v>
      </c>
      <c r="L98" s="3500" t="s">
        <v>3616</v>
      </c>
      <c r="M98" s="3500" t="s">
        <v>3460</v>
      </c>
      <c r="N98" s="3500" t="s">
        <v>3622</v>
      </c>
      <c r="O98" s="3500">
        <v>204</v>
      </c>
      <c r="P98" s="3500">
        <v>42</v>
      </c>
      <c r="Q98" s="3500" t="s">
        <v>3618</v>
      </c>
      <c r="R98" s="3500">
        <v>204</v>
      </c>
      <c r="S98" s="3500">
        <v>13953</v>
      </c>
      <c r="T98" s="3500">
        <v>0</v>
      </c>
    </row>
    <row r="99" spans="1:20" ht="14.25">
      <c r="A99" s="3500" t="s">
        <v>3634</v>
      </c>
      <c r="B99" s="3500" t="s">
        <v>3454</v>
      </c>
      <c r="C99" s="3500" t="s">
        <v>3635</v>
      </c>
      <c r="D99" s="3500" t="s">
        <v>3464</v>
      </c>
      <c r="E99" s="3500">
        <v>134</v>
      </c>
      <c r="F99" s="3500">
        <v>134</v>
      </c>
      <c r="G99" s="3500" t="s">
        <v>3636</v>
      </c>
      <c r="H99" s="3500" t="s">
        <v>3457</v>
      </c>
      <c r="I99" s="3500" t="s">
        <v>3408</v>
      </c>
      <c r="J99" s="3500" t="s">
        <v>3427</v>
      </c>
      <c r="K99" s="3500" t="s">
        <v>3616</v>
      </c>
      <c r="L99" s="3500" t="s">
        <v>3616</v>
      </c>
      <c r="M99" s="3500" t="s">
        <v>3460</v>
      </c>
      <c r="N99" s="3500" t="s">
        <v>3622</v>
      </c>
      <c r="O99" s="3500">
        <v>161</v>
      </c>
      <c r="P99" s="3500">
        <v>33</v>
      </c>
      <c r="Q99" s="3500" t="s">
        <v>3618</v>
      </c>
      <c r="R99" s="3500">
        <v>161</v>
      </c>
      <c r="S99" s="3500">
        <v>12015</v>
      </c>
      <c r="T99" s="3500">
        <v>0</v>
      </c>
    </row>
    <row r="100" spans="1:20" ht="14.25">
      <c r="A100" s="3500" t="s">
        <v>3637</v>
      </c>
      <c r="B100" s="3500" t="s">
        <v>3454</v>
      </c>
      <c r="C100" s="3500" t="s">
        <v>3638</v>
      </c>
      <c r="D100" s="3500" t="s">
        <v>3464</v>
      </c>
      <c r="E100" s="3500">
        <v>111</v>
      </c>
      <c r="F100" s="3500">
        <v>111</v>
      </c>
      <c r="G100" s="3500" t="s">
        <v>3636</v>
      </c>
      <c r="H100" s="3500" t="s">
        <v>3457</v>
      </c>
      <c r="I100" s="3500" t="s">
        <v>3408</v>
      </c>
      <c r="J100" s="3500" t="s">
        <v>3427</v>
      </c>
      <c r="K100" s="3500" t="s">
        <v>3616</v>
      </c>
      <c r="L100" s="3500" t="s">
        <v>3616</v>
      </c>
      <c r="M100" s="3500" t="s">
        <v>3460</v>
      </c>
      <c r="N100" s="3500" t="s">
        <v>3622</v>
      </c>
      <c r="O100" s="3500">
        <v>134</v>
      </c>
      <c r="P100" s="3500">
        <v>28</v>
      </c>
      <c r="Q100" s="3500" t="s">
        <v>3618</v>
      </c>
      <c r="R100" s="3500">
        <v>134</v>
      </c>
      <c r="S100" s="3500">
        <v>12072</v>
      </c>
      <c r="T100" s="3500">
        <v>0</v>
      </c>
    </row>
    <row r="101" spans="1:20" ht="14.25">
      <c r="A101" s="3500" t="s">
        <v>3639</v>
      </c>
      <c r="B101" s="3500" t="s">
        <v>3454</v>
      </c>
      <c r="C101" s="3500" t="s">
        <v>3640</v>
      </c>
      <c r="D101" s="3500" t="s">
        <v>3464</v>
      </c>
      <c r="E101" s="3500">
        <v>439</v>
      </c>
      <c r="F101" s="3500">
        <v>307.3</v>
      </c>
      <c r="G101" s="3500" t="s">
        <v>3641</v>
      </c>
      <c r="H101" s="3500" t="s">
        <v>3457</v>
      </c>
      <c r="I101" s="3500" t="s">
        <v>3408</v>
      </c>
      <c r="J101" s="3500" t="s">
        <v>3427</v>
      </c>
      <c r="K101" s="3500" t="s">
        <v>3616</v>
      </c>
      <c r="L101" s="3500" t="s">
        <v>3616</v>
      </c>
      <c r="M101" s="3500" t="s">
        <v>3460</v>
      </c>
      <c r="N101" s="3500" t="s">
        <v>3622</v>
      </c>
      <c r="O101" s="3500">
        <v>557</v>
      </c>
      <c r="P101" s="3500">
        <v>464</v>
      </c>
      <c r="Q101" s="3500" t="s">
        <v>3618</v>
      </c>
      <c r="R101" s="3500">
        <v>557</v>
      </c>
      <c r="S101" s="3500">
        <v>18126</v>
      </c>
      <c r="T101" s="3500">
        <v>0</v>
      </c>
    </row>
    <row r="102" spans="1:20" ht="14.25">
      <c r="A102" s="3500" t="s">
        <v>3642</v>
      </c>
      <c r="B102" s="3500" t="s">
        <v>3454</v>
      </c>
      <c r="C102" s="3500" t="s">
        <v>3643</v>
      </c>
      <c r="D102" s="3500" t="s">
        <v>3464</v>
      </c>
      <c r="E102" s="3500">
        <v>398</v>
      </c>
      <c r="F102" s="3500">
        <v>497.5</v>
      </c>
      <c r="G102" s="3500" t="s">
        <v>3644</v>
      </c>
      <c r="H102" s="3500" t="s">
        <v>3457</v>
      </c>
      <c r="I102" s="3500" t="s">
        <v>3408</v>
      </c>
      <c r="J102" s="3500" t="s">
        <v>3427</v>
      </c>
      <c r="K102" s="3500" t="s">
        <v>3616</v>
      </c>
      <c r="L102" s="3500" t="s">
        <v>3616</v>
      </c>
      <c r="M102" s="3500" t="s">
        <v>3460</v>
      </c>
      <c r="N102" s="3500" t="s">
        <v>3622</v>
      </c>
      <c r="O102" s="3500">
        <v>555</v>
      </c>
      <c r="P102" s="3500">
        <v>112</v>
      </c>
      <c r="Q102" s="3500" t="s">
        <v>3618</v>
      </c>
      <c r="R102" s="3500">
        <v>555</v>
      </c>
      <c r="S102" s="3500">
        <v>11156</v>
      </c>
      <c r="T102" s="3500">
        <v>0</v>
      </c>
    </row>
    <row r="103" spans="1:20" ht="14.25">
      <c r="A103" s="3500" t="s">
        <v>3645</v>
      </c>
      <c r="B103" s="3500" t="s">
        <v>3454</v>
      </c>
      <c r="C103" s="3500" t="s">
        <v>3646</v>
      </c>
      <c r="D103" s="3500" t="s">
        <v>3629</v>
      </c>
      <c r="E103" s="3500">
        <v>57</v>
      </c>
      <c r="F103" s="3500">
        <v>57.57</v>
      </c>
      <c r="G103" s="3500" t="s">
        <v>3647</v>
      </c>
      <c r="H103" s="3500" t="s">
        <v>3457</v>
      </c>
      <c r="I103" s="3500" t="s">
        <v>3631</v>
      </c>
      <c r="J103" s="3500" t="s">
        <v>3427</v>
      </c>
      <c r="K103" s="3500" t="s">
        <v>3616</v>
      </c>
      <c r="L103" s="3500" t="s">
        <v>3616</v>
      </c>
      <c r="M103" s="3500" t="s">
        <v>3460</v>
      </c>
      <c r="N103" s="3500" t="s">
        <v>3622</v>
      </c>
      <c r="O103" s="3500">
        <v>61</v>
      </c>
      <c r="P103" s="3500">
        <v>13</v>
      </c>
      <c r="Q103" s="3500" t="s">
        <v>3618</v>
      </c>
      <c r="R103" s="3500">
        <v>61</v>
      </c>
      <c r="S103" s="3500">
        <v>10596</v>
      </c>
      <c r="T103" s="3500">
        <v>0</v>
      </c>
    </row>
    <row r="104" spans="1:20" ht="14.25">
      <c r="A104" s="3500" t="s">
        <v>3648</v>
      </c>
      <c r="B104" s="3500" t="s">
        <v>3454</v>
      </c>
      <c r="C104" s="3500" t="s">
        <v>3649</v>
      </c>
      <c r="D104" s="3500" t="s">
        <v>3464</v>
      </c>
      <c r="E104" s="3500">
        <v>194</v>
      </c>
      <c r="F104" s="3500">
        <v>164.9</v>
      </c>
      <c r="G104" s="3500" t="s">
        <v>3621</v>
      </c>
      <c r="H104" s="3500" t="s">
        <v>3457</v>
      </c>
      <c r="I104" s="3500" t="s">
        <v>3408</v>
      </c>
      <c r="J104" s="3500" t="s">
        <v>3427</v>
      </c>
      <c r="K104" s="3500" t="s">
        <v>3616</v>
      </c>
      <c r="L104" s="3500" t="s">
        <v>3616</v>
      </c>
      <c r="M104" s="3500" t="s">
        <v>3460</v>
      </c>
      <c r="N104" s="3500" t="s">
        <v>3622</v>
      </c>
      <c r="O104" s="3500">
        <v>230</v>
      </c>
      <c r="P104" s="3500">
        <v>47</v>
      </c>
      <c r="Q104" s="3500" t="s">
        <v>3618</v>
      </c>
      <c r="R104" s="3500">
        <v>230</v>
      </c>
      <c r="S104" s="3500">
        <v>13948</v>
      </c>
      <c r="T104" s="3500">
        <v>0</v>
      </c>
    </row>
    <row r="105" spans="1:20" ht="14.25">
      <c r="A105" s="3500" t="s">
        <v>3650</v>
      </c>
      <c r="B105" s="3500" t="s">
        <v>3454</v>
      </c>
      <c r="C105" s="3500" t="s">
        <v>3651</v>
      </c>
      <c r="D105" s="3500" t="s">
        <v>3455</v>
      </c>
      <c r="E105" s="3500">
        <v>27</v>
      </c>
      <c r="F105" s="3500">
        <v>27</v>
      </c>
      <c r="G105" s="3500" t="s">
        <v>3636</v>
      </c>
      <c r="H105" s="3500" t="s">
        <v>3457</v>
      </c>
      <c r="I105" s="3500" t="s">
        <v>3458</v>
      </c>
      <c r="J105" s="3500" t="s">
        <v>3427</v>
      </c>
      <c r="K105" s="3500" t="s">
        <v>3616</v>
      </c>
      <c r="L105" s="3500" t="s">
        <v>3616</v>
      </c>
      <c r="M105" s="3500" t="s">
        <v>3460</v>
      </c>
      <c r="N105" s="3500" t="s">
        <v>3622</v>
      </c>
      <c r="O105" s="3500">
        <v>26</v>
      </c>
      <c r="P105" s="3500">
        <v>6</v>
      </c>
      <c r="Q105" s="3500" t="s">
        <v>3618</v>
      </c>
      <c r="R105" s="3500">
        <v>26</v>
      </c>
      <c r="S105" s="3500">
        <v>9630</v>
      </c>
      <c r="T105" s="3500">
        <v>0</v>
      </c>
    </row>
    <row r="106" spans="1:20" ht="14.25">
      <c r="A106" s="3500" t="s">
        <v>3652</v>
      </c>
      <c r="B106" s="3500" t="s">
        <v>3454</v>
      </c>
      <c r="C106" s="3500" t="s">
        <v>3653</v>
      </c>
      <c r="D106" s="3500" t="s">
        <v>3464</v>
      </c>
      <c r="E106" s="3500">
        <v>545</v>
      </c>
      <c r="F106" s="3500">
        <v>517.75</v>
      </c>
      <c r="G106" s="3500" t="s">
        <v>3654</v>
      </c>
      <c r="H106" s="3500" t="s">
        <v>3457</v>
      </c>
      <c r="I106" s="3500" t="s">
        <v>3408</v>
      </c>
      <c r="J106" s="3500" t="s">
        <v>3427</v>
      </c>
      <c r="K106" s="3500" t="s">
        <v>3616</v>
      </c>
      <c r="L106" s="3500" t="s">
        <v>3616</v>
      </c>
      <c r="M106" s="3500" t="s">
        <v>3460</v>
      </c>
      <c r="N106" s="3500" t="s">
        <v>3622</v>
      </c>
      <c r="O106" s="3500">
        <v>651</v>
      </c>
      <c r="P106" s="3500">
        <v>131</v>
      </c>
      <c r="Q106" s="3500" t="s">
        <v>3618</v>
      </c>
      <c r="R106" s="3500">
        <v>651</v>
      </c>
      <c r="S106" s="3500">
        <v>12574</v>
      </c>
      <c r="T106" s="3500">
        <v>0</v>
      </c>
    </row>
    <row r="107" spans="1:20" ht="14.25">
      <c r="A107" s="3500" t="s">
        <v>3655</v>
      </c>
      <c r="B107" s="3500" t="s">
        <v>3454</v>
      </c>
      <c r="C107" s="3500" t="s">
        <v>3656</v>
      </c>
      <c r="D107" s="3500" t="s">
        <v>3464</v>
      </c>
      <c r="E107" s="3500">
        <v>115</v>
      </c>
      <c r="F107" s="3500">
        <v>161</v>
      </c>
      <c r="G107" s="3500" t="s">
        <v>3657</v>
      </c>
      <c r="H107" s="3500" t="s">
        <v>3457</v>
      </c>
      <c r="I107" s="3500" t="s">
        <v>3408</v>
      </c>
      <c r="J107" s="3500" t="s">
        <v>3427</v>
      </c>
      <c r="K107" s="3500" t="s">
        <v>3616</v>
      </c>
      <c r="L107" s="3500" t="s">
        <v>3616</v>
      </c>
      <c r="M107" s="3500" t="s">
        <v>3460</v>
      </c>
      <c r="N107" s="3500" t="s">
        <v>3622</v>
      </c>
      <c r="O107" s="3500">
        <v>174</v>
      </c>
      <c r="P107" s="3500">
        <v>36</v>
      </c>
      <c r="Q107" s="3500" t="s">
        <v>3618</v>
      </c>
      <c r="R107" s="3500">
        <v>174</v>
      </c>
      <c r="S107" s="3500">
        <v>10807</v>
      </c>
      <c r="T107" s="3500">
        <v>0</v>
      </c>
    </row>
    <row r="108" spans="1:20" ht="14.25">
      <c r="A108" s="3500" t="s">
        <v>3658</v>
      </c>
      <c r="B108" s="3500" t="s">
        <v>3454</v>
      </c>
      <c r="C108" s="3500" t="s">
        <v>3659</v>
      </c>
      <c r="D108" s="3500" t="s">
        <v>3464</v>
      </c>
      <c r="E108" s="3500">
        <v>403</v>
      </c>
      <c r="F108" s="3500">
        <v>322.39999999999998</v>
      </c>
      <c r="G108" s="3500" t="s">
        <v>3625</v>
      </c>
      <c r="H108" s="3500" t="s">
        <v>3457</v>
      </c>
      <c r="I108" s="3500" t="s">
        <v>3408</v>
      </c>
      <c r="J108" s="3500" t="s">
        <v>3427</v>
      </c>
      <c r="K108" s="3500" t="s">
        <v>3616</v>
      </c>
      <c r="L108" s="3500" t="s">
        <v>3616</v>
      </c>
      <c r="M108" s="3500" t="s">
        <v>3460</v>
      </c>
      <c r="N108" s="3500" t="s">
        <v>3622</v>
      </c>
      <c r="O108" s="3500">
        <v>481</v>
      </c>
      <c r="P108" s="3500">
        <v>97</v>
      </c>
      <c r="Q108" s="3500" t="s">
        <v>3618</v>
      </c>
      <c r="R108" s="3500">
        <v>481</v>
      </c>
      <c r="S108" s="3500">
        <v>14919</v>
      </c>
      <c r="T108" s="3500">
        <v>0</v>
      </c>
    </row>
    <row r="109" spans="1:20" ht="14.25">
      <c r="A109" s="3500" t="s">
        <v>3660</v>
      </c>
      <c r="B109" s="3500" t="s">
        <v>3454</v>
      </c>
      <c r="C109" s="3500" t="s">
        <v>3661</v>
      </c>
      <c r="D109" s="3500" t="s">
        <v>3455</v>
      </c>
      <c r="E109" s="3500">
        <v>1333</v>
      </c>
      <c r="F109" s="3500">
        <v>1199.7</v>
      </c>
      <c r="G109" s="3500" t="s">
        <v>3662</v>
      </c>
      <c r="H109" s="3500" t="s">
        <v>3457</v>
      </c>
      <c r="I109" s="3500" t="s">
        <v>3458</v>
      </c>
      <c r="J109" s="3500" t="s">
        <v>3427</v>
      </c>
      <c r="K109" s="3500" t="s">
        <v>3616</v>
      </c>
      <c r="L109" s="3500" t="s">
        <v>3616</v>
      </c>
      <c r="M109" s="3500" t="s">
        <v>3460</v>
      </c>
      <c r="N109" s="3500" t="s">
        <v>3626</v>
      </c>
      <c r="O109" s="3500">
        <v>1095</v>
      </c>
      <c r="P109" s="3500">
        <v>219</v>
      </c>
      <c r="Q109" s="3500" t="s">
        <v>3618</v>
      </c>
      <c r="R109" s="3500">
        <v>1095</v>
      </c>
      <c r="S109" s="3500">
        <v>9127</v>
      </c>
      <c r="T109" s="3500">
        <v>0</v>
      </c>
    </row>
    <row r="110" spans="1:20" ht="14.25">
      <c r="A110" s="3500" t="s">
        <v>3663</v>
      </c>
      <c r="B110" s="3500" t="s">
        <v>3454</v>
      </c>
      <c r="C110" s="3500" t="s">
        <v>3664</v>
      </c>
      <c r="D110" s="3500" t="s">
        <v>3464</v>
      </c>
      <c r="E110" s="3500">
        <v>706</v>
      </c>
      <c r="F110" s="3500">
        <v>882.5</v>
      </c>
      <c r="G110" s="3500" t="s">
        <v>3644</v>
      </c>
      <c r="H110" s="3500" t="s">
        <v>3457</v>
      </c>
      <c r="I110" s="3500" t="s">
        <v>3408</v>
      </c>
      <c r="J110" s="3500" t="s">
        <v>3427</v>
      </c>
      <c r="K110" s="3500" t="s">
        <v>3616</v>
      </c>
      <c r="L110" s="3500" t="s">
        <v>3616</v>
      </c>
      <c r="M110" s="3500" t="s">
        <v>3460</v>
      </c>
      <c r="N110" s="3500" t="s">
        <v>3622</v>
      </c>
      <c r="O110" s="3500">
        <v>985</v>
      </c>
      <c r="P110" s="3500">
        <v>895</v>
      </c>
      <c r="Q110" s="3500" t="s">
        <v>3618</v>
      </c>
      <c r="R110" s="3500">
        <v>985</v>
      </c>
      <c r="S110" s="3500">
        <v>11161</v>
      </c>
      <c r="T110" s="3500">
        <v>0</v>
      </c>
    </row>
    <row r="111" spans="1:20" ht="14.25">
      <c r="A111" s="3500" t="s">
        <v>3665</v>
      </c>
      <c r="B111" s="3500" t="s">
        <v>3454</v>
      </c>
      <c r="C111" s="3500" t="s">
        <v>3666</v>
      </c>
      <c r="D111" s="3500" t="s">
        <v>3464</v>
      </c>
      <c r="E111" s="3500">
        <v>409</v>
      </c>
      <c r="F111" s="3500">
        <v>347.65</v>
      </c>
      <c r="G111" s="3500" t="s">
        <v>3621</v>
      </c>
      <c r="H111" s="3500" t="s">
        <v>3457</v>
      </c>
      <c r="I111" s="3500" t="s">
        <v>3408</v>
      </c>
      <c r="J111" s="3500" t="s">
        <v>3427</v>
      </c>
      <c r="K111" s="3500" t="s">
        <v>3616</v>
      </c>
      <c r="L111" s="3500" t="s">
        <v>3616</v>
      </c>
      <c r="M111" s="3500" t="s">
        <v>3460</v>
      </c>
      <c r="N111" s="3500" t="s">
        <v>3622</v>
      </c>
      <c r="O111" s="3500">
        <v>485</v>
      </c>
      <c r="P111" s="3500">
        <v>98</v>
      </c>
      <c r="Q111" s="3500" t="s">
        <v>3618</v>
      </c>
      <c r="R111" s="3500">
        <v>485</v>
      </c>
      <c r="S111" s="3500">
        <v>13951</v>
      </c>
      <c r="T111" s="3500">
        <v>0</v>
      </c>
    </row>
    <row r="112" spans="1:20" ht="14.25">
      <c r="A112" s="3500" t="s">
        <v>3667</v>
      </c>
      <c r="B112" s="3500" t="s">
        <v>3454</v>
      </c>
      <c r="C112" s="3500" t="s">
        <v>3668</v>
      </c>
      <c r="D112" s="3500" t="s">
        <v>3455</v>
      </c>
      <c r="E112" s="3500">
        <v>2513</v>
      </c>
      <c r="F112" s="3500">
        <v>2261.6999999999998</v>
      </c>
      <c r="G112" s="3500" t="s">
        <v>3662</v>
      </c>
      <c r="H112" s="3500" t="s">
        <v>3457</v>
      </c>
      <c r="I112" s="3500" t="s">
        <v>3458</v>
      </c>
      <c r="J112" s="3500" t="s">
        <v>3427</v>
      </c>
      <c r="K112" s="3500" t="s">
        <v>3616</v>
      </c>
      <c r="L112" s="3500" t="s">
        <v>3616</v>
      </c>
      <c r="M112" s="3500" t="s">
        <v>3460</v>
      </c>
      <c r="N112" s="3500" t="s">
        <v>3626</v>
      </c>
      <c r="O112" s="3500">
        <v>2071</v>
      </c>
      <c r="P112" s="3500">
        <v>415</v>
      </c>
      <c r="Q112" s="3500" t="s">
        <v>3618</v>
      </c>
      <c r="R112" s="3500">
        <v>2071</v>
      </c>
      <c r="S112" s="3500">
        <v>9157</v>
      </c>
      <c r="T112" s="3500">
        <v>0</v>
      </c>
    </row>
    <row r="113" spans="1:20" ht="14.25">
      <c r="A113" s="3500" t="s">
        <v>3669</v>
      </c>
      <c r="B113" s="3500" t="s">
        <v>3454</v>
      </c>
      <c r="C113" s="3500" t="s">
        <v>3670</v>
      </c>
      <c r="D113" s="3500" t="s">
        <v>3455</v>
      </c>
      <c r="E113" s="3500">
        <v>34</v>
      </c>
      <c r="F113" s="3500">
        <v>32.299999999999997</v>
      </c>
      <c r="G113" s="3500" t="s">
        <v>3654</v>
      </c>
      <c r="H113" s="3500" t="s">
        <v>3457</v>
      </c>
      <c r="I113" s="3500" t="s">
        <v>3458</v>
      </c>
      <c r="J113" s="3500" t="s">
        <v>3427</v>
      </c>
      <c r="K113" s="3500" t="s">
        <v>3616</v>
      </c>
      <c r="L113" s="3500" t="s">
        <v>3616</v>
      </c>
      <c r="M113" s="3500" t="s">
        <v>3460</v>
      </c>
      <c r="N113" s="3500" t="s">
        <v>3622</v>
      </c>
      <c r="O113" s="3500">
        <v>32</v>
      </c>
      <c r="P113" s="3500">
        <v>7</v>
      </c>
      <c r="Q113" s="3500" t="s">
        <v>3618</v>
      </c>
      <c r="R113" s="3500">
        <v>32</v>
      </c>
      <c r="S113" s="3500">
        <v>9907</v>
      </c>
      <c r="T113" s="3500">
        <v>0</v>
      </c>
    </row>
    <row r="114" spans="1:20" ht="14.25">
      <c r="A114" s="3500" t="s">
        <v>3671</v>
      </c>
      <c r="B114" s="3500" t="s">
        <v>3454</v>
      </c>
      <c r="C114" s="3500" t="s">
        <v>3672</v>
      </c>
      <c r="D114" s="3500" t="s">
        <v>3464</v>
      </c>
      <c r="E114" s="3500">
        <v>335</v>
      </c>
      <c r="F114" s="3500">
        <v>318.25</v>
      </c>
      <c r="G114" s="3500" t="s">
        <v>3654</v>
      </c>
      <c r="H114" s="3500" t="s">
        <v>3457</v>
      </c>
      <c r="I114" s="3500" t="s">
        <v>3408</v>
      </c>
      <c r="J114" s="3500" t="s">
        <v>3427</v>
      </c>
      <c r="K114" s="3500" t="s">
        <v>3616</v>
      </c>
      <c r="L114" s="3500" t="s">
        <v>3616</v>
      </c>
      <c r="M114" s="3500" t="s">
        <v>3460</v>
      </c>
      <c r="N114" s="3500" t="s">
        <v>3622</v>
      </c>
      <c r="O114" s="3500">
        <v>401</v>
      </c>
      <c r="P114" s="3500">
        <v>81</v>
      </c>
      <c r="Q114" s="3500" t="s">
        <v>3618</v>
      </c>
      <c r="R114" s="3500">
        <v>401</v>
      </c>
      <c r="S114" s="3500">
        <v>12600</v>
      </c>
      <c r="T114" s="3500">
        <v>0</v>
      </c>
    </row>
    <row r="115" spans="1:20" ht="14.25">
      <c r="A115" s="3500" t="s">
        <v>3673</v>
      </c>
      <c r="B115" s="3500" t="s">
        <v>3454</v>
      </c>
      <c r="C115" s="3500" t="s">
        <v>3674</v>
      </c>
      <c r="D115" s="3500" t="s">
        <v>3464</v>
      </c>
      <c r="E115" s="3500">
        <v>208</v>
      </c>
      <c r="F115" s="3500">
        <v>145.6</v>
      </c>
      <c r="G115" s="3500" t="s">
        <v>3641</v>
      </c>
      <c r="H115" s="3500" t="s">
        <v>3457</v>
      </c>
      <c r="I115" s="3500" t="s">
        <v>3408</v>
      </c>
      <c r="J115" s="3500" t="s">
        <v>3427</v>
      </c>
      <c r="K115" s="3500" t="s">
        <v>3616</v>
      </c>
      <c r="L115" s="3500" t="s">
        <v>3616</v>
      </c>
      <c r="M115" s="3500" t="s">
        <v>3460</v>
      </c>
      <c r="N115" s="3500" t="s">
        <v>3622</v>
      </c>
      <c r="O115" s="3500">
        <v>264</v>
      </c>
      <c r="P115" s="3500">
        <v>54</v>
      </c>
      <c r="Q115" s="3500" t="s">
        <v>3618</v>
      </c>
      <c r="R115" s="3500">
        <v>264</v>
      </c>
      <c r="S115" s="3500">
        <v>18132</v>
      </c>
      <c r="T115" s="3500">
        <v>0</v>
      </c>
    </row>
    <row r="116" spans="1:20" ht="14.25">
      <c r="A116" s="3500" t="s">
        <v>3675</v>
      </c>
      <c r="B116" s="3500" t="s">
        <v>3454</v>
      </c>
      <c r="C116" s="3500" t="s">
        <v>3676</v>
      </c>
      <c r="D116" s="3500" t="s">
        <v>3464</v>
      </c>
      <c r="E116" s="3500">
        <v>252</v>
      </c>
      <c r="F116" s="3500">
        <v>189</v>
      </c>
      <c r="G116" s="3500" t="s">
        <v>3677</v>
      </c>
      <c r="H116" s="3500" t="s">
        <v>3457</v>
      </c>
      <c r="I116" s="3500" t="s">
        <v>3408</v>
      </c>
      <c r="J116" s="3500" t="s">
        <v>3427</v>
      </c>
      <c r="K116" s="3500" t="s">
        <v>3616</v>
      </c>
      <c r="L116" s="3500" t="s">
        <v>3616</v>
      </c>
      <c r="M116" s="3500" t="s">
        <v>3460</v>
      </c>
      <c r="N116" s="3500" t="s">
        <v>3622</v>
      </c>
      <c r="O116" s="3500">
        <v>340</v>
      </c>
      <c r="P116" s="3500">
        <v>69</v>
      </c>
      <c r="Q116" s="3500" t="s">
        <v>3618</v>
      </c>
      <c r="R116" s="3500">
        <v>340</v>
      </c>
      <c r="S116" s="3500">
        <v>17989</v>
      </c>
      <c r="T116" s="3500">
        <v>0</v>
      </c>
    </row>
    <row r="117" spans="1:20" ht="14.25">
      <c r="A117" s="3500" t="s">
        <v>3678</v>
      </c>
      <c r="B117" s="3500" t="s">
        <v>3454</v>
      </c>
      <c r="C117" s="3500" t="s">
        <v>3679</v>
      </c>
      <c r="D117" s="3500" t="s">
        <v>3455</v>
      </c>
      <c r="E117" s="3500">
        <v>3173</v>
      </c>
      <c r="F117" s="3500">
        <v>2538.4</v>
      </c>
      <c r="G117" s="3500" t="s">
        <v>3625</v>
      </c>
      <c r="H117" s="3500" t="s">
        <v>3457</v>
      </c>
      <c r="I117" s="3500" t="s">
        <v>3458</v>
      </c>
      <c r="J117" s="3500" t="s">
        <v>3427</v>
      </c>
      <c r="K117" s="3500" t="s">
        <v>3616</v>
      </c>
      <c r="L117" s="3500" t="s">
        <v>3616</v>
      </c>
      <c r="M117" s="3500" t="s">
        <v>3460</v>
      </c>
      <c r="N117" s="3500" t="s">
        <v>3626</v>
      </c>
      <c r="O117" s="3500">
        <v>2450</v>
      </c>
      <c r="P117" s="3500">
        <v>490</v>
      </c>
      <c r="Q117" s="3500" t="s">
        <v>3618</v>
      </c>
      <c r="R117" s="3500">
        <v>2450</v>
      </c>
      <c r="S117" s="3500">
        <v>9652</v>
      </c>
      <c r="T117" s="3500">
        <v>0</v>
      </c>
    </row>
    <row r="118" spans="1:20" ht="14.25">
      <c r="A118" s="3500" t="s">
        <v>3680</v>
      </c>
      <c r="B118" s="3500" t="s">
        <v>3454</v>
      </c>
      <c r="C118" s="3500" t="s">
        <v>3681</v>
      </c>
      <c r="D118" s="3500" t="s">
        <v>3464</v>
      </c>
      <c r="E118" s="3500">
        <v>13232</v>
      </c>
      <c r="F118" s="3500">
        <v>14555.2</v>
      </c>
      <c r="G118" s="3500" t="s">
        <v>3682</v>
      </c>
      <c r="H118" s="3500" t="s">
        <v>3457</v>
      </c>
      <c r="I118" s="3500" t="s">
        <v>3408</v>
      </c>
      <c r="J118" s="3500" t="s">
        <v>3427</v>
      </c>
      <c r="K118" s="3500" t="s">
        <v>3616</v>
      </c>
      <c r="L118" s="3500" t="s">
        <v>3616</v>
      </c>
      <c r="M118" s="3500" t="s">
        <v>3460</v>
      </c>
      <c r="N118" s="3500" t="s">
        <v>3617</v>
      </c>
      <c r="O118" s="3500">
        <v>5384</v>
      </c>
      <c r="P118" s="3500">
        <v>1100</v>
      </c>
      <c r="Q118" s="3500" t="s">
        <v>3618</v>
      </c>
      <c r="R118" s="3500">
        <v>5384</v>
      </c>
      <c r="S118" s="3500">
        <v>3699</v>
      </c>
      <c r="T118" s="3500">
        <v>0</v>
      </c>
    </row>
    <row r="119" spans="1:20" ht="14.25">
      <c r="A119" s="3500" t="s">
        <v>3683</v>
      </c>
      <c r="B119" s="3500" t="s">
        <v>3454</v>
      </c>
      <c r="C119" s="3500" t="s">
        <v>3684</v>
      </c>
      <c r="D119" s="3500" t="s">
        <v>3455</v>
      </c>
      <c r="E119" s="3500">
        <v>79332</v>
      </c>
      <c r="F119" s="3500">
        <v>118998</v>
      </c>
      <c r="G119" s="3500" t="s">
        <v>3505</v>
      </c>
      <c r="H119" s="3500" t="s">
        <v>3457</v>
      </c>
      <c r="I119" s="3500" t="s">
        <v>2445</v>
      </c>
      <c r="J119" s="3500" t="s">
        <v>3427</v>
      </c>
      <c r="K119" s="3500" t="s">
        <v>3616</v>
      </c>
      <c r="L119" s="3500" t="s">
        <v>3616</v>
      </c>
      <c r="M119" s="3500" t="s">
        <v>3460</v>
      </c>
      <c r="N119" s="3500" t="s">
        <v>3685</v>
      </c>
      <c r="O119" s="3500">
        <v>32796</v>
      </c>
      <c r="P119" s="3500">
        <v>6560</v>
      </c>
      <c r="Q119" s="3500" t="s">
        <v>3618</v>
      </c>
      <c r="R119" s="3500">
        <v>32796</v>
      </c>
      <c r="S119" s="3500">
        <v>2756</v>
      </c>
      <c r="T119" s="3500">
        <v>0</v>
      </c>
    </row>
    <row r="120" spans="1:20" ht="14.25">
      <c r="A120" s="3500" t="s">
        <v>3686</v>
      </c>
      <c r="B120" s="3500" t="s">
        <v>3454</v>
      </c>
      <c r="C120" s="3500" t="s">
        <v>3687</v>
      </c>
      <c r="D120" s="3500" t="s">
        <v>3455</v>
      </c>
      <c r="E120" s="3500">
        <v>19981.41</v>
      </c>
      <c r="F120" s="3500">
        <v>29972.11</v>
      </c>
      <c r="G120" s="3500" t="s">
        <v>3505</v>
      </c>
      <c r="H120" s="3500" t="s">
        <v>3457</v>
      </c>
      <c r="I120" s="3500" t="s">
        <v>3407</v>
      </c>
      <c r="J120" s="3500" t="s">
        <v>3427</v>
      </c>
      <c r="K120" s="3500" t="s">
        <v>3688</v>
      </c>
      <c r="L120" s="3500" t="s">
        <v>3688</v>
      </c>
      <c r="M120" s="3500" t="s">
        <v>3460</v>
      </c>
      <c r="N120" s="3500" t="s">
        <v>3689</v>
      </c>
      <c r="O120" s="3500">
        <v>3729</v>
      </c>
      <c r="P120" s="3500">
        <v>1865</v>
      </c>
      <c r="Q120" s="3500" t="s">
        <v>3690</v>
      </c>
      <c r="R120" s="3500">
        <v>3729</v>
      </c>
      <c r="S120" s="3500">
        <v>1244</v>
      </c>
      <c r="T120" s="3500">
        <v>0</v>
      </c>
    </row>
    <row r="121" spans="1:20" ht="14.25">
      <c r="A121" s="3500" t="s">
        <v>3691</v>
      </c>
      <c r="B121" s="3500" t="s">
        <v>3454</v>
      </c>
      <c r="C121" s="3500" t="s">
        <v>3692</v>
      </c>
      <c r="D121" s="3500" t="s">
        <v>3464</v>
      </c>
      <c r="E121" s="3500">
        <v>51632</v>
      </c>
      <c r="F121" s="3500">
        <v>67121.600000000006</v>
      </c>
      <c r="G121" s="3500" t="s">
        <v>3693</v>
      </c>
      <c r="H121" s="3500" t="s">
        <v>3457</v>
      </c>
      <c r="I121" s="3500" t="s">
        <v>3408</v>
      </c>
      <c r="J121" s="3500" t="s">
        <v>3427</v>
      </c>
      <c r="K121" s="3500" t="s">
        <v>3694</v>
      </c>
      <c r="L121" s="3500" t="s">
        <v>3694</v>
      </c>
      <c r="M121" s="3500" t="s">
        <v>3460</v>
      </c>
      <c r="N121" s="3500" t="s">
        <v>3695</v>
      </c>
      <c r="O121" s="3500">
        <v>77310</v>
      </c>
      <c r="P121" s="3500">
        <v>15470</v>
      </c>
      <c r="Q121" s="3500" t="s">
        <v>3696</v>
      </c>
      <c r="R121" s="3500">
        <v>78710</v>
      </c>
      <c r="S121" s="3500">
        <v>11726</v>
      </c>
      <c r="T121" s="3500">
        <v>1.81</v>
      </c>
    </row>
    <row r="122" spans="1:20" ht="14.25">
      <c r="A122" s="3500" t="s">
        <v>3697</v>
      </c>
      <c r="B122" s="3500" t="s">
        <v>3454</v>
      </c>
      <c r="C122" s="3500" t="s">
        <v>3698</v>
      </c>
      <c r="D122" s="3500" t="s">
        <v>3464</v>
      </c>
      <c r="E122" s="3500">
        <v>74576</v>
      </c>
      <c r="F122" s="3500">
        <v>96948.800000000003</v>
      </c>
      <c r="G122" s="3500" t="s">
        <v>3693</v>
      </c>
      <c r="H122" s="3500" t="s">
        <v>3457</v>
      </c>
      <c r="I122" s="3500" t="s">
        <v>3408</v>
      </c>
      <c r="J122" s="3500" t="s">
        <v>3427</v>
      </c>
      <c r="K122" s="3500" t="s">
        <v>3694</v>
      </c>
      <c r="L122" s="3500" t="s">
        <v>3694</v>
      </c>
      <c r="M122" s="3500" t="s">
        <v>3460</v>
      </c>
      <c r="N122" s="3500" t="s">
        <v>3695</v>
      </c>
      <c r="O122" s="3500">
        <v>111522</v>
      </c>
      <c r="P122" s="3500">
        <v>22310</v>
      </c>
      <c r="Q122" s="3500" t="s">
        <v>3696</v>
      </c>
      <c r="R122" s="3500">
        <v>111522</v>
      </c>
      <c r="S122" s="3500">
        <v>11503</v>
      </c>
      <c r="T122" s="3500">
        <v>0</v>
      </c>
    </row>
    <row r="123" spans="1:20" ht="14.25">
      <c r="A123" s="3500" t="s">
        <v>3699</v>
      </c>
      <c r="B123" s="3500" t="s">
        <v>3454</v>
      </c>
      <c r="C123" s="3500" t="s">
        <v>3700</v>
      </c>
      <c r="D123" s="3500" t="s">
        <v>3464</v>
      </c>
      <c r="E123" s="3500">
        <v>3543</v>
      </c>
      <c r="F123" s="3500">
        <v>8503.2000000000007</v>
      </c>
      <c r="G123" s="3500" t="s">
        <v>3701</v>
      </c>
      <c r="H123" s="3500" t="s">
        <v>3457</v>
      </c>
      <c r="I123" s="3500" t="s">
        <v>3408</v>
      </c>
      <c r="J123" s="3500" t="s">
        <v>3427</v>
      </c>
      <c r="K123" s="3500" t="s">
        <v>3694</v>
      </c>
      <c r="L123" s="3500" t="s">
        <v>3694</v>
      </c>
      <c r="M123" s="3500" t="s">
        <v>3460</v>
      </c>
      <c r="N123" s="3500" t="s">
        <v>3528</v>
      </c>
      <c r="O123" s="3500">
        <v>5874</v>
      </c>
      <c r="P123" s="3500">
        <v>1175</v>
      </c>
      <c r="Q123" s="3500" t="s">
        <v>3696</v>
      </c>
      <c r="R123" s="3500">
        <v>5874</v>
      </c>
      <c r="S123" s="3500">
        <v>6908</v>
      </c>
      <c r="T123" s="3500">
        <v>0</v>
      </c>
    </row>
    <row r="124" spans="1:20" ht="14.25">
      <c r="A124" s="3500" t="s">
        <v>3702</v>
      </c>
      <c r="B124" s="3500" t="s">
        <v>3454</v>
      </c>
      <c r="C124" s="3500" t="s">
        <v>3703</v>
      </c>
      <c r="D124" s="3500" t="s">
        <v>3464</v>
      </c>
      <c r="E124" s="3500">
        <v>17055</v>
      </c>
      <c r="F124" s="3500">
        <v>28993.5</v>
      </c>
      <c r="G124" s="3500" t="s">
        <v>3704</v>
      </c>
      <c r="H124" s="3500" t="s">
        <v>3457</v>
      </c>
      <c r="I124" s="3500" t="s">
        <v>3408</v>
      </c>
      <c r="J124" s="3500" t="s">
        <v>3427</v>
      </c>
      <c r="K124" s="3500" t="s">
        <v>3705</v>
      </c>
      <c r="L124" s="3500" t="s">
        <v>3705</v>
      </c>
      <c r="M124" s="3500" t="s">
        <v>3460</v>
      </c>
      <c r="N124" s="3500" t="s">
        <v>3535</v>
      </c>
      <c r="O124" s="3500">
        <v>18076</v>
      </c>
      <c r="P124" s="3500">
        <v>9309</v>
      </c>
      <c r="Q124" s="3500" t="s">
        <v>3706</v>
      </c>
      <c r="R124" s="3500">
        <v>18076</v>
      </c>
      <c r="S124" s="3500">
        <v>6235</v>
      </c>
      <c r="T124" s="3500">
        <v>0</v>
      </c>
    </row>
    <row r="125" spans="1:20" ht="14.25">
      <c r="A125" s="3500" t="s">
        <v>3707</v>
      </c>
      <c r="B125" s="3500" t="s">
        <v>3454</v>
      </c>
      <c r="C125" s="3500" t="s">
        <v>3708</v>
      </c>
      <c r="D125" s="3500" t="s">
        <v>3464</v>
      </c>
      <c r="E125" s="3500">
        <v>8891</v>
      </c>
      <c r="F125" s="3500">
        <v>16892.900000000001</v>
      </c>
      <c r="G125" s="3500" t="s">
        <v>3709</v>
      </c>
      <c r="H125" s="3500" t="s">
        <v>3457</v>
      </c>
      <c r="I125" s="3500" t="s">
        <v>3408</v>
      </c>
      <c r="J125" s="3500" t="s">
        <v>3427</v>
      </c>
      <c r="K125" s="3500" t="s">
        <v>3705</v>
      </c>
      <c r="L125" s="3500" t="s">
        <v>3705</v>
      </c>
      <c r="M125" s="3500" t="s">
        <v>3460</v>
      </c>
      <c r="N125" s="3500" t="s">
        <v>3710</v>
      </c>
      <c r="O125" s="3500">
        <v>22501</v>
      </c>
      <c r="P125" s="3500">
        <v>11250</v>
      </c>
      <c r="Q125" s="3500" t="s">
        <v>3706</v>
      </c>
      <c r="R125" s="3500">
        <v>22501</v>
      </c>
      <c r="S125" s="3500">
        <v>13320</v>
      </c>
      <c r="T125" s="3500">
        <v>0</v>
      </c>
    </row>
    <row r="126" spans="1:20" ht="14.25">
      <c r="A126" s="3500" t="s">
        <v>3711</v>
      </c>
      <c r="B126" s="3500" t="s">
        <v>3454</v>
      </c>
      <c r="C126" s="3500" t="s">
        <v>3712</v>
      </c>
      <c r="D126" s="3500" t="s">
        <v>3464</v>
      </c>
      <c r="E126" s="3500">
        <v>25873</v>
      </c>
      <c r="F126" s="3500">
        <v>46571.4</v>
      </c>
      <c r="G126" s="3500" t="s">
        <v>3713</v>
      </c>
      <c r="H126" s="3500" t="s">
        <v>3457</v>
      </c>
      <c r="I126" s="3500" t="s">
        <v>3408</v>
      </c>
      <c r="J126" s="3500" t="s">
        <v>3427</v>
      </c>
      <c r="K126" s="3500" t="s">
        <v>3705</v>
      </c>
      <c r="L126" s="3500" t="s">
        <v>3705</v>
      </c>
      <c r="M126" s="3500" t="s">
        <v>3460</v>
      </c>
      <c r="N126" s="3500" t="s">
        <v>3535</v>
      </c>
      <c r="O126" s="3500">
        <v>28464</v>
      </c>
      <c r="P126" s="3500">
        <v>9309</v>
      </c>
      <c r="Q126" s="3500" t="s">
        <v>3706</v>
      </c>
      <c r="R126" s="3500">
        <v>28464</v>
      </c>
      <c r="S126" s="3500">
        <v>6112</v>
      </c>
      <c r="T126" s="3500">
        <v>0</v>
      </c>
    </row>
    <row r="127" spans="1:20" ht="14.25">
      <c r="A127" s="3500" t="s">
        <v>3714</v>
      </c>
      <c r="B127" s="3500" t="s">
        <v>3454</v>
      </c>
      <c r="C127" s="3500" t="s">
        <v>3715</v>
      </c>
      <c r="D127" s="3500" t="s">
        <v>3464</v>
      </c>
      <c r="E127" s="3500">
        <v>24766</v>
      </c>
      <c r="F127" s="3500">
        <v>54485.2</v>
      </c>
      <c r="G127" s="3500" t="s">
        <v>3531</v>
      </c>
      <c r="H127" s="3500" t="s">
        <v>3457</v>
      </c>
      <c r="I127" s="3500" t="s">
        <v>3408</v>
      </c>
      <c r="J127" s="3500" t="s">
        <v>3427</v>
      </c>
      <c r="K127" s="3500" t="s">
        <v>3705</v>
      </c>
      <c r="L127" s="3500" t="s">
        <v>3705</v>
      </c>
      <c r="M127" s="3500" t="s">
        <v>3460</v>
      </c>
      <c r="N127" s="3500" t="s">
        <v>3716</v>
      </c>
      <c r="O127" s="3500">
        <v>24789</v>
      </c>
      <c r="P127" s="3500">
        <v>10518</v>
      </c>
      <c r="Q127" s="3500" t="s">
        <v>3706</v>
      </c>
      <c r="R127" s="3500">
        <v>24789</v>
      </c>
      <c r="S127" s="3500">
        <v>4550</v>
      </c>
      <c r="T127" s="3500">
        <v>0</v>
      </c>
    </row>
    <row r="128" spans="1:20" ht="14.25">
      <c r="A128" s="3500" t="s">
        <v>3717</v>
      </c>
      <c r="B128" s="3500" t="s">
        <v>3454</v>
      </c>
      <c r="C128" s="3500" t="s">
        <v>3718</v>
      </c>
      <c r="D128" s="3500" t="s">
        <v>3455</v>
      </c>
      <c r="E128" s="3500">
        <v>24170</v>
      </c>
      <c r="F128" s="3500">
        <v>31421</v>
      </c>
      <c r="G128" s="3500" t="s">
        <v>3719</v>
      </c>
      <c r="H128" s="3500" t="s">
        <v>3457</v>
      </c>
      <c r="I128" s="3500" t="s">
        <v>3407</v>
      </c>
      <c r="J128" s="3500" t="s">
        <v>3427</v>
      </c>
      <c r="K128" s="3500" t="s">
        <v>3705</v>
      </c>
      <c r="L128" s="3500" t="s">
        <v>3705</v>
      </c>
      <c r="M128" s="3500" t="s">
        <v>3460</v>
      </c>
      <c r="N128" s="3500" t="s">
        <v>3720</v>
      </c>
      <c r="O128" s="3500">
        <v>3210</v>
      </c>
      <c r="P128" s="3500">
        <v>642</v>
      </c>
      <c r="Q128" s="3500" t="s">
        <v>3706</v>
      </c>
      <c r="R128" s="3500">
        <v>3210</v>
      </c>
      <c r="S128" s="3500">
        <v>1022</v>
      </c>
      <c r="T128" s="3500">
        <v>0</v>
      </c>
    </row>
    <row r="129" spans="1:20" ht="14.25">
      <c r="A129" s="3500" t="s">
        <v>3721</v>
      </c>
      <c r="B129" s="3500" t="s">
        <v>3454</v>
      </c>
      <c r="C129" s="3500" t="s">
        <v>3722</v>
      </c>
      <c r="D129" s="3500" t="s">
        <v>3464</v>
      </c>
      <c r="E129" s="3500">
        <v>27773</v>
      </c>
      <c r="F129" s="3500">
        <v>61100.6</v>
      </c>
      <c r="G129" s="3500" t="s">
        <v>3531</v>
      </c>
      <c r="H129" s="3500" t="s">
        <v>3457</v>
      </c>
      <c r="I129" s="3500" t="s">
        <v>3408</v>
      </c>
      <c r="J129" s="3500" t="s">
        <v>3427</v>
      </c>
      <c r="K129" s="3500" t="s">
        <v>3705</v>
      </c>
      <c r="L129" s="3500" t="s">
        <v>3705</v>
      </c>
      <c r="M129" s="3500" t="s">
        <v>3460</v>
      </c>
      <c r="N129" s="3500" t="s">
        <v>3716</v>
      </c>
      <c r="O129" s="3500">
        <v>27799</v>
      </c>
      <c r="P129" s="3500">
        <v>10518</v>
      </c>
      <c r="Q129" s="3500" t="s">
        <v>3706</v>
      </c>
      <c r="R129" s="3500">
        <v>27799</v>
      </c>
      <c r="S129" s="3500">
        <v>4550</v>
      </c>
      <c r="T129" s="3500">
        <v>0</v>
      </c>
    </row>
    <row r="130" spans="1:20" ht="14.25">
      <c r="A130" s="3500" t="s">
        <v>3723</v>
      </c>
      <c r="B130" s="3500" t="s">
        <v>3454</v>
      </c>
      <c r="C130" s="3500" t="s">
        <v>3723</v>
      </c>
      <c r="D130" s="3500" t="s">
        <v>3455</v>
      </c>
      <c r="E130" s="3500">
        <v>32959</v>
      </c>
      <c r="F130" s="3500">
        <v>42846.7</v>
      </c>
      <c r="G130" s="3500" t="s">
        <v>3719</v>
      </c>
      <c r="H130" s="3500" t="s">
        <v>3457</v>
      </c>
      <c r="I130" s="3500" t="s">
        <v>3407</v>
      </c>
      <c r="J130" s="3500" t="s">
        <v>3427</v>
      </c>
      <c r="K130" s="3500" t="s">
        <v>3724</v>
      </c>
      <c r="L130" s="3500" t="s">
        <v>3724</v>
      </c>
      <c r="M130" s="3500" t="s">
        <v>3460</v>
      </c>
      <c r="N130" s="3500" t="s">
        <v>3725</v>
      </c>
      <c r="O130" s="3500">
        <v>7416</v>
      </c>
      <c r="P130" s="3500">
        <v>7416</v>
      </c>
      <c r="Q130" s="3500" t="s">
        <v>3706</v>
      </c>
      <c r="R130" s="3500">
        <v>7416</v>
      </c>
      <c r="S130" s="3500">
        <v>1731</v>
      </c>
      <c r="T130" s="3500">
        <v>0</v>
      </c>
    </row>
    <row r="131" spans="1:20" ht="14.25">
      <c r="A131" s="3500" t="s">
        <v>3726</v>
      </c>
      <c r="B131" s="3500" t="s">
        <v>3454</v>
      </c>
      <c r="C131" s="3500" t="s">
        <v>3727</v>
      </c>
      <c r="D131" s="3500" t="s">
        <v>3464</v>
      </c>
      <c r="E131" s="3500">
        <v>20031</v>
      </c>
      <c r="F131" s="3500">
        <v>40062</v>
      </c>
      <c r="G131" s="3500" t="s">
        <v>3728</v>
      </c>
      <c r="H131" s="3500" t="s">
        <v>3457</v>
      </c>
      <c r="I131" s="3500" t="s">
        <v>3408</v>
      </c>
      <c r="J131" s="3500" t="s">
        <v>3427</v>
      </c>
      <c r="K131" s="3500" t="s">
        <v>3729</v>
      </c>
      <c r="L131" s="3500" t="s">
        <v>3729</v>
      </c>
      <c r="M131" s="3500" t="s">
        <v>3460</v>
      </c>
      <c r="N131" s="3500" t="s">
        <v>3730</v>
      </c>
      <c r="O131" s="3500">
        <v>6298</v>
      </c>
      <c r="P131" s="3500">
        <v>3149</v>
      </c>
      <c r="Q131" s="3500" t="s">
        <v>3731</v>
      </c>
      <c r="R131" s="3500">
        <v>6298</v>
      </c>
      <c r="S131" s="3500">
        <v>1572</v>
      </c>
      <c r="T131" s="3500">
        <v>0</v>
      </c>
    </row>
    <row r="132" spans="1:20" ht="14.25">
      <c r="A132" s="3500" t="s">
        <v>3732</v>
      </c>
      <c r="B132" s="3500" t="s">
        <v>3454</v>
      </c>
      <c r="C132" s="3500" t="s">
        <v>3733</v>
      </c>
      <c r="D132" s="3500" t="s">
        <v>3464</v>
      </c>
      <c r="E132" s="3500">
        <v>35603</v>
      </c>
      <c r="F132" s="3500">
        <v>53404.5</v>
      </c>
      <c r="G132" s="3500" t="s">
        <v>3505</v>
      </c>
      <c r="H132" s="3500" t="s">
        <v>3457</v>
      </c>
      <c r="I132" s="3500" t="s">
        <v>3408</v>
      </c>
      <c r="J132" s="3500" t="s">
        <v>3427</v>
      </c>
      <c r="K132" s="3500" t="s">
        <v>3724</v>
      </c>
      <c r="L132" s="3500" t="s">
        <v>3724</v>
      </c>
      <c r="M132" s="3500" t="s">
        <v>3460</v>
      </c>
      <c r="N132" s="3500" t="s">
        <v>3734</v>
      </c>
      <c r="O132" s="3500">
        <v>10681</v>
      </c>
      <c r="P132" s="3500">
        <v>10681</v>
      </c>
      <c r="Q132" s="3500" t="s">
        <v>3731</v>
      </c>
      <c r="R132" s="3500">
        <v>10681</v>
      </c>
      <c r="S132" s="3500">
        <v>2000</v>
      </c>
      <c r="T132" s="3500">
        <v>0</v>
      </c>
    </row>
    <row r="133" spans="1:20" ht="14.25">
      <c r="A133" s="3500" t="s">
        <v>3735</v>
      </c>
      <c r="B133" s="3500" t="s">
        <v>3454</v>
      </c>
      <c r="C133" s="3500" t="s">
        <v>3736</v>
      </c>
      <c r="D133" s="3500" t="s">
        <v>3629</v>
      </c>
      <c r="E133" s="3500">
        <v>11455</v>
      </c>
      <c r="F133" s="3500">
        <v>26346.5</v>
      </c>
      <c r="G133" s="3500" t="s">
        <v>3471</v>
      </c>
      <c r="H133" s="3500" t="s">
        <v>3457</v>
      </c>
      <c r="I133" s="3500" t="s">
        <v>3631</v>
      </c>
      <c r="J133" s="3500" t="s">
        <v>3427</v>
      </c>
      <c r="K133" s="3500" t="s">
        <v>3729</v>
      </c>
      <c r="L133" s="3500" t="s">
        <v>3729</v>
      </c>
      <c r="M133" s="3500" t="s">
        <v>3460</v>
      </c>
      <c r="N133" s="3500" t="s">
        <v>3473</v>
      </c>
      <c r="O133" s="3500">
        <v>24000</v>
      </c>
      <c r="P133" s="3500">
        <v>15600</v>
      </c>
      <c r="Q133" s="3500" t="s">
        <v>3731</v>
      </c>
      <c r="R133" s="3500">
        <v>24000</v>
      </c>
      <c r="S133" s="3500">
        <v>9109</v>
      </c>
      <c r="T133" s="3500">
        <v>0</v>
      </c>
    </row>
    <row r="134" spans="1:20" ht="14.25">
      <c r="A134" s="3500" t="s">
        <v>3737</v>
      </c>
      <c r="B134" s="3500" t="s">
        <v>3454</v>
      </c>
      <c r="C134" s="3500" t="s">
        <v>3738</v>
      </c>
      <c r="D134" s="3500" t="s">
        <v>3464</v>
      </c>
      <c r="E134" s="3500">
        <v>22042</v>
      </c>
      <c r="F134" s="3500">
        <v>44084</v>
      </c>
      <c r="G134" s="3500" t="s">
        <v>3728</v>
      </c>
      <c r="H134" s="3500" t="s">
        <v>3457</v>
      </c>
      <c r="I134" s="3500" t="s">
        <v>3408</v>
      </c>
      <c r="J134" s="3500" t="s">
        <v>3427</v>
      </c>
      <c r="K134" s="3500" t="s">
        <v>3724</v>
      </c>
      <c r="L134" s="3500" t="s">
        <v>3724</v>
      </c>
      <c r="M134" s="3500" t="s">
        <v>3460</v>
      </c>
      <c r="N134" s="3500" t="s">
        <v>3739</v>
      </c>
      <c r="O134" s="3500">
        <v>6944</v>
      </c>
      <c r="P134" s="3500">
        <v>6944</v>
      </c>
      <c r="Q134" s="3500" t="s">
        <v>3706</v>
      </c>
      <c r="R134" s="3500">
        <v>6944</v>
      </c>
      <c r="S134" s="3500">
        <v>1575</v>
      </c>
      <c r="T134" s="3500">
        <v>0</v>
      </c>
    </row>
    <row r="135" spans="1:20" ht="14.25">
      <c r="A135" s="3500" t="s">
        <v>3740</v>
      </c>
      <c r="B135" s="3500" t="s">
        <v>3454</v>
      </c>
      <c r="C135" s="3500" t="s">
        <v>3741</v>
      </c>
      <c r="D135" s="3500" t="s">
        <v>3464</v>
      </c>
      <c r="E135" s="3500">
        <v>46507</v>
      </c>
      <c r="F135" s="3500">
        <v>69760.5</v>
      </c>
      <c r="G135" s="3500" t="s">
        <v>3505</v>
      </c>
      <c r="H135" s="3500" t="s">
        <v>3457</v>
      </c>
      <c r="I135" s="3500" t="s">
        <v>3408</v>
      </c>
      <c r="J135" s="3500" t="s">
        <v>3427</v>
      </c>
      <c r="K135" s="3500" t="s">
        <v>3729</v>
      </c>
      <c r="L135" s="3500" t="s">
        <v>3729</v>
      </c>
      <c r="M135" s="3500" t="s">
        <v>3460</v>
      </c>
      <c r="N135" s="3500" t="s">
        <v>3742</v>
      </c>
      <c r="O135" s="3500">
        <v>10632</v>
      </c>
      <c r="P135" s="3500">
        <v>10632</v>
      </c>
      <c r="Q135" s="3500" t="s">
        <v>3731</v>
      </c>
      <c r="R135" s="3500">
        <v>10632</v>
      </c>
      <c r="S135" s="3500">
        <v>1524</v>
      </c>
      <c r="T135" s="3500">
        <v>0</v>
      </c>
    </row>
    <row r="136" spans="1:20" ht="14.25">
      <c r="A136" s="3500" t="s">
        <v>3743</v>
      </c>
      <c r="B136" s="3500" t="s">
        <v>3454</v>
      </c>
      <c r="C136" s="3500" t="s">
        <v>3744</v>
      </c>
      <c r="D136" s="3500" t="s">
        <v>3464</v>
      </c>
      <c r="E136" s="3500">
        <v>63921</v>
      </c>
      <c r="F136" s="3500">
        <v>147018.29999999999</v>
      </c>
      <c r="G136" s="3500" t="s">
        <v>3471</v>
      </c>
      <c r="H136" s="3500" t="s">
        <v>3457</v>
      </c>
      <c r="I136" s="3500" t="s">
        <v>3408</v>
      </c>
      <c r="J136" s="3500" t="s">
        <v>3427</v>
      </c>
      <c r="K136" s="3500" t="s">
        <v>3745</v>
      </c>
      <c r="L136" s="3500" t="s">
        <v>3745</v>
      </c>
      <c r="M136" s="3500" t="s">
        <v>3460</v>
      </c>
      <c r="N136" s="3500" t="s">
        <v>3746</v>
      </c>
      <c r="O136" s="3500">
        <v>101720</v>
      </c>
      <c r="P136" s="3500">
        <v>54300</v>
      </c>
      <c r="Q136" s="3500" t="s">
        <v>3747</v>
      </c>
      <c r="R136" s="3500">
        <v>148146</v>
      </c>
      <c r="S136" s="3500">
        <v>10077</v>
      </c>
      <c r="T136" s="3500">
        <v>45.64</v>
      </c>
    </row>
    <row r="137" spans="1:20" ht="14.25">
      <c r="A137" s="3500" t="s">
        <v>3748</v>
      </c>
      <c r="B137" s="3500" t="s">
        <v>3454</v>
      </c>
      <c r="C137" s="3500" t="s">
        <v>3749</v>
      </c>
      <c r="D137" s="3500" t="s">
        <v>3629</v>
      </c>
      <c r="E137" s="3500">
        <v>5001</v>
      </c>
      <c r="F137" s="3500">
        <v>7501.5</v>
      </c>
      <c r="G137" s="3500" t="s">
        <v>3750</v>
      </c>
      <c r="H137" s="3500" t="s">
        <v>3457</v>
      </c>
      <c r="I137" s="3500" t="s">
        <v>3751</v>
      </c>
      <c r="J137" s="3500" t="s">
        <v>3427</v>
      </c>
      <c r="K137" s="3500" t="s">
        <v>3745</v>
      </c>
      <c r="L137" s="3500" t="s">
        <v>3745</v>
      </c>
      <c r="M137" s="3500" t="s">
        <v>3460</v>
      </c>
      <c r="N137" s="3500" t="s">
        <v>3746</v>
      </c>
      <c r="O137" s="3500">
        <v>5660</v>
      </c>
      <c r="P137" s="3500">
        <v>2300</v>
      </c>
      <c r="Q137" s="3500" t="s">
        <v>3747</v>
      </c>
      <c r="R137" s="3500">
        <v>5660</v>
      </c>
      <c r="S137" s="3500">
        <v>7545</v>
      </c>
      <c r="T137" s="3500">
        <v>0</v>
      </c>
    </row>
    <row r="138" spans="1:20" ht="14.25">
      <c r="A138" s="3500" t="s">
        <v>3752</v>
      </c>
      <c r="B138" s="3500" t="s">
        <v>3454</v>
      </c>
      <c r="C138" s="3500" t="s">
        <v>3752</v>
      </c>
      <c r="D138" s="3500" t="s">
        <v>3455</v>
      </c>
      <c r="E138" s="3500">
        <v>26164</v>
      </c>
      <c r="F138" s="3500">
        <v>52328</v>
      </c>
      <c r="G138" s="3500" t="s">
        <v>3456</v>
      </c>
      <c r="H138" s="3500" t="s">
        <v>3457</v>
      </c>
      <c r="I138" s="3500" t="s">
        <v>3407</v>
      </c>
      <c r="J138" s="3500" t="s">
        <v>3427</v>
      </c>
      <c r="K138" s="3500" t="s">
        <v>3753</v>
      </c>
      <c r="L138" s="3500" t="s">
        <v>3753</v>
      </c>
      <c r="M138" s="3500" t="s">
        <v>3460</v>
      </c>
      <c r="N138" s="3500" t="s">
        <v>3725</v>
      </c>
      <c r="O138" s="3500">
        <v>5887</v>
      </c>
      <c r="P138" s="3500">
        <v>5887</v>
      </c>
      <c r="Q138" s="3500" t="s">
        <v>3754</v>
      </c>
      <c r="R138" s="3500">
        <v>5887</v>
      </c>
      <c r="S138" s="3500">
        <v>1125</v>
      </c>
      <c r="T138" s="3500">
        <v>0</v>
      </c>
    </row>
    <row r="139" spans="1:20" ht="14.25">
      <c r="A139" s="3500" t="s">
        <v>3755</v>
      </c>
      <c r="B139" s="3500" t="s">
        <v>3454</v>
      </c>
      <c r="C139" s="3500" t="s">
        <v>3755</v>
      </c>
      <c r="D139" s="3500" t="s">
        <v>3455</v>
      </c>
      <c r="E139" s="3500">
        <v>5417</v>
      </c>
      <c r="F139" s="3500">
        <v>8125.5</v>
      </c>
      <c r="G139" s="3500" t="s">
        <v>3505</v>
      </c>
      <c r="H139" s="3500" t="s">
        <v>3457</v>
      </c>
      <c r="I139" s="3500" t="s">
        <v>3458</v>
      </c>
      <c r="J139" s="3500" t="s">
        <v>3427</v>
      </c>
      <c r="K139" s="3500" t="s">
        <v>3753</v>
      </c>
      <c r="L139" s="3500" t="s">
        <v>3753</v>
      </c>
      <c r="M139" s="3500" t="s">
        <v>3460</v>
      </c>
      <c r="N139" s="3500" t="s">
        <v>3725</v>
      </c>
      <c r="O139" s="3500">
        <v>1219</v>
      </c>
      <c r="P139" s="3500">
        <v>1219</v>
      </c>
      <c r="Q139" s="3500" t="s">
        <v>3754</v>
      </c>
      <c r="R139" s="3500">
        <v>1219</v>
      </c>
      <c r="S139" s="3500">
        <v>1500</v>
      </c>
      <c r="T139" s="3500">
        <v>0</v>
      </c>
    </row>
    <row r="140" spans="1:20" ht="14.25">
      <c r="A140" s="3500" t="s">
        <v>3756</v>
      </c>
      <c r="B140" s="3500" t="s">
        <v>3454</v>
      </c>
      <c r="C140" s="3500" t="s">
        <v>3756</v>
      </c>
      <c r="D140" s="3500" t="s">
        <v>3455</v>
      </c>
      <c r="E140" s="3500">
        <v>6369</v>
      </c>
      <c r="F140" s="3500">
        <v>11464.2</v>
      </c>
      <c r="G140" s="3500" t="s">
        <v>3496</v>
      </c>
      <c r="H140" s="3500" t="s">
        <v>3457</v>
      </c>
      <c r="I140" s="3500" t="s">
        <v>3458</v>
      </c>
      <c r="J140" s="3500" t="s">
        <v>3427</v>
      </c>
      <c r="K140" s="3500" t="s">
        <v>3753</v>
      </c>
      <c r="L140" s="3500" t="s">
        <v>3753</v>
      </c>
      <c r="M140" s="3500" t="s">
        <v>3460</v>
      </c>
      <c r="N140" s="3500" t="s">
        <v>3725</v>
      </c>
      <c r="O140" s="3500">
        <v>1434</v>
      </c>
      <c r="P140" s="3500">
        <v>1434</v>
      </c>
      <c r="Q140" s="3500" t="s">
        <v>3754</v>
      </c>
      <c r="R140" s="3500">
        <v>1434</v>
      </c>
      <c r="S140" s="3500">
        <v>1251</v>
      </c>
      <c r="T140" s="3500">
        <v>0</v>
      </c>
    </row>
    <row r="141" spans="1:20" ht="14.25">
      <c r="A141" s="3500" t="s">
        <v>3757</v>
      </c>
      <c r="B141" s="3500" t="s">
        <v>3454</v>
      </c>
      <c r="C141" s="3500" t="s">
        <v>3758</v>
      </c>
      <c r="D141" s="3500" t="s">
        <v>3455</v>
      </c>
      <c r="E141" s="3500">
        <v>20853</v>
      </c>
      <c r="F141" s="3500">
        <v>52132.5</v>
      </c>
      <c r="G141" s="3500" t="s">
        <v>3759</v>
      </c>
      <c r="H141" s="3500" t="s">
        <v>3457</v>
      </c>
      <c r="I141" s="3500" t="s">
        <v>3407</v>
      </c>
      <c r="J141" s="3500" t="s">
        <v>3427</v>
      </c>
      <c r="K141" s="3500" t="s">
        <v>3760</v>
      </c>
      <c r="L141" s="3500" t="s">
        <v>3760</v>
      </c>
      <c r="M141" s="3500" t="s">
        <v>3460</v>
      </c>
      <c r="N141" s="3500" t="s">
        <v>3761</v>
      </c>
      <c r="O141" s="3500">
        <v>9080</v>
      </c>
      <c r="P141" s="3500">
        <v>1820</v>
      </c>
      <c r="Q141" s="3500" t="s">
        <v>3762</v>
      </c>
      <c r="R141" s="3500">
        <v>9080</v>
      </c>
      <c r="S141" s="3500">
        <v>1742</v>
      </c>
      <c r="T141" s="3500">
        <v>0</v>
      </c>
    </row>
    <row r="142" spans="1:20" ht="14.25">
      <c r="A142" s="3500" t="s">
        <v>3763</v>
      </c>
      <c r="B142" s="3500" t="s">
        <v>3454</v>
      </c>
      <c r="C142" s="3500" t="s">
        <v>3764</v>
      </c>
      <c r="D142" s="3500" t="s">
        <v>3455</v>
      </c>
      <c r="E142" s="3500">
        <v>19581</v>
      </c>
      <c r="F142" s="3500">
        <v>78324</v>
      </c>
      <c r="G142" s="3500" t="s">
        <v>3765</v>
      </c>
      <c r="H142" s="3500" t="s">
        <v>3457</v>
      </c>
      <c r="I142" s="3500" t="s">
        <v>3407</v>
      </c>
      <c r="J142" s="3500" t="s">
        <v>3427</v>
      </c>
      <c r="K142" s="3500" t="s">
        <v>3760</v>
      </c>
      <c r="L142" s="3500" t="s">
        <v>3760</v>
      </c>
      <c r="M142" s="3500" t="s">
        <v>3460</v>
      </c>
      <c r="N142" s="3500" t="s">
        <v>3761</v>
      </c>
      <c r="O142" s="3500">
        <v>10870</v>
      </c>
      <c r="P142" s="3500">
        <v>2180</v>
      </c>
      <c r="Q142" s="3500" t="s">
        <v>3762</v>
      </c>
      <c r="R142" s="3500">
        <v>10870</v>
      </c>
      <c r="S142" s="3500">
        <v>1388</v>
      </c>
      <c r="T142" s="3500">
        <v>0</v>
      </c>
    </row>
    <row r="143" spans="1:20" ht="14.25">
      <c r="A143" s="3500" t="s">
        <v>3766</v>
      </c>
      <c r="B143" s="3500" t="s">
        <v>3454</v>
      </c>
      <c r="C143" s="3500" t="s">
        <v>3767</v>
      </c>
      <c r="D143" s="3500" t="s">
        <v>3464</v>
      </c>
      <c r="E143" s="3500">
        <v>20839</v>
      </c>
      <c r="F143" s="3500">
        <v>45845.8</v>
      </c>
      <c r="G143" s="3500" t="s">
        <v>3531</v>
      </c>
      <c r="H143" s="3500" t="s">
        <v>3457</v>
      </c>
      <c r="I143" s="3500" t="s">
        <v>3408</v>
      </c>
      <c r="J143" s="3500" t="s">
        <v>3427</v>
      </c>
      <c r="K143" s="3500" t="s">
        <v>3760</v>
      </c>
      <c r="L143" s="3500" t="s">
        <v>3760</v>
      </c>
      <c r="M143" s="3500" t="s">
        <v>3460</v>
      </c>
      <c r="N143" s="3500" t="s">
        <v>3761</v>
      </c>
      <c r="O143" s="3500">
        <v>13760</v>
      </c>
      <c r="P143" s="3500">
        <v>2760</v>
      </c>
      <c r="Q143" s="3500" t="s">
        <v>3762</v>
      </c>
      <c r="R143" s="3500">
        <v>13760</v>
      </c>
      <c r="S143" s="3500">
        <v>3001</v>
      </c>
      <c r="T143" s="3500">
        <v>0</v>
      </c>
    </row>
    <row r="144" spans="1:20" ht="14.25">
      <c r="A144" s="3500" t="s">
        <v>3768</v>
      </c>
      <c r="B144" s="3500" t="s">
        <v>3454</v>
      </c>
      <c r="C144" s="3500" t="s">
        <v>3769</v>
      </c>
      <c r="D144" s="3500" t="s">
        <v>3464</v>
      </c>
      <c r="E144" s="3500">
        <v>46228</v>
      </c>
      <c r="F144" s="3500">
        <v>115570</v>
      </c>
      <c r="G144" s="3500" t="s">
        <v>3511</v>
      </c>
      <c r="H144" s="3500" t="s">
        <v>3457</v>
      </c>
      <c r="I144" s="3500" t="s">
        <v>3408</v>
      </c>
      <c r="J144" s="3500" t="s">
        <v>3427</v>
      </c>
      <c r="K144" s="3500" t="s">
        <v>3760</v>
      </c>
      <c r="L144" s="3500" t="s">
        <v>3760</v>
      </c>
      <c r="M144" s="3500" t="s">
        <v>3460</v>
      </c>
      <c r="N144" s="3500" t="s">
        <v>3770</v>
      </c>
      <c r="O144" s="3500">
        <v>40539</v>
      </c>
      <c r="P144" s="3500">
        <v>8108</v>
      </c>
      <c r="Q144" s="3500" t="s">
        <v>3762</v>
      </c>
      <c r="R144" s="3500">
        <v>40539</v>
      </c>
      <c r="S144" s="3500">
        <v>3508</v>
      </c>
      <c r="T144" s="3500">
        <v>0</v>
      </c>
    </row>
    <row r="145" spans="1:20" ht="14.25">
      <c r="A145" s="3500" t="s">
        <v>3771</v>
      </c>
      <c r="B145" s="3500" t="s">
        <v>3454</v>
      </c>
      <c r="C145" s="3500" t="s">
        <v>3772</v>
      </c>
      <c r="D145" s="3500" t="s">
        <v>3464</v>
      </c>
      <c r="E145" s="3500">
        <v>39140</v>
      </c>
      <c r="F145" s="3500">
        <v>46968</v>
      </c>
      <c r="G145" s="3500" t="s">
        <v>3773</v>
      </c>
      <c r="H145" s="3500" t="s">
        <v>3457</v>
      </c>
      <c r="I145" s="3500" t="s">
        <v>3408</v>
      </c>
      <c r="J145" s="3500" t="s">
        <v>3427</v>
      </c>
      <c r="K145" s="3500" t="s">
        <v>3760</v>
      </c>
      <c r="L145" s="3500" t="s">
        <v>3760</v>
      </c>
      <c r="M145" s="3500" t="s">
        <v>3460</v>
      </c>
      <c r="N145" s="3500" t="s">
        <v>3774</v>
      </c>
      <c r="O145" s="3500">
        <v>36953</v>
      </c>
      <c r="P145" s="3500">
        <v>13130</v>
      </c>
      <c r="Q145" s="3500" t="s">
        <v>3762</v>
      </c>
      <c r="R145" s="3500">
        <v>36953</v>
      </c>
      <c r="S145" s="3500">
        <v>7868</v>
      </c>
      <c r="T145" s="3500">
        <v>0</v>
      </c>
    </row>
    <row r="146" spans="1:20" ht="14.25">
      <c r="A146" s="3500" t="s">
        <v>3775</v>
      </c>
      <c r="B146" s="3500" t="s">
        <v>3454</v>
      </c>
      <c r="C146" s="3500" t="s">
        <v>3776</v>
      </c>
      <c r="D146" s="3500" t="s">
        <v>3455</v>
      </c>
      <c r="E146" s="3500">
        <v>25009</v>
      </c>
      <c r="F146" s="3500">
        <v>42515.3</v>
      </c>
      <c r="G146" s="3500" t="s">
        <v>3777</v>
      </c>
      <c r="H146" s="3500" t="s">
        <v>3457</v>
      </c>
      <c r="I146" s="3500" t="s">
        <v>3458</v>
      </c>
      <c r="J146" s="3500" t="s">
        <v>3427</v>
      </c>
      <c r="K146" s="3500" t="s">
        <v>3760</v>
      </c>
      <c r="L146" s="3500" t="s">
        <v>3760</v>
      </c>
      <c r="M146" s="3500" t="s">
        <v>3460</v>
      </c>
      <c r="N146" s="3500" t="s">
        <v>3778</v>
      </c>
      <c r="O146" s="3500">
        <v>2168</v>
      </c>
      <c r="P146" s="3500">
        <v>434</v>
      </c>
      <c r="Q146" s="3500" t="s">
        <v>3762</v>
      </c>
      <c r="R146" s="3500">
        <v>2168</v>
      </c>
      <c r="S146" s="3500">
        <v>510</v>
      </c>
      <c r="T146" s="3500">
        <v>0</v>
      </c>
    </row>
    <row r="147" spans="1:20" ht="14.25">
      <c r="A147" s="3500" t="s">
        <v>3779</v>
      </c>
      <c r="B147" s="3500" t="s">
        <v>3454</v>
      </c>
      <c r="C147" s="3500" t="s">
        <v>3780</v>
      </c>
      <c r="D147" s="3500" t="s">
        <v>3464</v>
      </c>
      <c r="E147" s="3500">
        <v>24858</v>
      </c>
      <c r="F147" s="3500">
        <v>49716</v>
      </c>
      <c r="G147" s="3500" t="s">
        <v>3523</v>
      </c>
      <c r="H147" s="3500" t="s">
        <v>3457</v>
      </c>
      <c r="I147" s="3500" t="s">
        <v>3408</v>
      </c>
      <c r="J147" s="3500" t="s">
        <v>3427</v>
      </c>
      <c r="K147" s="3500" t="s">
        <v>3760</v>
      </c>
      <c r="L147" s="3500" t="s">
        <v>3760</v>
      </c>
      <c r="M147" s="3500" t="s">
        <v>3460</v>
      </c>
      <c r="N147" s="3500" t="s">
        <v>3774</v>
      </c>
      <c r="O147" s="3500">
        <v>28692</v>
      </c>
      <c r="P147" s="3500">
        <v>13130</v>
      </c>
      <c r="Q147" s="3500" t="s">
        <v>3762</v>
      </c>
      <c r="R147" s="3500">
        <v>28692</v>
      </c>
      <c r="S147" s="3500">
        <v>5771</v>
      </c>
      <c r="T147" s="3500">
        <v>0</v>
      </c>
    </row>
    <row r="148" spans="1:20" ht="14.25">
      <c r="A148" s="3500" t="s">
        <v>3781</v>
      </c>
      <c r="B148" s="3500" t="s">
        <v>3454</v>
      </c>
      <c r="C148" s="3500" t="s">
        <v>3781</v>
      </c>
      <c r="D148" s="3500" t="s">
        <v>3464</v>
      </c>
      <c r="E148" s="3500">
        <v>38671</v>
      </c>
      <c r="F148" s="3500">
        <v>65740.7</v>
      </c>
      <c r="G148" s="3500" t="s">
        <v>3782</v>
      </c>
      <c r="H148" s="3500" t="s">
        <v>3457</v>
      </c>
      <c r="I148" s="3500" t="s">
        <v>3408</v>
      </c>
      <c r="J148" s="3500" t="s">
        <v>3427</v>
      </c>
      <c r="K148" s="3500" t="s">
        <v>3783</v>
      </c>
      <c r="L148" s="3500" t="s">
        <v>3783</v>
      </c>
      <c r="M148" s="3500" t="s">
        <v>3460</v>
      </c>
      <c r="N148" s="3500" t="s">
        <v>3784</v>
      </c>
      <c r="O148" s="3500">
        <v>15082</v>
      </c>
      <c r="P148" s="3500">
        <v>7541</v>
      </c>
      <c r="Q148" s="3500" t="s">
        <v>3785</v>
      </c>
      <c r="R148" s="3500">
        <v>15082</v>
      </c>
      <c r="S148" s="3500">
        <v>2294</v>
      </c>
      <c r="T148" s="3500">
        <v>0</v>
      </c>
    </row>
    <row r="149" spans="1:20" ht="14.25">
      <c r="A149" s="3500" t="s">
        <v>3786</v>
      </c>
      <c r="B149" s="3500" t="s">
        <v>3454</v>
      </c>
      <c r="C149" s="3500" t="s">
        <v>3787</v>
      </c>
      <c r="D149" s="3500" t="s">
        <v>3464</v>
      </c>
      <c r="E149" s="3500">
        <v>55788</v>
      </c>
      <c r="F149" s="3500">
        <v>61366.8</v>
      </c>
      <c r="G149" s="3500" t="s">
        <v>3682</v>
      </c>
      <c r="H149" s="3500" t="s">
        <v>3457</v>
      </c>
      <c r="I149" s="3500" t="s">
        <v>3408</v>
      </c>
      <c r="J149" s="3500" t="s">
        <v>3427</v>
      </c>
      <c r="K149" s="3500" t="s">
        <v>3788</v>
      </c>
      <c r="L149" s="3500" t="s">
        <v>3788</v>
      </c>
      <c r="M149" s="3500" t="s">
        <v>3460</v>
      </c>
      <c r="N149" s="3500" t="s">
        <v>3789</v>
      </c>
      <c r="O149" s="3500">
        <v>42922</v>
      </c>
      <c r="P149" s="3500">
        <v>8590</v>
      </c>
      <c r="Q149" s="3500" t="s">
        <v>3790</v>
      </c>
      <c r="R149" s="3500">
        <v>42922</v>
      </c>
      <c r="S149" s="3500">
        <v>6994</v>
      </c>
      <c r="T149" s="3500">
        <v>0</v>
      </c>
    </row>
    <row r="150" spans="1:20" ht="14.25">
      <c r="A150" s="3500" t="s">
        <v>3791</v>
      </c>
      <c r="B150" s="3500" t="s">
        <v>3454</v>
      </c>
      <c r="C150" s="3500" t="s">
        <v>3792</v>
      </c>
      <c r="D150" s="3500" t="s">
        <v>3464</v>
      </c>
      <c r="E150" s="3500">
        <v>14930</v>
      </c>
      <c r="F150" s="3500">
        <v>17916</v>
      </c>
      <c r="G150" s="3500" t="s">
        <v>3773</v>
      </c>
      <c r="H150" s="3500" t="s">
        <v>3457</v>
      </c>
      <c r="I150" s="3500" t="s">
        <v>3408</v>
      </c>
      <c r="J150" s="3500" t="s">
        <v>3427</v>
      </c>
      <c r="K150" s="3500" t="s">
        <v>3788</v>
      </c>
      <c r="L150" s="3500" t="s">
        <v>3788</v>
      </c>
      <c r="M150" s="3500" t="s">
        <v>3460</v>
      </c>
      <c r="N150" s="3500" t="s">
        <v>3789</v>
      </c>
      <c r="O150" s="3500">
        <v>11461</v>
      </c>
      <c r="P150" s="3500">
        <v>2300</v>
      </c>
      <c r="Q150" s="3500" t="s">
        <v>3790</v>
      </c>
      <c r="R150" s="3500">
        <v>11461</v>
      </c>
      <c r="S150" s="3500">
        <v>6397</v>
      </c>
      <c r="T150" s="3500">
        <v>0</v>
      </c>
    </row>
    <row r="151" spans="1:20" ht="14.25">
      <c r="A151" s="3500" t="s">
        <v>3793</v>
      </c>
      <c r="B151" s="3500" t="s">
        <v>3454</v>
      </c>
      <c r="C151" s="3500" t="s">
        <v>3794</v>
      </c>
      <c r="D151" s="3500" t="s">
        <v>3464</v>
      </c>
      <c r="E151" s="3500">
        <v>18393</v>
      </c>
      <c r="F151" s="3500">
        <v>20232.3</v>
      </c>
      <c r="G151" s="3500" t="s">
        <v>3682</v>
      </c>
      <c r="H151" s="3500" t="s">
        <v>3457</v>
      </c>
      <c r="I151" s="3500" t="s">
        <v>3408</v>
      </c>
      <c r="J151" s="3500" t="s">
        <v>3427</v>
      </c>
      <c r="K151" s="3500" t="s">
        <v>3788</v>
      </c>
      <c r="L151" s="3500" t="s">
        <v>3788</v>
      </c>
      <c r="M151" s="3500" t="s">
        <v>3460</v>
      </c>
      <c r="N151" s="3500" t="s">
        <v>3789</v>
      </c>
      <c r="O151" s="3500">
        <v>14161</v>
      </c>
      <c r="P151" s="3500">
        <v>2840</v>
      </c>
      <c r="Q151" s="3500" t="s">
        <v>3790</v>
      </c>
      <c r="R151" s="3500">
        <v>14161</v>
      </c>
      <c r="S151" s="3500">
        <v>6999</v>
      </c>
      <c r="T151" s="3500">
        <v>0</v>
      </c>
    </row>
    <row r="152" spans="1:20" ht="14.25">
      <c r="A152" s="3500" t="s">
        <v>3795</v>
      </c>
      <c r="B152" s="3500" t="s">
        <v>3454</v>
      </c>
      <c r="C152" s="3500" t="s">
        <v>3796</v>
      </c>
      <c r="D152" s="3500" t="s">
        <v>3464</v>
      </c>
      <c r="E152" s="3500">
        <v>54622</v>
      </c>
      <c r="F152" s="3500">
        <v>60084.2</v>
      </c>
      <c r="G152" s="3500" t="s">
        <v>3682</v>
      </c>
      <c r="H152" s="3500" t="s">
        <v>3457</v>
      </c>
      <c r="I152" s="3500" t="s">
        <v>3408</v>
      </c>
      <c r="J152" s="3500" t="s">
        <v>3427</v>
      </c>
      <c r="K152" s="3500" t="s">
        <v>3788</v>
      </c>
      <c r="L152" s="3500" t="s">
        <v>3788</v>
      </c>
      <c r="M152" s="3500" t="s">
        <v>3460</v>
      </c>
      <c r="N152" s="3500" t="s">
        <v>3789</v>
      </c>
      <c r="O152" s="3500">
        <v>42008</v>
      </c>
      <c r="P152" s="3500">
        <v>9070</v>
      </c>
      <c r="Q152" s="3500" t="s">
        <v>3790</v>
      </c>
      <c r="R152" s="3500">
        <v>42008</v>
      </c>
      <c r="S152" s="3500">
        <v>6992</v>
      </c>
      <c r="T152" s="3500">
        <v>0</v>
      </c>
    </row>
    <row r="153" spans="1:20" ht="14.25">
      <c r="A153" s="3500" t="s">
        <v>3797</v>
      </c>
      <c r="B153" s="3500" t="s">
        <v>3454</v>
      </c>
      <c r="C153" s="3500" t="s">
        <v>3798</v>
      </c>
      <c r="D153" s="3500" t="s">
        <v>3464</v>
      </c>
      <c r="E153" s="3500">
        <v>14755</v>
      </c>
      <c r="F153" s="3500">
        <v>17706</v>
      </c>
      <c r="G153" s="3500" t="s">
        <v>3773</v>
      </c>
      <c r="H153" s="3500" t="s">
        <v>3457</v>
      </c>
      <c r="I153" s="3500" t="s">
        <v>3408</v>
      </c>
      <c r="J153" s="3500" t="s">
        <v>3427</v>
      </c>
      <c r="K153" s="3500" t="s">
        <v>3788</v>
      </c>
      <c r="L153" s="3500" t="s">
        <v>3788</v>
      </c>
      <c r="M153" s="3500" t="s">
        <v>3460</v>
      </c>
      <c r="N153" s="3500" t="s">
        <v>3789</v>
      </c>
      <c r="O153" s="3500">
        <v>11325</v>
      </c>
      <c r="P153" s="3500">
        <v>2270</v>
      </c>
      <c r="Q153" s="3500" t="s">
        <v>3790</v>
      </c>
      <c r="R153" s="3500">
        <v>11325</v>
      </c>
      <c r="S153" s="3500">
        <v>6396</v>
      </c>
      <c r="T153" s="3500">
        <v>0</v>
      </c>
    </row>
    <row r="154" spans="1:20" ht="14.25">
      <c r="A154" s="3500" t="s">
        <v>3799</v>
      </c>
      <c r="B154" s="3500" t="s">
        <v>3454</v>
      </c>
      <c r="C154" s="3500" t="s">
        <v>3800</v>
      </c>
      <c r="D154" s="3500" t="s">
        <v>3464</v>
      </c>
      <c r="E154" s="3500">
        <v>5978</v>
      </c>
      <c r="F154" s="3500">
        <v>8967</v>
      </c>
      <c r="G154" s="3500" t="s">
        <v>3750</v>
      </c>
      <c r="H154" s="3500" t="s">
        <v>3457</v>
      </c>
      <c r="I154" s="3500" t="s">
        <v>3751</v>
      </c>
      <c r="J154" s="3500" t="s">
        <v>3427</v>
      </c>
      <c r="K154" s="3500" t="s">
        <v>3788</v>
      </c>
      <c r="L154" s="3500" t="s">
        <v>3788</v>
      </c>
      <c r="M154" s="3500" t="s">
        <v>3460</v>
      </c>
      <c r="N154" s="3500" t="s">
        <v>3789</v>
      </c>
      <c r="O154" s="3500">
        <v>2718</v>
      </c>
      <c r="P154" s="3500">
        <v>550</v>
      </c>
      <c r="Q154" s="3500" t="s">
        <v>3790</v>
      </c>
      <c r="R154" s="3500">
        <v>2718</v>
      </c>
      <c r="S154" s="3500">
        <v>3031</v>
      </c>
      <c r="T154" s="3500">
        <v>0</v>
      </c>
    </row>
    <row r="155" spans="1:20" ht="14.25">
      <c r="A155" s="3500" t="s">
        <v>3801</v>
      </c>
      <c r="B155" s="3500" t="s">
        <v>3454</v>
      </c>
      <c r="C155" s="3500" t="s">
        <v>3802</v>
      </c>
      <c r="D155" s="3500" t="s">
        <v>3464</v>
      </c>
      <c r="E155" s="3500">
        <v>62665</v>
      </c>
      <c r="F155" s="3500">
        <v>68931.5</v>
      </c>
      <c r="G155" s="3500" t="s">
        <v>3682</v>
      </c>
      <c r="H155" s="3500" t="s">
        <v>3457</v>
      </c>
      <c r="I155" s="3500" t="s">
        <v>3408</v>
      </c>
      <c r="J155" s="3500" t="s">
        <v>3427</v>
      </c>
      <c r="K155" s="3500" t="s">
        <v>3788</v>
      </c>
      <c r="L155" s="3500" t="s">
        <v>3788</v>
      </c>
      <c r="M155" s="3500" t="s">
        <v>3460</v>
      </c>
      <c r="N155" s="3500" t="s">
        <v>3803</v>
      </c>
      <c r="O155" s="3500">
        <v>47000</v>
      </c>
      <c r="P155" s="3500">
        <v>9400</v>
      </c>
      <c r="Q155" s="3500" t="s">
        <v>3790</v>
      </c>
      <c r="R155" s="3500">
        <v>47000</v>
      </c>
      <c r="S155" s="3500">
        <v>6818</v>
      </c>
      <c r="T155" s="3500">
        <v>0</v>
      </c>
    </row>
    <row r="156" spans="1:20" ht="14.25">
      <c r="A156" s="3500" t="s">
        <v>3804</v>
      </c>
      <c r="B156" s="3500" t="s">
        <v>3454</v>
      </c>
      <c r="C156" s="3500" t="s">
        <v>3805</v>
      </c>
      <c r="D156" s="3500" t="s">
        <v>3464</v>
      </c>
      <c r="E156" s="3500">
        <v>15780</v>
      </c>
      <c r="F156" s="3500">
        <v>17358</v>
      </c>
      <c r="G156" s="3500" t="s">
        <v>3682</v>
      </c>
      <c r="H156" s="3500" t="s">
        <v>3457</v>
      </c>
      <c r="I156" s="3500" t="s">
        <v>3408</v>
      </c>
      <c r="J156" s="3500" t="s">
        <v>3427</v>
      </c>
      <c r="K156" s="3500" t="s">
        <v>3788</v>
      </c>
      <c r="L156" s="3500" t="s">
        <v>3788</v>
      </c>
      <c r="M156" s="3500" t="s">
        <v>3460</v>
      </c>
      <c r="N156" s="3500" t="s">
        <v>3789</v>
      </c>
      <c r="O156" s="3500">
        <v>12146</v>
      </c>
      <c r="P156" s="3500">
        <v>2440</v>
      </c>
      <c r="Q156" s="3500" t="s">
        <v>3790</v>
      </c>
      <c r="R156" s="3500">
        <v>12146</v>
      </c>
      <c r="S156" s="3500">
        <v>6997</v>
      </c>
      <c r="T156" s="3500">
        <v>0</v>
      </c>
    </row>
    <row r="157" spans="1:20" ht="14.25">
      <c r="A157" s="3500" t="s">
        <v>3806</v>
      </c>
      <c r="B157" s="3500" t="s">
        <v>3454</v>
      </c>
      <c r="C157" s="3500" t="s">
        <v>3807</v>
      </c>
      <c r="D157" s="3500" t="s">
        <v>3464</v>
      </c>
      <c r="E157" s="3500">
        <v>51400</v>
      </c>
      <c r="F157" s="3500">
        <v>56540</v>
      </c>
      <c r="G157" s="3500" t="s">
        <v>3682</v>
      </c>
      <c r="H157" s="3500" t="s">
        <v>3457</v>
      </c>
      <c r="I157" s="3500" t="s">
        <v>3408</v>
      </c>
      <c r="J157" s="3500" t="s">
        <v>3427</v>
      </c>
      <c r="K157" s="3500" t="s">
        <v>3788</v>
      </c>
      <c r="L157" s="3500" t="s">
        <v>3788</v>
      </c>
      <c r="M157" s="3500" t="s">
        <v>3460</v>
      </c>
      <c r="N157" s="3500" t="s">
        <v>3789</v>
      </c>
      <c r="O157" s="3500">
        <v>39550</v>
      </c>
      <c r="P157" s="3500">
        <v>8400</v>
      </c>
      <c r="Q157" s="3500" t="s">
        <v>3790</v>
      </c>
      <c r="R157" s="3500">
        <v>39550</v>
      </c>
      <c r="S157" s="3500">
        <v>6995</v>
      </c>
      <c r="T157" s="3500">
        <v>0</v>
      </c>
    </row>
    <row r="158" spans="1:20" ht="14.25">
      <c r="A158" s="3500" t="s">
        <v>3808</v>
      </c>
      <c r="B158" s="3500" t="s">
        <v>3454</v>
      </c>
      <c r="C158" s="3500" t="s">
        <v>3809</v>
      </c>
      <c r="D158" s="3500" t="s">
        <v>3464</v>
      </c>
      <c r="E158" s="3500">
        <v>29618</v>
      </c>
      <c r="F158" s="3500">
        <v>32579.8</v>
      </c>
      <c r="G158" s="3500" t="s">
        <v>3682</v>
      </c>
      <c r="H158" s="3500" t="s">
        <v>3457</v>
      </c>
      <c r="I158" s="3500" t="s">
        <v>3408</v>
      </c>
      <c r="J158" s="3500" t="s">
        <v>3427</v>
      </c>
      <c r="K158" s="3500" t="s">
        <v>3788</v>
      </c>
      <c r="L158" s="3500" t="s">
        <v>3788</v>
      </c>
      <c r="M158" s="3500" t="s">
        <v>3460</v>
      </c>
      <c r="N158" s="3500" t="s">
        <v>3803</v>
      </c>
      <c r="O158" s="3500">
        <v>22220</v>
      </c>
      <c r="P158" s="3500">
        <v>4450</v>
      </c>
      <c r="Q158" s="3500" t="s">
        <v>3790</v>
      </c>
      <c r="R158" s="3500">
        <v>25720</v>
      </c>
      <c r="S158" s="3500">
        <v>7894</v>
      </c>
      <c r="T158" s="3500">
        <v>15.75</v>
      </c>
    </row>
    <row r="159" spans="1:20" ht="14.25">
      <c r="A159" s="3500" t="s">
        <v>3810</v>
      </c>
      <c r="B159" s="3500" t="s">
        <v>3454</v>
      </c>
      <c r="C159" s="3500" t="s">
        <v>3811</v>
      </c>
      <c r="D159" s="3500" t="s">
        <v>3455</v>
      </c>
      <c r="E159" s="3500">
        <v>2035</v>
      </c>
      <c r="F159" s="3500">
        <v>5291</v>
      </c>
      <c r="G159" s="3500" t="s">
        <v>3546</v>
      </c>
      <c r="H159" s="3500" t="s">
        <v>3457</v>
      </c>
      <c r="I159" s="3500" t="s">
        <v>3407</v>
      </c>
      <c r="J159" s="3500" t="s">
        <v>3427</v>
      </c>
      <c r="K159" s="3500" t="s">
        <v>3788</v>
      </c>
      <c r="L159" s="3500" t="s">
        <v>3788</v>
      </c>
      <c r="M159" s="3500" t="s">
        <v>3460</v>
      </c>
      <c r="N159" s="3500" t="s">
        <v>3812</v>
      </c>
      <c r="O159" s="3500">
        <v>1772</v>
      </c>
      <c r="P159" s="3500">
        <v>355</v>
      </c>
      <c r="Q159" s="3500" t="s">
        <v>3790</v>
      </c>
      <c r="R159" s="3500">
        <v>1772</v>
      </c>
      <c r="S159" s="3500">
        <v>3349</v>
      </c>
      <c r="T159" s="3500">
        <v>0</v>
      </c>
    </row>
    <row r="160" spans="1:20" ht="14.25">
      <c r="A160" s="3500" t="s">
        <v>3813</v>
      </c>
      <c r="B160" s="3500" t="s">
        <v>3454</v>
      </c>
      <c r="C160" s="3500" t="s">
        <v>3814</v>
      </c>
      <c r="D160" s="3500" t="s">
        <v>3464</v>
      </c>
      <c r="E160" s="3500">
        <v>37590</v>
      </c>
      <c r="F160" s="3500">
        <v>41349</v>
      </c>
      <c r="G160" s="3500" t="s">
        <v>3682</v>
      </c>
      <c r="H160" s="3500" t="s">
        <v>3457</v>
      </c>
      <c r="I160" s="3500" t="s">
        <v>3408</v>
      </c>
      <c r="J160" s="3500" t="s">
        <v>3427</v>
      </c>
      <c r="K160" s="3500" t="s">
        <v>3788</v>
      </c>
      <c r="L160" s="3500" t="s">
        <v>3788</v>
      </c>
      <c r="M160" s="3500" t="s">
        <v>3460</v>
      </c>
      <c r="N160" s="3500" t="s">
        <v>3803</v>
      </c>
      <c r="O160" s="3500">
        <v>28200</v>
      </c>
      <c r="P160" s="3500">
        <v>5640</v>
      </c>
      <c r="Q160" s="3500" t="s">
        <v>3790</v>
      </c>
      <c r="R160" s="3500">
        <v>30700</v>
      </c>
      <c r="S160" s="3500">
        <v>7425</v>
      </c>
      <c r="T160" s="3500">
        <v>8.8699999999999992</v>
      </c>
    </row>
    <row r="161" spans="1:20" ht="14.25">
      <c r="A161" s="3500" t="s">
        <v>3815</v>
      </c>
      <c r="B161" s="3500" t="s">
        <v>3454</v>
      </c>
      <c r="C161" s="3500" t="s">
        <v>3816</v>
      </c>
      <c r="D161" s="3500" t="s">
        <v>3464</v>
      </c>
      <c r="E161" s="3500">
        <v>43237</v>
      </c>
      <c r="F161" s="3500">
        <v>47560.7</v>
      </c>
      <c r="G161" s="3500" t="s">
        <v>3682</v>
      </c>
      <c r="H161" s="3500" t="s">
        <v>3457</v>
      </c>
      <c r="I161" s="3500" t="s">
        <v>3408</v>
      </c>
      <c r="J161" s="3500" t="s">
        <v>3427</v>
      </c>
      <c r="K161" s="3500" t="s">
        <v>3788</v>
      </c>
      <c r="L161" s="3500" t="s">
        <v>3788</v>
      </c>
      <c r="M161" s="3500" t="s">
        <v>3460</v>
      </c>
      <c r="N161" s="3500" t="s">
        <v>3789</v>
      </c>
      <c r="O161" s="3500">
        <v>33274</v>
      </c>
      <c r="P161" s="3500">
        <v>6660</v>
      </c>
      <c r="Q161" s="3500" t="s">
        <v>3790</v>
      </c>
      <c r="R161" s="3500">
        <v>33274</v>
      </c>
      <c r="S161" s="3500">
        <v>6996</v>
      </c>
      <c r="T161" s="3500">
        <v>0</v>
      </c>
    </row>
    <row r="162" spans="1:20" ht="14.25">
      <c r="A162" s="3500" t="s">
        <v>3817</v>
      </c>
      <c r="B162" s="3500" t="s">
        <v>3454</v>
      </c>
      <c r="C162" s="3500" t="s">
        <v>3818</v>
      </c>
      <c r="D162" s="3500" t="s">
        <v>3464</v>
      </c>
      <c r="E162" s="3500">
        <v>18776</v>
      </c>
      <c r="F162" s="3500">
        <v>20653.599999999999</v>
      </c>
      <c r="G162" s="3500" t="s">
        <v>3682</v>
      </c>
      <c r="H162" s="3500" t="s">
        <v>3457</v>
      </c>
      <c r="I162" s="3500" t="s">
        <v>3408</v>
      </c>
      <c r="J162" s="3500" t="s">
        <v>3427</v>
      </c>
      <c r="K162" s="3500" t="s">
        <v>3788</v>
      </c>
      <c r="L162" s="3500" t="s">
        <v>3788</v>
      </c>
      <c r="M162" s="3500" t="s">
        <v>3460</v>
      </c>
      <c r="N162" s="3500" t="s">
        <v>3789</v>
      </c>
      <c r="O162" s="3500">
        <v>14450</v>
      </c>
      <c r="P162" s="3500">
        <v>2900</v>
      </c>
      <c r="Q162" s="3500" t="s">
        <v>3790</v>
      </c>
      <c r="R162" s="3500">
        <v>14450</v>
      </c>
      <c r="S162" s="3500">
        <v>6996</v>
      </c>
      <c r="T162" s="3500">
        <v>0</v>
      </c>
    </row>
    <row r="163" spans="1:20" ht="14.25">
      <c r="A163" s="3500" t="s">
        <v>3819</v>
      </c>
      <c r="B163" s="3500" t="s">
        <v>3454</v>
      </c>
      <c r="C163" s="3500" t="s">
        <v>3820</v>
      </c>
      <c r="D163" s="3500" t="s">
        <v>3464</v>
      </c>
      <c r="E163" s="3500">
        <v>45864</v>
      </c>
      <c r="F163" s="3500">
        <v>55036.800000000003</v>
      </c>
      <c r="G163" s="3500" t="s">
        <v>3773</v>
      </c>
      <c r="H163" s="3500" t="s">
        <v>3457</v>
      </c>
      <c r="I163" s="3500" t="s">
        <v>3408</v>
      </c>
      <c r="J163" s="3500" t="s">
        <v>3427</v>
      </c>
      <c r="K163" s="3500" t="s">
        <v>3788</v>
      </c>
      <c r="L163" s="3500" t="s">
        <v>3788</v>
      </c>
      <c r="M163" s="3500" t="s">
        <v>3460</v>
      </c>
      <c r="N163" s="3500" t="s">
        <v>3789</v>
      </c>
      <c r="O163" s="3500">
        <v>35209</v>
      </c>
      <c r="P163" s="3500">
        <v>7600</v>
      </c>
      <c r="Q163" s="3500" t="s">
        <v>3790</v>
      </c>
      <c r="R163" s="3500">
        <v>35209</v>
      </c>
      <c r="S163" s="3500">
        <v>6397</v>
      </c>
      <c r="T163" s="3500">
        <v>0</v>
      </c>
    </row>
    <row r="164" spans="1:20" ht="14.25">
      <c r="A164" s="3500" t="s">
        <v>3821</v>
      </c>
      <c r="B164" s="3500" t="s">
        <v>3454</v>
      </c>
      <c r="C164" s="3500" t="s">
        <v>3822</v>
      </c>
      <c r="D164" s="3500" t="s">
        <v>3464</v>
      </c>
      <c r="E164" s="3500">
        <v>52385</v>
      </c>
      <c r="F164" s="3500">
        <v>57623.5</v>
      </c>
      <c r="G164" s="3500" t="s">
        <v>3682</v>
      </c>
      <c r="H164" s="3500" t="s">
        <v>3457</v>
      </c>
      <c r="I164" s="3500" t="s">
        <v>3408</v>
      </c>
      <c r="J164" s="3500" t="s">
        <v>3427</v>
      </c>
      <c r="K164" s="3500" t="s">
        <v>3788</v>
      </c>
      <c r="L164" s="3500" t="s">
        <v>3788</v>
      </c>
      <c r="M164" s="3500" t="s">
        <v>3460</v>
      </c>
      <c r="N164" s="3500" t="s">
        <v>3789</v>
      </c>
      <c r="O164" s="3500">
        <v>40319</v>
      </c>
      <c r="P164" s="3500">
        <v>8070</v>
      </c>
      <c r="Q164" s="3500" t="s">
        <v>3790</v>
      </c>
      <c r="R164" s="3500">
        <v>40319</v>
      </c>
      <c r="S164" s="3500">
        <v>6997</v>
      </c>
      <c r="T164" s="3500">
        <v>0</v>
      </c>
    </row>
    <row r="165" spans="1:20" ht="14.25">
      <c r="A165" s="3500" t="s">
        <v>3823</v>
      </c>
      <c r="B165" s="3500" t="s">
        <v>3454</v>
      </c>
      <c r="C165" s="3500" t="s">
        <v>3824</v>
      </c>
      <c r="D165" s="3500" t="s">
        <v>3464</v>
      </c>
      <c r="E165" s="3500">
        <v>21512</v>
      </c>
      <c r="F165" s="3500">
        <v>25814.400000000001</v>
      </c>
      <c r="G165" s="3500" t="s">
        <v>3773</v>
      </c>
      <c r="H165" s="3500" t="s">
        <v>3457</v>
      </c>
      <c r="I165" s="3500" t="s">
        <v>3408</v>
      </c>
      <c r="J165" s="3500" t="s">
        <v>3427</v>
      </c>
      <c r="K165" s="3500" t="s">
        <v>3788</v>
      </c>
      <c r="L165" s="3500" t="s">
        <v>3788</v>
      </c>
      <c r="M165" s="3500" t="s">
        <v>3460</v>
      </c>
      <c r="N165" s="3500" t="s">
        <v>3789</v>
      </c>
      <c r="O165" s="3500">
        <v>16506</v>
      </c>
      <c r="P165" s="3500">
        <v>3310</v>
      </c>
      <c r="Q165" s="3500" t="s">
        <v>3790</v>
      </c>
      <c r="R165" s="3500">
        <v>16506</v>
      </c>
      <c r="S165" s="3500">
        <v>6394</v>
      </c>
      <c r="T165" s="3500">
        <v>0</v>
      </c>
    </row>
    <row r="166" spans="1:20" ht="14.25">
      <c r="A166" s="3500" t="s">
        <v>3825</v>
      </c>
      <c r="B166" s="3500" t="s">
        <v>3454</v>
      </c>
      <c r="C166" s="3500" t="s">
        <v>3826</v>
      </c>
      <c r="D166" s="3500" t="s">
        <v>3455</v>
      </c>
      <c r="E166" s="3500">
        <v>6923</v>
      </c>
      <c r="F166" s="3500">
        <v>27692</v>
      </c>
      <c r="G166" s="3500" t="s">
        <v>3827</v>
      </c>
      <c r="H166" s="3500" t="s">
        <v>3457</v>
      </c>
      <c r="I166" s="3500" t="s">
        <v>3407</v>
      </c>
      <c r="J166" s="3500" t="s">
        <v>3427</v>
      </c>
      <c r="K166" s="3500" t="s">
        <v>3828</v>
      </c>
      <c r="L166" s="3500" t="s">
        <v>3828</v>
      </c>
      <c r="M166" s="3500" t="s">
        <v>3460</v>
      </c>
      <c r="N166" s="3500" t="s">
        <v>3829</v>
      </c>
      <c r="O166" s="3500">
        <v>11215</v>
      </c>
      <c r="P166" s="3500">
        <v>2300</v>
      </c>
      <c r="Q166" s="3500" t="s">
        <v>3830</v>
      </c>
      <c r="R166" s="3500">
        <v>11215</v>
      </c>
      <c r="S166" s="3500">
        <v>4050</v>
      </c>
      <c r="T166" s="3500">
        <v>0</v>
      </c>
    </row>
    <row r="167" spans="1:20" ht="14.25">
      <c r="A167" s="3500" t="s">
        <v>3831</v>
      </c>
      <c r="B167" s="3500" t="s">
        <v>3454</v>
      </c>
      <c r="C167" s="3500" t="s">
        <v>3832</v>
      </c>
      <c r="D167" s="3500" t="s">
        <v>3455</v>
      </c>
      <c r="E167" s="3500">
        <v>30609</v>
      </c>
      <c r="F167" s="3500">
        <v>30609</v>
      </c>
      <c r="G167" s="3500" t="s">
        <v>3833</v>
      </c>
      <c r="H167" s="3500" t="s">
        <v>3457</v>
      </c>
      <c r="I167" s="3500" t="s">
        <v>3458</v>
      </c>
      <c r="J167" s="3500" t="s">
        <v>3427</v>
      </c>
      <c r="K167" s="3500" t="s">
        <v>3834</v>
      </c>
      <c r="L167" s="3500" t="s">
        <v>3834</v>
      </c>
      <c r="M167" s="3500" t="s">
        <v>3460</v>
      </c>
      <c r="N167" s="3500" t="s">
        <v>3835</v>
      </c>
      <c r="O167" s="3500">
        <v>21733</v>
      </c>
      <c r="P167" s="3500">
        <v>4350</v>
      </c>
      <c r="Q167" s="3500" t="s">
        <v>3836</v>
      </c>
      <c r="R167" s="3500">
        <v>21733</v>
      </c>
      <c r="S167" s="3500">
        <v>7100</v>
      </c>
      <c r="T167" s="3500">
        <v>0</v>
      </c>
    </row>
    <row r="168" spans="1:20" ht="14.25">
      <c r="A168" s="3500" t="s">
        <v>3837</v>
      </c>
      <c r="B168" s="3500" t="s">
        <v>3454</v>
      </c>
      <c r="C168" s="3500" t="s">
        <v>3838</v>
      </c>
      <c r="D168" s="3500" t="s">
        <v>3464</v>
      </c>
      <c r="E168" s="3500">
        <v>42325</v>
      </c>
      <c r="F168" s="3500">
        <v>76185</v>
      </c>
      <c r="G168" s="3500" t="s">
        <v>3496</v>
      </c>
      <c r="H168" s="3500" t="s">
        <v>3457</v>
      </c>
      <c r="I168" s="3500" t="s">
        <v>3408</v>
      </c>
      <c r="J168" s="3500" t="s">
        <v>3427</v>
      </c>
      <c r="K168" s="3500" t="s">
        <v>3839</v>
      </c>
      <c r="L168" s="3500" t="s">
        <v>3839</v>
      </c>
      <c r="M168" s="3500" t="s">
        <v>3460</v>
      </c>
      <c r="N168" s="3500" t="s">
        <v>3840</v>
      </c>
      <c r="O168" s="3500">
        <v>13976</v>
      </c>
      <c r="P168" s="3500">
        <v>13976</v>
      </c>
      <c r="Q168" s="3500" t="s">
        <v>3841</v>
      </c>
      <c r="R168" s="3500">
        <v>13976</v>
      </c>
      <c r="S168" s="3500">
        <v>1834</v>
      </c>
      <c r="T168" s="3500">
        <v>0</v>
      </c>
    </row>
    <row r="169" spans="1:20" ht="14.25">
      <c r="A169" s="3500" t="s">
        <v>3842</v>
      </c>
      <c r="B169" s="3500" t="s">
        <v>3454</v>
      </c>
      <c r="C169" s="3500" t="s">
        <v>3843</v>
      </c>
      <c r="D169" s="3500" t="s">
        <v>3455</v>
      </c>
      <c r="E169" s="3500">
        <v>9772</v>
      </c>
      <c r="F169" s="3500">
        <v>14658</v>
      </c>
      <c r="G169" s="3500" t="s">
        <v>3505</v>
      </c>
      <c r="H169" s="3500" t="s">
        <v>3457</v>
      </c>
      <c r="I169" s="3500" t="s">
        <v>3458</v>
      </c>
      <c r="J169" s="3500" t="s">
        <v>3427</v>
      </c>
      <c r="K169" s="3500" t="s">
        <v>3839</v>
      </c>
      <c r="L169" s="3500" t="s">
        <v>3839</v>
      </c>
      <c r="M169" s="3500" t="s">
        <v>3460</v>
      </c>
      <c r="N169" s="3500" t="s">
        <v>3844</v>
      </c>
      <c r="O169" s="3500">
        <v>1979</v>
      </c>
      <c r="P169" s="3500">
        <v>1979</v>
      </c>
      <c r="Q169" s="3500" t="s">
        <v>3841</v>
      </c>
      <c r="R169" s="3500">
        <v>1999</v>
      </c>
      <c r="S169" s="3500">
        <v>1364</v>
      </c>
      <c r="T169" s="3500">
        <v>1.01</v>
      </c>
    </row>
    <row r="170" spans="1:20" ht="14.25">
      <c r="A170" s="3500" t="s">
        <v>3845</v>
      </c>
      <c r="B170" s="3500" t="s">
        <v>3454</v>
      </c>
      <c r="C170" s="3500" t="s">
        <v>3845</v>
      </c>
      <c r="D170" s="3500" t="s">
        <v>3464</v>
      </c>
      <c r="E170" s="3500">
        <v>103684</v>
      </c>
      <c r="F170" s="3500">
        <v>165894.39999999999</v>
      </c>
      <c r="G170" s="3500" t="s">
        <v>3846</v>
      </c>
      <c r="H170" s="3500" t="s">
        <v>3457</v>
      </c>
      <c r="I170" s="3500" t="s">
        <v>3408</v>
      </c>
      <c r="J170" s="3500" t="s">
        <v>3427</v>
      </c>
      <c r="K170" s="3500" t="s">
        <v>3839</v>
      </c>
      <c r="L170" s="3500" t="s">
        <v>3839</v>
      </c>
      <c r="M170" s="3500" t="s">
        <v>3460</v>
      </c>
      <c r="N170" s="3500" t="s">
        <v>3847</v>
      </c>
      <c r="O170" s="3500">
        <v>23330</v>
      </c>
      <c r="P170" s="3500">
        <v>11665</v>
      </c>
      <c r="Q170" s="3500" t="s">
        <v>3848</v>
      </c>
      <c r="R170" s="3500">
        <v>23330</v>
      </c>
      <c r="S170" s="3500">
        <v>1406</v>
      </c>
      <c r="T170" s="3500">
        <v>0</v>
      </c>
    </row>
    <row r="171" spans="1:20" ht="14.25">
      <c r="A171" s="3500" t="s">
        <v>3849</v>
      </c>
      <c r="B171" s="3500" t="s">
        <v>3454</v>
      </c>
      <c r="C171" s="3500" t="s">
        <v>3849</v>
      </c>
      <c r="D171" s="3500" t="s">
        <v>3455</v>
      </c>
      <c r="E171" s="3500">
        <v>9759</v>
      </c>
      <c r="F171" s="3500">
        <v>19518</v>
      </c>
      <c r="G171" s="3500" t="s">
        <v>3850</v>
      </c>
      <c r="H171" s="3500" t="s">
        <v>3457</v>
      </c>
      <c r="I171" s="3500" t="s">
        <v>3407</v>
      </c>
      <c r="J171" s="3500" t="s">
        <v>3427</v>
      </c>
      <c r="K171" s="3500" t="s">
        <v>3839</v>
      </c>
      <c r="L171" s="3500" t="s">
        <v>3839</v>
      </c>
      <c r="M171" s="3500" t="s">
        <v>3460</v>
      </c>
      <c r="N171" s="3500" t="s">
        <v>3851</v>
      </c>
      <c r="O171" s="3500">
        <v>1947</v>
      </c>
      <c r="P171" s="3500">
        <v>1947</v>
      </c>
      <c r="Q171" s="3500" t="s">
        <v>3848</v>
      </c>
      <c r="R171" s="3500">
        <v>1947</v>
      </c>
      <c r="S171" s="3500">
        <v>998</v>
      </c>
      <c r="T171" s="3500">
        <v>0</v>
      </c>
    </row>
    <row r="172" spans="1:20" ht="14.25">
      <c r="A172" s="3500" t="s">
        <v>3852</v>
      </c>
      <c r="B172" s="3500" t="s">
        <v>3454</v>
      </c>
      <c r="C172" s="3500" t="s">
        <v>3853</v>
      </c>
      <c r="D172" s="3500" t="s">
        <v>3464</v>
      </c>
      <c r="E172" s="3500">
        <v>50083</v>
      </c>
      <c r="F172" s="3500">
        <v>80132.800000000003</v>
      </c>
      <c r="G172" s="3500" t="s">
        <v>3854</v>
      </c>
      <c r="H172" s="3500" t="s">
        <v>3457</v>
      </c>
      <c r="I172" s="3500" t="s">
        <v>3408</v>
      </c>
      <c r="J172" s="3500" t="s">
        <v>3427</v>
      </c>
      <c r="K172" s="3500" t="s">
        <v>3839</v>
      </c>
      <c r="L172" s="3500" t="s">
        <v>3839</v>
      </c>
      <c r="M172" s="3500" t="s">
        <v>3460</v>
      </c>
      <c r="N172" s="3500" t="s">
        <v>3855</v>
      </c>
      <c r="O172" s="3500">
        <v>17054</v>
      </c>
      <c r="P172" s="3500">
        <v>17054</v>
      </c>
      <c r="Q172" s="3500" t="s">
        <v>3841</v>
      </c>
      <c r="R172" s="3500">
        <v>17054</v>
      </c>
      <c r="S172" s="3500">
        <v>2128</v>
      </c>
      <c r="T172" s="3500">
        <v>0</v>
      </c>
    </row>
    <row r="173" spans="1:20" ht="14.25">
      <c r="A173" s="3500" t="s">
        <v>3856</v>
      </c>
      <c r="B173" s="3500" t="s">
        <v>3454</v>
      </c>
      <c r="C173" s="3500" t="s">
        <v>3857</v>
      </c>
      <c r="D173" s="3500" t="s">
        <v>3464</v>
      </c>
      <c r="E173" s="3500">
        <v>40986</v>
      </c>
      <c r="F173" s="3500">
        <v>73774.8</v>
      </c>
      <c r="G173" s="3500" t="s">
        <v>3496</v>
      </c>
      <c r="H173" s="3500" t="s">
        <v>3457</v>
      </c>
      <c r="I173" s="3500" t="s">
        <v>3408</v>
      </c>
      <c r="J173" s="3500" t="s">
        <v>3427</v>
      </c>
      <c r="K173" s="3500" t="s">
        <v>3839</v>
      </c>
      <c r="L173" s="3500" t="s">
        <v>3839</v>
      </c>
      <c r="M173" s="3500" t="s">
        <v>3460</v>
      </c>
      <c r="N173" s="3500" t="s">
        <v>3858</v>
      </c>
      <c r="O173" s="3500">
        <v>13534</v>
      </c>
      <c r="P173" s="3500">
        <v>13534</v>
      </c>
      <c r="Q173" s="3500" t="s">
        <v>3841</v>
      </c>
      <c r="R173" s="3500">
        <v>13534</v>
      </c>
      <c r="S173" s="3500">
        <v>1835</v>
      </c>
      <c r="T173" s="3500">
        <v>0</v>
      </c>
    </row>
    <row r="174" spans="1:20" ht="14.25">
      <c r="A174" s="3500" t="s">
        <v>3859</v>
      </c>
      <c r="B174" s="3500" t="s">
        <v>3454</v>
      </c>
      <c r="C174" s="3500" t="s">
        <v>3860</v>
      </c>
      <c r="D174" s="3500" t="s">
        <v>3455</v>
      </c>
      <c r="E174" s="3500">
        <v>8004</v>
      </c>
      <c r="F174" s="3500">
        <v>16008</v>
      </c>
      <c r="G174" s="3500" t="s">
        <v>3456</v>
      </c>
      <c r="H174" s="3500" t="s">
        <v>3457</v>
      </c>
      <c r="I174" s="3500" t="s">
        <v>3458</v>
      </c>
      <c r="J174" s="3500" t="s">
        <v>3427</v>
      </c>
      <c r="K174" s="3500" t="s">
        <v>3839</v>
      </c>
      <c r="L174" s="3500" t="s">
        <v>3839</v>
      </c>
      <c r="M174" s="3500" t="s">
        <v>3460</v>
      </c>
      <c r="N174" s="3500" t="s">
        <v>3861</v>
      </c>
      <c r="O174" s="3500">
        <v>1363</v>
      </c>
      <c r="P174" s="3500">
        <v>1363</v>
      </c>
      <c r="Q174" s="3500" t="s">
        <v>3841</v>
      </c>
      <c r="R174" s="3500">
        <v>1363</v>
      </c>
      <c r="S174" s="3500">
        <v>851</v>
      </c>
      <c r="T174" s="3500">
        <v>0</v>
      </c>
    </row>
    <row r="175" spans="1:20" ht="14.25">
      <c r="A175" s="3500" t="s">
        <v>3862</v>
      </c>
      <c r="B175" s="3500" t="s">
        <v>3454</v>
      </c>
      <c r="C175" s="3500" t="s">
        <v>3863</v>
      </c>
      <c r="D175" s="3500" t="s">
        <v>3455</v>
      </c>
      <c r="E175" s="3500">
        <v>2605.8000000000002</v>
      </c>
      <c r="F175" s="3500">
        <v>3908.7</v>
      </c>
      <c r="G175" s="3500" t="s">
        <v>3505</v>
      </c>
      <c r="H175" s="3500" t="s">
        <v>3457</v>
      </c>
      <c r="I175" s="3500" t="s">
        <v>3407</v>
      </c>
      <c r="J175" s="3500" t="s">
        <v>3427</v>
      </c>
      <c r="K175" s="3500" t="s">
        <v>3864</v>
      </c>
      <c r="L175" s="3500" t="s">
        <v>3864</v>
      </c>
      <c r="M175" s="3500" t="s">
        <v>3460</v>
      </c>
      <c r="N175" s="3500" t="s">
        <v>3865</v>
      </c>
      <c r="O175" s="3500">
        <v>509</v>
      </c>
      <c r="P175" s="3500">
        <v>509</v>
      </c>
      <c r="Q175" s="3500" t="s">
        <v>3866</v>
      </c>
      <c r="R175" s="3500">
        <v>509</v>
      </c>
      <c r="S175" s="3500">
        <v>1302</v>
      </c>
      <c r="T175" s="3500">
        <v>0</v>
      </c>
    </row>
    <row r="176" spans="1:20" ht="14.25">
      <c r="A176" s="3500" t="s">
        <v>3867</v>
      </c>
      <c r="B176" s="3500" t="s">
        <v>3454</v>
      </c>
      <c r="C176" s="3500" t="s">
        <v>3868</v>
      </c>
      <c r="D176" s="3500" t="s">
        <v>3464</v>
      </c>
      <c r="E176" s="3500">
        <v>3824</v>
      </c>
      <c r="F176" s="3500">
        <v>7648</v>
      </c>
      <c r="G176" s="3500" t="s">
        <v>3728</v>
      </c>
      <c r="H176" s="3500" t="s">
        <v>3457</v>
      </c>
      <c r="I176" s="3500" t="s">
        <v>3408</v>
      </c>
      <c r="J176" s="3500" t="s">
        <v>3427</v>
      </c>
      <c r="K176" s="3500" t="s">
        <v>3864</v>
      </c>
      <c r="L176" s="3500" t="s">
        <v>3864</v>
      </c>
      <c r="M176" s="3500" t="s">
        <v>3460</v>
      </c>
      <c r="N176" s="3500" t="s">
        <v>3869</v>
      </c>
      <c r="O176" s="3500">
        <v>1276</v>
      </c>
      <c r="P176" s="3500">
        <v>1276</v>
      </c>
      <c r="Q176" s="3500" t="s">
        <v>3866</v>
      </c>
      <c r="R176" s="3500">
        <v>1276</v>
      </c>
      <c r="S176" s="3500">
        <v>1668</v>
      </c>
      <c r="T176" s="3500">
        <v>0</v>
      </c>
    </row>
    <row r="177" spans="1:20" ht="14.25">
      <c r="A177" s="3500" t="s">
        <v>3870</v>
      </c>
      <c r="B177" s="3500" t="s">
        <v>3454</v>
      </c>
      <c r="C177" s="3500" t="s">
        <v>3871</v>
      </c>
      <c r="D177" s="3500" t="s">
        <v>3464</v>
      </c>
      <c r="E177" s="3500">
        <v>25867</v>
      </c>
      <c r="F177" s="3500">
        <v>72427.600000000006</v>
      </c>
      <c r="G177" s="3500" t="s">
        <v>3872</v>
      </c>
      <c r="H177" s="3500" t="s">
        <v>3457</v>
      </c>
      <c r="I177" s="3500" t="s">
        <v>3408</v>
      </c>
      <c r="J177" s="3500" t="s">
        <v>3427</v>
      </c>
      <c r="K177" s="3500" t="s">
        <v>3873</v>
      </c>
      <c r="L177" s="3500" t="s">
        <v>3873</v>
      </c>
      <c r="M177" s="3500" t="s">
        <v>3460</v>
      </c>
      <c r="N177" s="3500" t="s">
        <v>3874</v>
      </c>
      <c r="O177" s="3500">
        <v>39738</v>
      </c>
      <c r="P177" s="3500">
        <v>7948</v>
      </c>
      <c r="Q177" s="3500" t="s">
        <v>3875</v>
      </c>
      <c r="R177" s="3500">
        <v>39738</v>
      </c>
      <c r="S177" s="3500">
        <v>5487</v>
      </c>
      <c r="T177" s="3500">
        <v>0</v>
      </c>
    </row>
    <row r="178" spans="1:20" ht="14.25">
      <c r="A178" s="3500" t="s">
        <v>3876</v>
      </c>
      <c r="B178" s="3500" t="s">
        <v>3454</v>
      </c>
      <c r="C178" s="3500" t="s">
        <v>3877</v>
      </c>
      <c r="D178" s="3500" t="s">
        <v>3455</v>
      </c>
      <c r="E178" s="3500">
        <v>14603</v>
      </c>
      <c r="F178" s="3500">
        <v>11682.4</v>
      </c>
      <c r="G178" s="3500" t="s">
        <v>3878</v>
      </c>
      <c r="H178" s="3500" t="s">
        <v>3457</v>
      </c>
      <c r="I178" s="3500" t="s">
        <v>3458</v>
      </c>
      <c r="J178" s="3500" t="s">
        <v>3427</v>
      </c>
      <c r="K178" s="3500" t="s">
        <v>3873</v>
      </c>
      <c r="L178" s="3500" t="s">
        <v>3873</v>
      </c>
      <c r="M178" s="3500" t="s">
        <v>3460</v>
      </c>
      <c r="N178" s="3500" t="s">
        <v>3879</v>
      </c>
      <c r="O178" s="3500">
        <v>3950</v>
      </c>
      <c r="P178" s="3500">
        <v>790</v>
      </c>
      <c r="Q178" s="3500" t="s">
        <v>3875</v>
      </c>
      <c r="R178" s="3500">
        <v>3950</v>
      </c>
      <c r="S178" s="3500">
        <v>3381</v>
      </c>
      <c r="T178" s="3500">
        <v>0</v>
      </c>
    </row>
    <row r="179" spans="1:20" ht="14.25">
      <c r="A179" s="3500" t="s">
        <v>3880</v>
      </c>
      <c r="B179" s="3500" t="s">
        <v>3454</v>
      </c>
      <c r="C179" s="3500" t="s">
        <v>3880</v>
      </c>
      <c r="D179" s="3500" t="s">
        <v>3455</v>
      </c>
      <c r="E179" s="3500">
        <v>35148</v>
      </c>
      <c r="F179" s="3500">
        <v>70296</v>
      </c>
      <c r="G179" s="3500" t="s">
        <v>3456</v>
      </c>
      <c r="H179" s="3500" t="s">
        <v>3457</v>
      </c>
      <c r="I179" s="3500" t="s">
        <v>3458</v>
      </c>
      <c r="J179" s="3500" t="s">
        <v>3427</v>
      </c>
      <c r="K179" s="3500" t="s">
        <v>3873</v>
      </c>
      <c r="L179" s="3500" t="s">
        <v>3873</v>
      </c>
      <c r="M179" s="3500" t="s">
        <v>3460</v>
      </c>
      <c r="N179" s="3500" t="s">
        <v>3591</v>
      </c>
      <c r="O179" s="3500">
        <v>10545</v>
      </c>
      <c r="P179" s="3500">
        <v>3200</v>
      </c>
      <c r="Q179" s="3500" t="s">
        <v>3875</v>
      </c>
      <c r="R179" s="3500">
        <v>10545</v>
      </c>
      <c r="S179" s="3500">
        <v>1500</v>
      </c>
      <c r="T179" s="3500">
        <v>0</v>
      </c>
    </row>
    <row r="180" spans="1:20" ht="14.25">
      <c r="A180" s="3500" t="s">
        <v>3881</v>
      </c>
      <c r="B180" s="3500" t="s">
        <v>3454</v>
      </c>
      <c r="C180" s="3500" t="s">
        <v>3882</v>
      </c>
      <c r="D180" s="3500" t="s">
        <v>3455</v>
      </c>
      <c r="E180" s="3500">
        <v>29047</v>
      </c>
      <c r="F180" s="3500">
        <v>23237.599999999999</v>
      </c>
      <c r="G180" s="3500" t="s">
        <v>3878</v>
      </c>
      <c r="H180" s="3500" t="s">
        <v>3457</v>
      </c>
      <c r="I180" s="3500" t="s">
        <v>3458</v>
      </c>
      <c r="J180" s="3500" t="s">
        <v>3427</v>
      </c>
      <c r="K180" s="3500" t="s">
        <v>3873</v>
      </c>
      <c r="L180" s="3500" t="s">
        <v>3873</v>
      </c>
      <c r="M180" s="3500" t="s">
        <v>3460</v>
      </c>
      <c r="N180" s="3500" t="s">
        <v>3879</v>
      </c>
      <c r="O180" s="3500">
        <v>7850</v>
      </c>
      <c r="P180" s="3500">
        <v>1570</v>
      </c>
      <c r="Q180" s="3500" t="s">
        <v>3875</v>
      </c>
      <c r="R180" s="3500">
        <v>7850</v>
      </c>
      <c r="S180" s="3500">
        <v>3378</v>
      </c>
      <c r="T180" s="3500">
        <v>0</v>
      </c>
    </row>
    <row r="181" spans="1:20" ht="14.25">
      <c r="A181" s="3500" t="s">
        <v>3883</v>
      </c>
      <c r="B181" s="3500" t="s">
        <v>3454</v>
      </c>
      <c r="C181" s="3500" t="s">
        <v>3884</v>
      </c>
      <c r="D181" s="3500" t="s">
        <v>3464</v>
      </c>
      <c r="E181" s="3500">
        <v>26420</v>
      </c>
      <c r="F181" s="3500">
        <v>73976</v>
      </c>
      <c r="G181" s="3500" t="s">
        <v>3872</v>
      </c>
      <c r="H181" s="3500" t="s">
        <v>3457</v>
      </c>
      <c r="I181" s="3500" t="s">
        <v>3408</v>
      </c>
      <c r="J181" s="3500" t="s">
        <v>3427</v>
      </c>
      <c r="K181" s="3500" t="s">
        <v>3873</v>
      </c>
      <c r="L181" s="3500" t="s">
        <v>3873</v>
      </c>
      <c r="M181" s="3500" t="s">
        <v>3460</v>
      </c>
      <c r="N181" s="3500" t="s">
        <v>3885</v>
      </c>
      <c r="O181" s="3500">
        <v>40587</v>
      </c>
      <c r="P181" s="3500">
        <v>8118</v>
      </c>
      <c r="Q181" s="3500" t="s">
        <v>3875</v>
      </c>
      <c r="R181" s="3500">
        <v>40587</v>
      </c>
      <c r="S181" s="3500">
        <v>5487</v>
      </c>
      <c r="T181" s="3500">
        <v>0</v>
      </c>
    </row>
    <row r="182" spans="1:20" ht="14.25">
      <c r="A182" s="3500" t="s">
        <v>3886</v>
      </c>
      <c r="B182" s="3500" t="s">
        <v>3454</v>
      </c>
      <c r="C182" s="3500" t="s">
        <v>3886</v>
      </c>
      <c r="D182" s="3500" t="s">
        <v>3455</v>
      </c>
      <c r="E182" s="3500">
        <v>35148</v>
      </c>
      <c r="F182" s="3500">
        <v>70296</v>
      </c>
      <c r="G182" s="3500" t="s">
        <v>3456</v>
      </c>
      <c r="H182" s="3500" t="s">
        <v>3457</v>
      </c>
      <c r="I182" s="3500" t="s">
        <v>3458</v>
      </c>
      <c r="J182" s="3500" t="s">
        <v>3427</v>
      </c>
      <c r="K182" s="3500" t="s">
        <v>3873</v>
      </c>
      <c r="L182" s="3500" t="s">
        <v>3873</v>
      </c>
      <c r="M182" s="3500" t="s">
        <v>3460</v>
      </c>
      <c r="N182" s="3500" t="s">
        <v>3591</v>
      </c>
      <c r="O182" s="3500">
        <v>10545</v>
      </c>
      <c r="P182" s="3500">
        <v>3200</v>
      </c>
      <c r="Q182" s="3500" t="s">
        <v>3875</v>
      </c>
      <c r="R182" s="3500">
        <v>10545</v>
      </c>
      <c r="S182" s="3500">
        <v>1500</v>
      </c>
      <c r="T182" s="3500">
        <v>0</v>
      </c>
    </row>
    <row r="183" spans="1:20" ht="14.25">
      <c r="A183" s="3500" t="s">
        <v>3887</v>
      </c>
      <c r="B183" s="3500" t="s">
        <v>3454</v>
      </c>
      <c r="C183" s="3500" t="s">
        <v>3888</v>
      </c>
      <c r="D183" s="3500" t="s">
        <v>3455</v>
      </c>
      <c r="E183" s="3500">
        <v>6079</v>
      </c>
      <c r="F183" s="3500">
        <v>3647.4</v>
      </c>
      <c r="G183" s="3500" t="s">
        <v>3889</v>
      </c>
      <c r="H183" s="3500" t="s">
        <v>3457</v>
      </c>
      <c r="I183" s="3500" t="s">
        <v>3458</v>
      </c>
      <c r="J183" s="3500" t="s">
        <v>3427</v>
      </c>
      <c r="K183" s="3500" t="s">
        <v>3873</v>
      </c>
      <c r="L183" s="3500" t="s">
        <v>3873</v>
      </c>
      <c r="M183" s="3500" t="s">
        <v>3460</v>
      </c>
      <c r="N183" s="3500" t="s">
        <v>3879</v>
      </c>
      <c r="O183" s="3500">
        <v>1140</v>
      </c>
      <c r="P183" s="3500">
        <v>230</v>
      </c>
      <c r="Q183" s="3500" t="s">
        <v>3875</v>
      </c>
      <c r="R183" s="3500">
        <v>1140</v>
      </c>
      <c r="S183" s="3500">
        <v>3126</v>
      </c>
      <c r="T183" s="3500">
        <v>0</v>
      </c>
    </row>
    <row r="184" spans="1:20" ht="14.25">
      <c r="A184" s="3500" t="s">
        <v>3890</v>
      </c>
      <c r="B184" s="3500" t="s">
        <v>3454</v>
      </c>
      <c r="C184" s="3500" t="s">
        <v>3891</v>
      </c>
      <c r="D184" s="3500" t="s">
        <v>3455</v>
      </c>
      <c r="E184" s="3500">
        <v>13260</v>
      </c>
      <c r="F184" s="3500">
        <v>10608</v>
      </c>
      <c r="G184" s="3500" t="s">
        <v>3878</v>
      </c>
      <c r="H184" s="3500" t="s">
        <v>3457</v>
      </c>
      <c r="I184" s="3500" t="s">
        <v>3458</v>
      </c>
      <c r="J184" s="3500" t="s">
        <v>3427</v>
      </c>
      <c r="K184" s="3500" t="s">
        <v>3873</v>
      </c>
      <c r="L184" s="3500" t="s">
        <v>3873</v>
      </c>
      <c r="M184" s="3500" t="s">
        <v>3460</v>
      </c>
      <c r="N184" s="3500" t="s">
        <v>3879</v>
      </c>
      <c r="O184" s="3500">
        <v>3590</v>
      </c>
      <c r="P184" s="3500">
        <v>720</v>
      </c>
      <c r="Q184" s="3500" t="s">
        <v>3875</v>
      </c>
      <c r="R184" s="3500">
        <v>3590</v>
      </c>
      <c r="S184" s="3500">
        <v>3384</v>
      </c>
      <c r="T184" s="3500">
        <v>0</v>
      </c>
    </row>
    <row r="185" spans="1:20" ht="14.25">
      <c r="A185" s="3500" t="s">
        <v>3892</v>
      </c>
      <c r="B185" s="3500" t="s">
        <v>3454</v>
      </c>
      <c r="C185" s="3500" t="s">
        <v>3893</v>
      </c>
      <c r="D185" s="3500" t="s">
        <v>3464</v>
      </c>
      <c r="E185" s="3500">
        <v>5247</v>
      </c>
      <c r="F185" s="3500">
        <v>14166.9</v>
      </c>
      <c r="G185" s="3500" t="s">
        <v>3894</v>
      </c>
      <c r="H185" s="3500" t="s">
        <v>3457</v>
      </c>
      <c r="I185" s="3500" t="s">
        <v>3408</v>
      </c>
      <c r="J185" s="3500" t="s">
        <v>3427</v>
      </c>
      <c r="K185" s="3500" t="s">
        <v>3873</v>
      </c>
      <c r="L185" s="3500" t="s">
        <v>3873</v>
      </c>
      <c r="M185" s="3500" t="s">
        <v>3460</v>
      </c>
      <c r="N185" s="3500" t="s">
        <v>3550</v>
      </c>
      <c r="O185" s="3500">
        <v>21251</v>
      </c>
      <c r="P185" s="3500">
        <v>4251</v>
      </c>
      <c r="Q185" s="3500" t="s">
        <v>3875</v>
      </c>
      <c r="R185" s="3500">
        <v>21251</v>
      </c>
      <c r="S185" s="3500">
        <v>15000</v>
      </c>
      <c r="T185" s="3500">
        <v>0</v>
      </c>
    </row>
    <row r="186" spans="1:20" ht="14.25">
      <c r="A186" s="3500" t="s">
        <v>3895</v>
      </c>
      <c r="B186" s="3500" t="s">
        <v>3454</v>
      </c>
      <c r="C186" s="3500" t="s">
        <v>3896</v>
      </c>
      <c r="D186" s="3500" t="s">
        <v>3464</v>
      </c>
      <c r="E186" s="3500">
        <v>29203</v>
      </c>
      <c r="F186" s="3500">
        <v>81768.399999999994</v>
      </c>
      <c r="G186" s="3500" t="s">
        <v>3872</v>
      </c>
      <c r="H186" s="3500" t="s">
        <v>3457</v>
      </c>
      <c r="I186" s="3500" t="s">
        <v>3408</v>
      </c>
      <c r="J186" s="3500" t="s">
        <v>3427</v>
      </c>
      <c r="K186" s="3500" t="s">
        <v>3873</v>
      </c>
      <c r="L186" s="3500" t="s">
        <v>3873</v>
      </c>
      <c r="M186" s="3500" t="s">
        <v>3460</v>
      </c>
      <c r="N186" s="3500" t="s">
        <v>3874</v>
      </c>
      <c r="O186" s="3500">
        <v>44991</v>
      </c>
      <c r="P186" s="3500">
        <v>8999</v>
      </c>
      <c r="Q186" s="3500" t="s">
        <v>3875</v>
      </c>
      <c r="R186" s="3500">
        <v>44991</v>
      </c>
      <c r="S186" s="3500">
        <v>5502</v>
      </c>
      <c r="T186" s="3500">
        <v>0</v>
      </c>
    </row>
    <row r="187" spans="1:20" ht="14.25">
      <c r="A187" s="3500" t="s">
        <v>3897</v>
      </c>
      <c r="B187" s="3500" t="s">
        <v>3454</v>
      </c>
      <c r="C187" s="3500" t="s">
        <v>3898</v>
      </c>
      <c r="D187" s="3500" t="s">
        <v>3455</v>
      </c>
      <c r="E187" s="3500">
        <v>56031</v>
      </c>
      <c r="F187" s="3500">
        <v>212917.8</v>
      </c>
      <c r="G187" s="3500" t="s">
        <v>3899</v>
      </c>
      <c r="H187" s="3500" t="s">
        <v>3457</v>
      </c>
      <c r="I187" s="3500" t="s">
        <v>3458</v>
      </c>
      <c r="J187" s="3500" t="s">
        <v>3427</v>
      </c>
      <c r="K187" s="3500" t="s">
        <v>3900</v>
      </c>
      <c r="L187" s="3500" t="s">
        <v>3900</v>
      </c>
      <c r="M187" s="3500" t="s">
        <v>3460</v>
      </c>
      <c r="N187" s="3500" t="s">
        <v>3901</v>
      </c>
      <c r="O187" s="3500">
        <v>31940</v>
      </c>
      <c r="P187" s="3500">
        <v>6390</v>
      </c>
      <c r="Q187" s="3500" t="s">
        <v>3902</v>
      </c>
      <c r="R187" s="3500">
        <v>31940</v>
      </c>
      <c r="S187" s="3500">
        <v>1500</v>
      </c>
      <c r="T187" s="3500">
        <v>0</v>
      </c>
    </row>
    <row r="188" spans="1:20" ht="14.25">
      <c r="A188" s="3500" t="s">
        <v>3903</v>
      </c>
      <c r="B188" s="3500" t="s">
        <v>3454</v>
      </c>
      <c r="C188" s="3500" t="s">
        <v>3904</v>
      </c>
      <c r="D188" s="3500" t="s">
        <v>3629</v>
      </c>
      <c r="E188" s="3500">
        <v>884</v>
      </c>
      <c r="F188" s="3500">
        <v>839.8</v>
      </c>
      <c r="G188" s="3500" t="s">
        <v>3654</v>
      </c>
      <c r="H188" s="3500" t="s">
        <v>3457</v>
      </c>
      <c r="I188" s="3500" t="s">
        <v>3905</v>
      </c>
      <c r="J188" s="3500" t="s">
        <v>3427</v>
      </c>
      <c r="K188" s="3500" t="s">
        <v>3873</v>
      </c>
      <c r="L188" s="3500" t="s">
        <v>3873</v>
      </c>
      <c r="M188" s="3500" t="s">
        <v>3460</v>
      </c>
      <c r="N188" s="3500" t="s">
        <v>3622</v>
      </c>
      <c r="O188" s="3500">
        <v>951</v>
      </c>
      <c r="P188" s="3500">
        <v>191</v>
      </c>
      <c r="Q188" s="3500" t="s">
        <v>3875</v>
      </c>
      <c r="R188" s="3500">
        <v>951</v>
      </c>
      <c r="S188" s="3500">
        <v>11324</v>
      </c>
      <c r="T188" s="3500">
        <v>0</v>
      </c>
    </row>
    <row r="189" spans="1:20" ht="14.25">
      <c r="A189" s="3500" t="s">
        <v>3906</v>
      </c>
      <c r="B189" s="3500" t="s">
        <v>3454</v>
      </c>
      <c r="C189" s="3500" t="s">
        <v>3907</v>
      </c>
      <c r="D189" s="3500" t="s">
        <v>3464</v>
      </c>
      <c r="E189" s="3500">
        <v>23093</v>
      </c>
      <c r="F189" s="3500">
        <v>64660.4</v>
      </c>
      <c r="G189" s="3500" t="s">
        <v>3872</v>
      </c>
      <c r="H189" s="3500" t="s">
        <v>3457</v>
      </c>
      <c r="I189" s="3500" t="s">
        <v>3408</v>
      </c>
      <c r="J189" s="3500" t="s">
        <v>3427</v>
      </c>
      <c r="K189" s="3500" t="s">
        <v>3873</v>
      </c>
      <c r="L189" s="3500" t="s">
        <v>3873</v>
      </c>
      <c r="M189" s="3500" t="s">
        <v>3460</v>
      </c>
      <c r="N189" s="3500" t="s">
        <v>3874</v>
      </c>
      <c r="O189" s="3500">
        <v>35578</v>
      </c>
      <c r="P189" s="3500">
        <v>7116</v>
      </c>
      <c r="Q189" s="3500" t="s">
        <v>3875</v>
      </c>
      <c r="R189" s="3500">
        <v>35578</v>
      </c>
      <c r="S189" s="3500">
        <v>5502</v>
      </c>
      <c r="T189" s="3500">
        <v>0</v>
      </c>
    </row>
    <row r="190" spans="1:20" ht="14.25">
      <c r="A190" s="3500" t="s">
        <v>3908</v>
      </c>
      <c r="B190" s="3500" t="s">
        <v>3454</v>
      </c>
      <c r="C190" s="3500" t="s">
        <v>3908</v>
      </c>
      <c r="D190" s="3500" t="s">
        <v>3464</v>
      </c>
      <c r="E190" s="3500">
        <v>3605</v>
      </c>
      <c r="F190" s="3500">
        <v>7065.8</v>
      </c>
      <c r="G190" s="3500" t="s">
        <v>3909</v>
      </c>
      <c r="H190" s="3500" t="s">
        <v>3457</v>
      </c>
      <c r="I190" s="3500" t="s">
        <v>3408</v>
      </c>
      <c r="J190" s="3500" t="s">
        <v>3427</v>
      </c>
      <c r="K190" s="3500" t="s">
        <v>3910</v>
      </c>
      <c r="L190" s="3500" t="s">
        <v>3910</v>
      </c>
      <c r="M190" s="3500" t="s">
        <v>3460</v>
      </c>
      <c r="N190" s="3500" t="s">
        <v>3911</v>
      </c>
      <c r="O190" s="3500">
        <v>1060</v>
      </c>
      <c r="P190" s="3500">
        <v>220</v>
      </c>
      <c r="Q190" s="3500" t="s">
        <v>3912</v>
      </c>
      <c r="R190" s="3500">
        <v>1060</v>
      </c>
      <c r="S190" s="3500">
        <v>1500</v>
      </c>
      <c r="T190" s="3500">
        <v>0</v>
      </c>
    </row>
    <row r="191" spans="1:20" ht="14.25">
      <c r="A191" s="3500" t="s">
        <v>3913</v>
      </c>
      <c r="B191" s="3500" t="s">
        <v>3454</v>
      </c>
      <c r="C191" s="3500" t="s">
        <v>3913</v>
      </c>
      <c r="D191" s="3500" t="s">
        <v>3464</v>
      </c>
      <c r="E191" s="3500">
        <v>8006</v>
      </c>
      <c r="F191" s="3500">
        <v>15691.76</v>
      </c>
      <c r="G191" s="3500" t="s">
        <v>3914</v>
      </c>
      <c r="H191" s="3500" t="s">
        <v>3457</v>
      </c>
      <c r="I191" s="3500" t="s">
        <v>3408</v>
      </c>
      <c r="J191" s="3500" t="s">
        <v>3427</v>
      </c>
      <c r="K191" s="3500" t="s">
        <v>3910</v>
      </c>
      <c r="L191" s="3500" t="s">
        <v>3910</v>
      </c>
      <c r="M191" s="3500" t="s">
        <v>3460</v>
      </c>
      <c r="N191" s="3500" t="s">
        <v>3911</v>
      </c>
      <c r="O191" s="3500">
        <v>2350</v>
      </c>
      <c r="P191" s="3500">
        <v>470</v>
      </c>
      <c r="Q191" s="3500" t="s">
        <v>3912</v>
      </c>
      <c r="R191" s="3500">
        <v>2350</v>
      </c>
      <c r="S191" s="3500">
        <v>1498</v>
      </c>
      <c r="T191" s="3500">
        <v>0</v>
      </c>
    </row>
    <row r="192" spans="1:20" ht="14.25">
      <c r="A192" s="3500" t="s">
        <v>3915</v>
      </c>
      <c r="B192" s="3500" t="s">
        <v>3454</v>
      </c>
      <c r="C192" s="3500" t="s">
        <v>3916</v>
      </c>
      <c r="D192" s="3500" t="s">
        <v>3455</v>
      </c>
      <c r="E192" s="3500">
        <v>21476</v>
      </c>
      <c r="F192" s="3500">
        <v>51542.400000000001</v>
      </c>
      <c r="G192" s="3500" t="s">
        <v>3701</v>
      </c>
      <c r="H192" s="3500" t="s">
        <v>3457</v>
      </c>
      <c r="I192" s="3500" t="s">
        <v>3458</v>
      </c>
      <c r="J192" s="3500" t="s">
        <v>3427</v>
      </c>
      <c r="K192" s="3500" t="s">
        <v>3917</v>
      </c>
      <c r="L192" s="3500" t="s">
        <v>3917</v>
      </c>
      <c r="M192" s="3500" t="s">
        <v>3460</v>
      </c>
      <c r="N192" s="3500" t="s">
        <v>3918</v>
      </c>
      <c r="O192" s="3500">
        <v>6622</v>
      </c>
      <c r="P192" s="3500">
        <v>1325</v>
      </c>
      <c r="Q192" s="3500" t="s">
        <v>3919</v>
      </c>
      <c r="R192" s="3500">
        <v>6622</v>
      </c>
      <c r="S192" s="3500">
        <v>1285</v>
      </c>
      <c r="T192" s="3500">
        <v>0</v>
      </c>
    </row>
    <row r="193" spans="1:20" ht="14.25">
      <c r="A193" s="3500" t="s">
        <v>3920</v>
      </c>
      <c r="B193" s="3500" t="s">
        <v>3454</v>
      </c>
      <c r="C193" s="3500" t="s">
        <v>3921</v>
      </c>
      <c r="D193" s="3500" t="s">
        <v>3464</v>
      </c>
      <c r="E193" s="3500">
        <v>83404</v>
      </c>
      <c r="F193" s="3500">
        <v>100084.8</v>
      </c>
      <c r="G193" s="3500" t="s">
        <v>3773</v>
      </c>
      <c r="H193" s="3500" t="s">
        <v>3457</v>
      </c>
      <c r="I193" s="3500" t="s">
        <v>3408</v>
      </c>
      <c r="J193" s="3500" t="s">
        <v>3427</v>
      </c>
      <c r="K193" s="3500" t="s">
        <v>3917</v>
      </c>
      <c r="L193" s="3500" t="s">
        <v>3917</v>
      </c>
      <c r="M193" s="3500" t="s">
        <v>3460</v>
      </c>
      <c r="N193" s="3500" t="s">
        <v>3922</v>
      </c>
      <c r="O193" s="3500">
        <v>62553</v>
      </c>
      <c r="P193" s="3500">
        <v>13132</v>
      </c>
      <c r="Q193" s="3500" t="s">
        <v>3919</v>
      </c>
      <c r="R193" s="3500">
        <v>62553</v>
      </c>
      <c r="S193" s="3500">
        <v>6250</v>
      </c>
      <c r="T193" s="3500">
        <v>0</v>
      </c>
    </row>
    <row r="194" spans="1:20" ht="14.25">
      <c r="A194" s="3500" t="s">
        <v>3923</v>
      </c>
      <c r="B194" s="3500" t="s">
        <v>3454</v>
      </c>
      <c r="C194" s="3500" t="s">
        <v>3924</v>
      </c>
      <c r="D194" s="3500" t="s">
        <v>3455</v>
      </c>
      <c r="E194" s="3500">
        <v>22071</v>
      </c>
      <c r="F194" s="3500">
        <v>77248.5</v>
      </c>
      <c r="G194" s="3500" t="s">
        <v>3925</v>
      </c>
      <c r="H194" s="3500" t="s">
        <v>3457</v>
      </c>
      <c r="I194" s="3500" t="s">
        <v>3458</v>
      </c>
      <c r="J194" s="3500" t="s">
        <v>3427</v>
      </c>
      <c r="K194" s="3500" t="s">
        <v>3926</v>
      </c>
      <c r="L194" s="3500" t="s">
        <v>3926</v>
      </c>
      <c r="M194" s="3500" t="s">
        <v>3460</v>
      </c>
      <c r="N194" s="3500" t="s">
        <v>3927</v>
      </c>
      <c r="O194" s="3500">
        <v>32445</v>
      </c>
      <c r="P194" s="3500">
        <v>6489</v>
      </c>
      <c r="Q194" s="3500" t="s">
        <v>3928</v>
      </c>
      <c r="R194" s="3500">
        <v>32445</v>
      </c>
      <c r="S194" s="3500">
        <v>4200</v>
      </c>
      <c r="T194" s="3500">
        <v>0</v>
      </c>
    </row>
    <row r="195" spans="1:20" ht="14.25">
      <c r="A195" s="3500" t="s">
        <v>3929</v>
      </c>
      <c r="B195" s="3500" t="s">
        <v>3454</v>
      </c>
      <c r="C195" s="3500" t="s">
        <v>3930</v>
      </c>
      <c r="D195" s="3500" t="s">
        <v>3455</v>
      </c>
      <c r="E195" s="3500">
        <v>2477</v>
      </c>
      <c r="F195" s="3500">
        <v>2229.3000000000002</v>
      </c>
      <c r="G195" s="3500" t="s">
        <v>3662</v>
      </c>
      <c r="H195" s="3500" t="s">
        <v>3457</v>
      </c>
      <c r="I195" s="3500" t="s">
        <v>3458</v>
      </c>
      <c r="J195" s="3500" t="s">
        <v>3427</v>
      </c>
      <c r="K195" s="3500" t="s">
        <v>3926</v>
      </c>
      <c r="L195" s="3500" t="s">
        <v>3926</v>
      </c>
      <c r="M195" s="3500" t="s">
        <v>3460</v>
      </c>
      <c r="N195" s="3500" t="s">
        <v>3626</v>
      </c>
      <c r="O195" s="3500">
        <v>1989</v>
      </c>
      <c r="P195" s="3500">
        <v>400</v>
      </c>
      <c r="Q195" s="3500" t="s">
        <v>3928</v>
      </c>
      <c r="R195" s="3500">
        <v>1989</v>
      </c>
      <c r="S195" s="3500">
        <v>8922</v>
      </c>
      <c r="T195" s="3500">
        <v>0</v>
      </c>
    </row>
    <row r="196" spans="1:20" ht="14.25">
      <c r="A196" s="3500" t="s">
        <v>3931</v>
      </c>
      <c r="B196" s="3500" t="s">
        <v>3454</v>
      </c>
      <c r="C196" s="3500" t="s">
        <v>3932</v>
      </c>
      <c r="D196" s="3500" t="s">
        <v>3455</v>
      </c>
      <c r="E196" s="3500">
        <v>37864</v>
      </c>
      <c r="F196" s="3500">
        <v>151456</v>
      </c>
      <c r="G196" s="3500" t="s">
        <v>3933</v>
      </c>
      <c r="H196" s="3500" t="s">
        <v>3457</v>
      </c>
      <c r="I196" s="3500" t="s">
        <v>3458</v>
      </c>
      <c r="J196" s="3500" t="s">
        <v>3427</v>
      </c>
      <c r="K196" s="3500" t="s">
        <v>3926</v>
      </c>
      <c r="L196" s="3500" t="s">
        <v>3926</v>
      </c>
      <c r="M196" s="3500" t="s">
        <v>3460</v>
      </c>
      <c r="N196" s="3500" t="s">
        <v>3934</v>
      </c>
      <c r="O196" s="3500">
        <v>37971</v>
      </c>
      <c r="P196" s="3500">
        <v>7600</v>
      </c>
      <c r="Q196" s="3500" t="s">
        <v>3928</v>
      </c>
      <c r="R196" s="3500">
        <v>37971</v>
      </c>
      <c r="S196" s="3500">
        <v>2507</v>
      </c>
      <c r="T196" s="3500">
        <v>0</v>
      </c>
    </row>
    <row r="197" spans="1:20" ht="14.25">
      <c r="A197" s="3500" t="s">
        <v>3935</v>
      </c>
      <c r="B197" s="3500" t="s">
        <v>3454</v>
      </c>
      <c r="C197" s="3500" t="s">
        <v>3935</v>
      </c>
      <c r="D197" s="3500" t="s">
        <v>3455</v>
      </c>
      <c r="E197" s="3500">
        <v>5986</v>
      </c>
      <c r="F197" s="3500">
        <v>10774.8</v>
      </c>
      <c r="G197" s="3500" t="s">
        <v>3496</v>
      </c>
      <c r="H197" s="3500" t="s">
        <v>3457</v>
      </c>
      <c r="I197" s="3500" t="s">
        <v>3458</v>
      </c>
      <c r="J197" s="3500" t="s">
        <v>3427</v>
      </c>
      <c r="K197" s="3500" t="s">
        <v>3936</v>
      </c>
      <c r="L197" s="3500" t="s">
        <v>3936</v>
      </c>
      <c r="M197" s="3500" t="s">
        <v>3460</v>
      </c>
      <c r="N197" s="3500" t="s">
        <v>3937</v>
      </c>
      <c r="O197" s="3500">
        <v>1211</v>
      </c>
      <c r="P197" s="3500">
        <v>610</v>
      </c>
      <c r="Q197" s="3500" t="s">
        <v>3938</v>
      </c>
      <c r="R197" s="3500">
        <v>1211</v>
      </c>
      <c r="S197" s="3500">
        <v>1124</v>
      </c>
      <c r="T197" s="3500">
        <v>0</v>
      </c>
    </row>
    <row r="198" spans="1:20" ht="14.25">
      <c r="A198" s="3500" t="s">
        <v>3939</v>
      </c>
      <c r="B198" s="3500" t="s">
        <v>3454</v>
      </c>
      <c r="C198" s="3500" t="s">
        <v>3939</v>
      </c>
      <c r="D198" s="3500" t="s">
        <v>3455</v>
      </c>
      <c r="E198" s="3500">
        <v>3790</v>
      </c>
      <c r="F198" s="3500">
        <v>5685</v>
      </c>
      <c r="G198" s="3500" t="s">
        <v>3579</v>
      </c>
      <c r="H198" s="3500" t="s">
        <v>3457</v>
      </c>
      <c r="I198" s="3500" t="s">
        <v>3458</v>
      </c>
      <c r="J198" s="3500" t="s">
        <v>3427</v>
      </c>
      <c r="K198" s="3500" t="s">
        <v>3936</v>
      </c>
      <c r="L198" s="3500" t="s">
        <v>3936</v>
      </c>
      <c r="M198" s="3500" t="s">
        <v>3460</v>
      </c>
      <c r="N198" s="3500" t="s">
        <v>3940</v>
      </c>
      <c r="O198" s="3500">
        <v>413</v>
      </c>
      <c r="P198" s="3500">
        <v>210</v>
      </c>
      <c r="Q198" s="3500" t="s">
        <v>3938</v>
      </c>
      <c r="R198" s="3500">
        <v>413</v>
      </c>
      <c r="S198" s="3500">
        <v>726</v>
      </c>
      <c r="T198" s="3500">
        <v>0</v>
      </c>
    </row>
    <row r="199" spans="1:20" ht="14.25">
      <c r="A199" s="3500" t="s">
        <v>3941</v>
      </c>
      <c r="B199" s="3500" t="s">
        <v>3454</v>
      </c>
      <c r="C199" s="3500" t="s">
        <v>3942</v>
      </c>
      <c r="D199" s="3500" t="s">
        <v>3455</v>
      </c>
      <c r="E199" s="3500">
        <v>16077</v>
      </c>
      <c r="F199" s="3500">
        <v>80385</v>
      </c>
      <c r="G199" s="3500" t="s">
        <v>3527</v>
      </c>
      <c r="H199" s="3500" t="s">
        <v>3457</v>
      </c>
      <c r="I199" s="3500" t="s">
        <v>3458</v>
      </c>
      <c r="J199" s="3500" t="s">
        <v>3427</v>
      </c>
      <c r="K199" s="3500" t="s">
        <v>3943</v>
      </c>
      <c r="L199" s="3500" t="s">
        <v>3943</v>
      </c>
      <c r="M199" s="3500" t="s">
        <v>3460</v>
      </c>
      <c r="N199" s="3500" t="s">
        <v>3528</v>
      </c>
      <c r="O199" s="3500">
        <v>9342</v>
      </c>
      <c r="P199" s="3500">
        <v>1869</v>
      </c>
      <c r="Q199" s="3500" t="s">
        <v>3944</v>
      </c>
      <c r="R199" s="3500">
        <v>9342</v>
      </c>
      <c r="S199" s="3500">
        <v>1162</v>
      </c>
      <c r="T199" s="3500">
        <v>0</v>
      </c>
    </row>
    <row r="200" spans="1:20" ht="14.25">
      <c r="A200" s="3500" t="s">
        <v>3945</v>
      </c>
      <c r="B200" s="3500" t="s">
        <v>3454</v>
      </c>
      <c r="C200" s="3500" t="s">
        <v>3946</v>
      </c>
      <c r="D200" s="3500" t="s">
        <v>3455</v>
      </c>
      <c r="E200" s="3500">
        <v>10941</v>
      </c>
      <c r="F200" s="3500">
        <v>49234.5</v>
      </c>
      <c r="G200" s="3500" t="s">
        <v>3947</v>
      </c>
      <c r="H200" s="3500" t="s">
        <v>3457</v>
      </c>
      <c r="I200" s="3500" t="s">
        <v>3407</v>
      </c>
      <c r="J200" s="3500" t="s">
        <v>3427</v>
      </c>
      <c r="K200" s="3500" t="s">
        <v>3943</v>
      </c>
      <c r="L200" s="3500" t="s">
        <v>3943</v>
      </c>
      <c r="M200" s="3500" t="s">
        <v>3460</v>
      </c>
      <c r="N200" s="3500" t="s">
        <v>3948</v>
      </c>
      <c r="O200" s="3500">
        <v>19836</v>
      </c>
      <c r="P200" s="3500">
        <v>3968</v>
      </c>
      <c r="Q200" s="3500" t="s">
        <v>3944</v>
      </c>
      <c r="R200" s="3500">
        <v>19836</v>
      </c>
      <c r="S200" s="3500">
        <v>4029</v>
      </c>
      <c r="T200" s="3500">
        <v>0</v>
      </c>
    </row>
    <row r="201" spans="1:20" ht="14.25">
      <c r="A201" s="3500" t="s">
        <v>3949</v>
      </c>
      <c r="B201" s="3500" t="s">
        <v>3454</v>
      </c>
      <c r="C201" s="3500" t="s">
        <v>3950</v>
      </c>
      <c r="D201" s="3500" t="s">
        <v>3455</v>
      </c>
      <c r="E201" s="3500">
        <v>5176</v>
      </c>
      <c r="F201" s="3500">
        <v>9316.7999999999993</v>
      </c>
      <c r="G201" s="3500" t="s">
        <v>3496</v>
      </c>
      <c r="H201" s="3500" t="s">
        <v>3457</v>
      </c>
      <c r="I201" s="3500" t="s">
        <v>3407</v>
      </c>
      <c r="J201" s="3500" t="s">
        <v>3427</v>
      </c>
      <c r="K201" s="3500" t="s">
        <v>3943</v>
      </c>
      <c r="L201" s="3500" t="s">
        <v>3943</v>
      </c>
      <c r="M201" s="3500" t="s">
        <v>3460</v>
      </c>
      <c r="N201" s="3500" t="s">
        <v>3951</v>
      </c>
      <c r="O201" s="3500">
        <v>1431</v>
      </c>
      <c r="P201" s="3500">
        <v>290</v>
      </c>
      <c r="Q201" s="3500" t="s">
        <v>3944</v>
      </c>
      <c r="R201" s="3500">
        <v>1431</v>
      </c>
      <c r="S201" s="3500">
        <v>1536</v>
      </c>
      <c r="T201" s="3500">
        <v>0</v>
      </c>
    </row>
    <row r="202" spans="1:20" ht="14.25">
      <c r="A202" s="3500" t="s">
        <v>3952</v>
      </c>
      <c r="B202" s="3500" t="s">
        <v>3454</v>
      </c>
      <c r="C202" s="3500" t="s">
        <v>3953</v>
      </c>
      <c r="D202" s="3500" t="s">
        <v>3455</v>
      </c>
      <c r="E202" s="3500">
        <v>7173</v>
      </c>
      <c r="F202" s="3500">
        <v>32278.5</v>
      </c>
      <c r="G202" s="3500" t="s">
        <v>3954</v>
      </c>
      <c r="H202" s="3500" t="s">
        <v>3457</v>
      </c>
      <c r="I202" s="3500" t="s">
        <v>3458</v>
      </c>
      <c r="J202" s="3500" t="s">
        <v>3427</v>
      </c>
      <c r="K202" s="3500" t="s">
        <v>3943</v>
      </c>
      <c r="L202" s="3500" t="s">
        <v>3943</v>
      </c>
      <c r="M202" s="3500" t="s">
        <v>3460</v>
      </c>
      <c r="N202" s="3500" t="s">
        <v>3528</v>
      </c>
      <c r="O202" s="3500">
        <v>5268</v>
      </c>
      <c r="P202" s="3500">
        <v>1054</v>
      </c>
      <c r="Q202" s="3500" t="s">
        <v>3944</v>
      </c>
      <c r="R202" s="3500">
        <v>5268</v>
      </c>
      <c r="S202" s="3500">
        <v>1632</v>
      </c>
      <c r="T202" s="3500">
        <v>0</v>
      </c>
    </row>
    <row r="203" spans="1:20" ht="14.25">
      <c r="A203" s="3500" t="s">
        <v>3955</v>
      </c>
      <c r="B203" s="3500" t="s">
        <v>3454</v>
      </c>
      <c r="C203" s="3500" t="s">
        <v>3956</v>
      </c>
      <c r="D203" s="3500" t="s">
        <v>3455</v>
      </c>
      <c r="E203" s="3500">
        <v>82771</v>
      </c>
      <c r="F203" s="3500" t="s">
        <v>3427</v>
      </c>
      <c r="G203" s="3500" t="s">
        <v>3594</v>
      </c>
      <c r="H203" s="3500" t="s">
        <v>3457</v>
      </c>
      <c r="I203" s="3500" t="s">
        <v>3458</v>
      </c>
      <c r="J203" s="3500" t="s">
        <v>3427</v>
      </c>
      <c r="K203" s="3500" t="s">
        <v>3943</v>
      </c>
      <c r="L203" s="3500" t="s">
        <v>3943</v>
      </c>
      <c r="M203" s="3500" t="s">
        <v>3460</v>
      </c>
      <c r="N203" s="3500" t="s">
        <v>3957</v>
      </c>
      <c r="O203" s="3500">
        <v>24956</v>
      </c>
      <c r="P203" s="3500">
        <v>5000</v>
      </c>
      <c r="Q203" s="3500" t="s">
        <v>3944</v>
      </c>
      <c r="R203" s="3500">
        <v>24956</v>
      </c>
      <c r="S203" s="3500" t="s">
        <v>3427</v>
      </c>
      <c r="T203" s="3500">
        <v>0</v>
      </c>
    </row>
    <row r="204" spans="1:20" s="3183" customFormat="1" ht="14.25">
      <c r="A204" s="3524" t="s">
        <v>3958</v>
      </c>
      <c r="B204" s="3524" t="s">
        <v>3454</v>
      </c>
      <c r="C204" s="3524" t="s">
        <v>3959</v>
      </c>
      <c r="D204" s="3524" t="s">
        <v>3464</v>
      </c>
      <c r="E204" s="3524">
        <v>15468</v>
      </c>
      <c r="F204" s="3524">
        <v>34029.599999999999</v>
      </c>
      <c r="G204" s="3524" t="s">
        <v>3531</v>
      </c>
      <c r="H204" s="3524" t="s">
        <v>3457</v>
      </c>
      <c r="I204" s="3524" t="s">
        <v>3408</v>
      </c>
      <c r="J204" s="3524" t="s">
        <v>3427</v>
      </c>
      <c r="K204" s="3524" t="s">
        <v>3960</v>
      </c>
      <c r="L204" s="3524" t="s">
        <v>3960</v>
      </c>
      <c r="M204" s="3524" t="s">
        <v>3460</v>
      </c>
      <c r="N204" s="3524" t="s">
        <v>3961</v>
      </c>
      <c r="O204" s="3524">
        <v>11791</v>
      </c>
      <c r="P204" s="3524">
        <v>2359</v>
      </c>
      <c r="Q204" s="3524" t="s">
        <v>3962</v>
      </c>
      <c r="R204" s="3524">
        <v>11791</v>
      </c>
      <c r="S204" s="3524">
        <v>3465</v>
      </c>
      <c r="T204" s="3524">
        <v>0</v>
      </c>
    </row>
    <row r="205" spans="1:20" ht="14.25">
      <c r="A205" s="3500" t="s">
        <v>3963</v>
      </c>
      <c r="B205" s="3500" t="s">
        <v>3454</v>
      </c>
      <c r="C205" s="3500" t="s">
        <v>3964</v>
      </c>
      <c r="D205" s="3500" t="s">
        <v>3455</v>
      </c>
      <c r="E205" s="3500">
        <v>14184</v>
      </c>
      <c r="F205" s="3500">
        <v>28368</v>
      </c>
      <c r="G205" s="3500" t="s">
        <v>3456</v>
      </c>
      <c r="H205" s="3500" t="s">
        <v>3457</v>
      </c>
      <c r="I205" s="3500" t="s">
        <v>3407</v>
      </c>
      <c r="J205" s="3500" t="s">
        <v>3427</v>
      </c>
      <c r="K205" s="3500" t="s">
        <v>3965</v>
      </c>
      <c r="L205" s="3500" t="s">
        <v>3965</v>
      </c>
      <c r="M205" s="3500" t="s">
        <v>3460</v>
      </c>
      <c r="N205" s="3500" t="s">
        <v>3966</v>
      </c>
      <c r="O205" s="3500">
        <v>5982</v>
      </c>
      <c r="P205" s="3500">
        <v>1200</v>
      </c>
      <c r="Q205" s="3500" t="s">
        <v>3967</v>
      </c>
      <c r="R205" s="3500">
        <v>5982</v>
      </c>
      <c r="S205" s="3500">
        <v>2109</v>
      </c>
      <c r="T205" s="3500">
        <v>0</v>
      </c>
    </row>
    <row r="206" spans="1:20" ht="14.25">
      <c r="A206" s="3500" t="s">
        <v>3968</v>
      </c>
      <c r="B206" s="3500" t="s">
        <v>3454</v>
      </c>
      <c r="C206" s="3500" t="s">
        <v>3969</v>
      </c>
      <c r="D206" s="3500" t="s">
        <v>3464</v>
      </c>
      <c r="E206" s="3500">
        <v>24559</v>
      </c>
      <c r="F206" s="3500">
        <v>61397.5</v>
      </c>
      <c r="G206" s="3500" t="s">
        <v>3511</v>
      </c>
      <c r="H206" s="3500" t="s">
        <v>3457</v>
      </c>
      <c r="I206" s="3500" t="s">
        <v>3408</v>
      </c>
      <c r="J206" s="3500" t="s">
        <v>3427</v>
      </c>
      <c r="K206" s="3500" t="s">
        <v>3965</v>
      </c>
      <c r="L206" s="3500" t="s">
        <v>3965</v>
      </c>
      <c r="M206" s="3500" t="s">
        <v>3460</v>
      </c>
      <c r="N206" s="3500" t="s">
        <v>3966</v>
      </c>
      <c r="O206" s="3500">
        <v>33766</v>
      </c>
      <c r="P206" s="3500">
        <v>7330</v>
      </c>
      <c r="Q206" s="3500" t="s">
        <v>3967</v>
      </c>
      <c r="R206" s="3500">
        <v>33766</v>
      </c>
      <c r="S206" s="3500">
        <v>5500</v>
      </c>
      <c r="T206" s="3500">
        <v>0</v>
      </c>
    </row>
    <row r="207" spans="1:20" ht="14.25">
      <c r="A207" s="3500" t="s">
        <v>3970</v>
      </c>
      <c r="B207" s="3500" t="s">
        <v>3454</v>
      </c>
      <c r="C207" s="3500" t="s">
        <v>3971</v>
      </c>
      <c r="D207" s="3500" t="s">
        <v>3455</v>
      </c>
      <c r="E207" s="3500">
        <v>2922.1</v>
      </c>
      <c r="F207" s="3500">
        <v>438.32</v>
      </c>
      <c r="G207" s="3500" t="s">
        <v>3972</v>
      </c>
      <c r="H207" s="3500" t="s">
        <v>3457</v>
      </c>
      <c r="I207" s="3500" t="s">
        <v>3973</v>
      </c>
      <c r="J207" s="3500" t="s">
        <v>3427</v>
      </c>
      <c r="K207" s="3500" t="s">
        <v>3965</v>
      </c>
      <c r="L207" s="3500" t="s">
        <v>3965</v>
      </c>
      <c r="M207" s="3500" t="s">
        <v>3460</v>
      </c>
      <c r="N207" s="3500" t="s">
        <v>3596</v>
      </c>
      <c r="O207" s="3500">
        <v>13588</v>
      </c>
      <c r="P207" s="3500">
        <v>7000</v>
      </c>
      <c r="Q207" s="3500" t="s">
        <v>3967</v>
      </c>
      <c r="R207" s="3500">
        <v>13588</v>
      </c>
      <c r="S207" s="3500">
        <v>310002</v>
      </c>
      <c r="T207" s="3500">
        <v>0</v>
      </c>
    </row>
    <row r="208" spans="1:20" ht="14.25">
      <c r="A208" s="3500" t="s">
        <v>3974</v>
      </c>
      <c r="B208" s="3500" t="s">
        <v>3454</v>
      </c>
      <c r="C208" s="3500" t="s">
        <v>3975</v>
      </c>
      <c r="D208" s="3500" t="s">
        <v>3455</v>
      </c>
      <c r="E208" s="3500">
        <v>12144</v>
      </c>
      <c r="F208" s="3500">
        <v>48576</v>
      </c>
      <c r="G208" s="3500" t="s">
        <v>3976</v>
      </c>
      <c r="H208" s="3500" t="s">
        <v>3457</v>
      </c>
      <c r="I208" s="3500" t="s">
        <v>3407</v>
      </c>
      <c r="J208" s="3500" t="s">
        <v>3427</v>
      </c>
      <c r="K208" s="3500" t="s">
        <v>3965</v>
      </c>
      <c r="L208" s="3500" t="s">
        <v>3965</v>
      </c>
      <c r="M208" s="3500" t="s">
        <v>3460</v>
      </c>
      <c r="N208" s="3500" t="s">
        <v>3948</v>
      </c>
      <c r="O208" s="3500">
        <v>22089</v>
      </c>
      <c r="P208" s="3500">
        <v>9131</v>
      </c>
      <c r="Q208" s="3500" t="s">
        <v>3967</v>
      </c>
      <c r="R208" s="3500">
        <v>22089</v>
      </c>
      <c r="S208" s="3500">
        <v>4547</v>
      </c>
      <c r="T208" s="3500">
        <v>0</v>
      </c>
    </row>
    <row r="209" spans="1:20" ht="14.25">
      <c r="A209" s="3500" t="s">
        <v>3977</v>
      </c>
      <c r="B209" s="3500" t="s">
        <v>3454</v>
      </c>
      <c r="C209" s="3500" t="s">
        <v>3978</v>
      </c>
      <c r="D209" s="3500" t="s">
        <v>3455</v>
      </c>
      <c r="E209" s="3500">
        <v>20254</v>
      </c>
      <c r="F209" s="3500">
        <v>44558.8</v>
      </c>
      <c r="G209" s="3500" t="s">
        <v>3979</v>
      </c>
      <c r="H209" s="3500" t="s">
        <v>3457</v>
      </c>
      <c r="I209" s="3500" t="s">
        <v>3407</v>
      </c>
      <c r="J209" s="3500" t="s">
        <v>3427</v>
      </c>
      <c r="K209" s="3500" t="s">
        <v>3965</v>
      </c>
      <c r="L209" s="3500" t="s">
        <v>3965</v>
      </c>
      <c r="M209" s="3500" t="s">
        <v>3460</v>
      </c>
      <c r="N209" s="3500" t="s">
        <v>3948</v>
      </c>
      <c r="O209" s="3500">
        <v>23561</v>
      </c>
      <c r="P209" s="3500">
        <v>9131</v>
      </c>
      <c r="Q209" s="3500" t="s">
        <v>3967</v>
      </c>
      <c r="R209" s="3500">
        <v>23561</v>
      </c>
      <c r="S209" s="3500">
        <v>5288</v>
      </c>
      <c r="T209" s="3500">
        <v>0</v>
      </c>
    </row>
    <row r="210" spans="1:20" ht="14.25">
      <c r="A210" s="3500" t="s">
        <v>3980</v>
      </c>
      <c r="B210" s="3500" t="s">
        <v>3454</v>
      </c>
      <c r="C210" s="3500" t="s">
        <v>3981</v>
      </c>
      <c r="D210" s="3500" t="s">
        <v>3455</v>
      </c>
      <c r="E210" s="3500">
        <v>23402</v>
      </c>
      <c r="F210" s="3500">
        <v>117010</v>
      </c>
      <c r="G210" s="3500" t="s">
        <v>3982</v>
      </c>
      <c r="H210" s="3500" t="s">
        <v>3457</v>
      </c>
      <c r="I210" s="3500" t="s">
        <v>3407</v>
      </c>
      <c r="J210" s="3500" t="s">
        <v>3427</v>
      </c>
      <c r="K210" s="3500" t="s">
        <v>3965</v>
      </c>
      <c r="L210" s="3500" t="s">
        <v>3965</v>
      </c>
      <c r="M210" s="3500" t="s">
        <v>3460</v>
      </c>
      <c r="N210" s="3500" t="s">
        <v>3966</v>
      </c>
      <c r="O210" s="3500">
        <v>17691</v>
      </c>
      <c r="P210" s="3500">
        <v>3540</v>
      </c>
      <c r="Q210" s="3500" t="s">
        <v>3967</v>
      </c>
      <c r="R210" s="3500">
        <v>17691</v>
      </c>
      <c r="S210" s="3500">
        <v>1512</v>
      </c>
      <c r="T210" s="3500">
        <v>0</v>
      </c>
    </row>
    <row r="211" spans="1:20" ht="14.25">
      <c r="A211" s="3500" t="s">
        <v>3983</v>
      </c>
      <c r="B211" s="3500" t="s">
        <v>3454</v>
      </c>
      <c r="C211" s="3500" t="s">
        <v>3984</v>
      </c>
      <c r="D211" s="3500" t="s">
        <v>3455</v>
      </c>
      <c r="E211" s="3500">
        <v>26050</v>
      </c>
      <c r="F211" s="3500">
        <v>130250</v>
      </c>
      <c r="G211" s="3500" t="s">
        <v>3982</v>
      </c>
      <c r="H211" s="3500" t="s">
        <v>3457</v>
      </c>
      <c r="I211" s="3500" t="s">
        <v>3407</v>
      </c>
      <c r="J211" s="3500" t="s">
        <v>3427</v>
      </c>
      <c r="K211" s="3500" t="s">
        <v>3965</v>
      </c>
      <c r="L211" s="3500" t="s">
        <v>3965</v>
      </c>
      <c r="M211" s="3500" t="s">
        <v>3460</v>
      </c>
      <c r="N211" s="3500" t="s">
        <v>3966</v>
      </c>
      <c r="O211" s="3500">
        <v>19718</v>
      </c>
      <c r="P211" s="3500">
        <v>3950</v>
      </c>
      <c r="Q211" s="3500" t="s">
        <v>3967</v>
      </c>
      <c r="R211" s="3500">
        <v>19718</v>
      </c>
      <c r="S211" s="3500">
        <v>1514</v>
      </c>
      <c r="T211" s="3500">
        <v>0</v>
      </c>
    </row>
    <row r="212" spans="1:20" ht="14.25">
      <c r="A212" s="3500" t="s">
        <v>3985</v>
      </c>
      <c r="B212" s="3500" t="s">
        <v>3454</v>
      </c>
      <c r="C212" s="3500" t="s">
        <v>3986</v>
      </c>
      <c r="D212" s="3500" t="s">
        <v>3464</v>
      </c>
      <c r="E212" s="3500">
        <v>26083</v>
      </c>
      <c r="F212" s="3500">
        <v>70424.100000000006</v>
      </c>
      <c r="G212" s="3500" t="s">
        <v>3894</v>
      </c>
      <c r="H212" s="3500" t="s">
        <v>3457</v>
      </c>
      <c r="I212" s="3500" t="s">
        <v>3408</v>
      </c>
      <c r="J212" s="3500" t="s">
        <v>3427</v>
      </c>
      <c r="K212" s="3500" t="s">
        <v>3965</v>
      </c>
      <c r="L212" s="3500" t="s">
        <v>3965</v>
      </c>
      <c r="M212" s="3500" t="s">
        <v>3460</v>
      </c>
      <c r="N212" s="3500" t="s">
        <v>3966</v>
      </c>
      <c r="O212" s="3500">
        <v>37030</v>
      </c>
      <c r="P212" s="3500">
        <v>7410</v>
      </c>
      <c r="Q212" s="3500" t="s">
        <v>3967</v>
      </c>
      <c r="R212" s="3500">
        <v>37030</v>
      </c>
      <c r="S212" s="3500">
        <v>5258</v>
      </c>
      <c r="T212" s="3500">
        <v>0</v>
      </c>
    </row>
    <row r="213" spans="1:20" ht="14.25">
      <c r="A213" s="3500" t="s">
        <v>3987</v>
      </c>
      <c r="B213" s="3500" t="s">
        <v>3454</v>
      </c>
      <c r="C213" s="3500" t="s">
        <v>3988</v>
      </c>
      <c r="D213" s="3500" t="s">
        <v>3455</v>
      </c>
      <c r="E213" s="3500">
        <v>19384</v>
      </c>
      <c r="F213" s="3500">
        <v>87228</v>
      </c>
      <c r="G213" s="3500" t="s">
        <v>3954</v>
      </c>
      <c r="H213" s="3500" t="s">
        <v>3457</v>
      </c>
      <c r="I213" s="3500" t="s">
        <v>3407</v>
      </c>
      <c r="J213" s="3500" t="s">
        <v>3427</v>
      </c>
      <c r="K213" s="3500" t="s">
        <v>3965</v>
      </c>
      <c r="L213" s="3500" t="s">
        <v>3965</v>
      </c>
      <c r="M213" s="3500" t="s">
        <v>3460</v>
      </c>
      <c r="N213" s="3500" t="s">
        <v>3966</v>
      </c>
      <c r="O213" s="3500">
        <v>12510</v>
      </c>
      <c r="P213" s="3500">
        <v>2510</v>
      </c>
      <c r="Q213" s="3500" t="s">
        <v>3967</v>
      </c>
      <c r="R213" s="3500">
        <v>12510</v>
      </c>
      <c r="S213" s="3500">
        <v>1434</v>
      </c>
      <c r="T213" s="3500">
        <v>0</v>
      </c>
    </row>
    <row r="214" spans="1:20" ht="14.25">
      <c r="A214" s="3500" t="s">
        <v>3989</v>
      </c>
      <c r="B214" s="3500" t="s">
        <v>3454</v>
      </c>
      <c r="C214" s="3500" t="s">
        <v>3990</v>
      </c>
      <c r="D214" s="3500" t="s">
        <v>3464</v>
      </c>
      <c r="E214" s="3500">
        <v>26967</v>
      </c>
      <c r="F214" s="3500">
        <v>56630.7</v>
      </c>
      <c r="G214" s="3500" t="s">
        <v>3991</v>
      </c>
      <c r="H214" s="3500" t="s">
        <v>3457</v>
      </c>
      <c r="I214" s="3500" t="s">
        <v>3408</v>
      </c>
      <c r="J214" s="3500" t="s">
        <v>3427</v>
      </c>
      <c r="K214" s="3500" t="s">
        <v>3965</v>
      </c>
      <c r="L214" s="3500" t="s">
        <v>3965</v>
      </c>
      <c r="M214" s="3500" t="s">
        <v>3460</v>
      </c>
      <c r="N214" s="3500" t="s">
        <v>3966</v>
      </c>
      <c r="O214" s="3500">
        <v>35406</v>
      </c>
      <c r="P214" s="3500">
        <v>7720</v>
      </c>
      <c r="Q214" s="3500" t="s">
        <v>3967</v>
      </c>
      <c r="R214" s="3500">
        <v>35406</v>
      </c>
      <c r="S214" s="3500">
        <v>6252</v>
      </c>
      <c r="T214" s="3500">
        <v>0</v>
      </c>
    </row>
    <row r="215" spans="1:20" ht="14.25">
      <c r="A215" s="3500" t="s">
        <v>3992</v>
      </c>
      <c r="B215" s="3500" t="s">
        <v>3454</v>
      </c>
      <c r="C215" s="3500" t="s">
        <v>3993</v>
      </c>
      <c r="D215" s="3500" t="s">
        <v>3464</v>
      </c>
      <c r="E215" s="3500">
        <v>23584</v>
      </c>
      <c r="F215" s="3500">
        <v>56601.599999999999</v>
      </c>
      <c r="G215" s="3500" t="s">
        <v>3701</v>
      </c>
      <c r="H215" s="3500" t="s">
        <v>3457</v>
      </c>
      <c r="I215" s="3500" t="s">
        <v>3408</v>
      </c>
      <c r="J215" s="3500" t="s">
        <v>3427</v>
      </c>
      <c r="K215" s="3500" t="s">
        <v>3965</v>
      </c>
      <c r="L215" s="3500" t="s">
        <v>3965</v>
      </c>
      <c r="M215" s="3500" t="s">
        <v>3460</v>
      </c>
      <c r="N215" s="3500" t="s">
        <v>3966</v>
      </c>
      <c r="O215" s="3500">
        <v>32335</v>
      </c>
      <c r="P215" s="3500">
        <v>7060</v>
      </c>
      <c r="Q215" s="3500" t="s">
        <v>3967</v>
      </c>
      <c r="R215" s="3500">
        <v>32335</v>
      </c>
      <c r="S215" s="3500">
        <v>5713</v>
      </c>
      <c r="T215" s="3500">
        <v>0</v>
      </c>
    </row>
    <row r="216" spans="1:20" ht="14.25">
      <c r="A216" s="3500" t="s">
        <v>3994</v>
      </c>
      <c r="B216" s="3500" t="s">
        <v>3454</v>
      </c>
      <c r="C216" s="3500" t="s">
        <v>3995</v>
      </c>
      <c r="D216" s="3500" t="s">
        <v>3455</v>
      </c>
      <c r="E216" s="3500">
        <v>28937</v>
      </c>
      <c r="F216" s="3500">
        <v>107066.9</v>
      </c>
      <c r="G216" s="3500" t="s">
        <v>3996</v>
      </c>
      <c r="H216" s="3500" t="s">
        <v>3457</v>
      </c>
      <c r="I216" s="3500" t="s">
        <v>3407</v>
      </c>
      <c r="J216" s="3500" t="s">
        <v>3427</v>
      </c>
      <c r="K216" s="3500" t="s">
        <v>3965</v>
      </c>
      <c r="L216" s="3500" t="s">
        <v>3965</v>
      </c>
      <c r="M216" s="3500" t="s">
        <v>3460</v>
      </c>
      <c r="N216" s="3500" t="s">
        <v>3966</v>
      </c>
      <c r="O216" s="3500">
        <v>18524</v>
      </c>
      <c r="P216" s="3500">
        <v>3710</v>
      </c>
      <c r="Q216" s="3500" t="s">
        <v>3967</v>
      </c>
      <c r="R216" s="3500">
        <v>18524</v>
      </c>
      <c r="S216" s="3500">
        <v>1730</v>
      </c>
      <c r="T216" s="3500">
        <v>0</v>
      </c>
    </row>
    <row r="217" spans="1:20" ht="14.25">
      <c r="A217" s="3500" t="s">
        <v>3997</v>
      </c>
      <c r="B217" s="3500" t="s">
        <v>3454</v>
      </c>
      <c r="C217" s="3500" t="s">
        <v>3997</v>
      </c>
      <c r="D217" s="3500" t="s">
        <v>3455</v>
      </c>
      <c r="E217" s="3500">
        <v>14176</v>
      </c>
      <c r="F217" s="3500">
        <v>4252.8</v>
      </c>
      <c r="G217" s="3500" t="s">
        <v>3998</v>
      </c>
      <c r="H217" s="3500" t="s">
        <v>3457</v>
      </c>
      <c r="I217" s="3500" t="s">
        <v>3973</v>
      </c>
      <c r="J217" s="3500" t="s">
        <v>3427</v>
      </c>
      <c r="K217" s="3500" t="s">
        <v>3999</v>
      </c>
      <c r="L217" s="3500" t="s">
        <v>3999</v>
      </c>
      <c r="M217" s="3500" t="s">
        <v>3460</v>
      </c>
      <c r="N217" s="3500" t="s">
        <v>4000</v>
      </c>
      <c r="O217" s="3500">
        <v>2129</v>
      </c>
      <c r="P217" s="3500">
        <v>426</v>
      </c>
      <c r="Q217" s="3500" t="s">
        <v>4001</v>
      </c>
      <c r="R217" s="3500">
        <v>2129</v>
      </c>
      <c r="S217" s="3500">
        <v>5006</v>
      </c>
      <c r="T217" s="3500">
        <v>0</v>
      </c>
    </row>
    <row r="218" spans="1:20" ht="14.25">
      <c r="A218" s="3500" t="s">
        <v>4002</v>
      </c>
      <c r="B218" s="3500" t="s">
        <v>3454</v>
      </c>
      <c r="C218" s="3500" t="s">
        <v>4002</v>
      </c>
      <c r="D218" s="3500" t="s">
        <v>3464</v>
      </c>
      <c r="E218" s="3500">
        <v>19482</v>
      </c>
      <c r="F218" s="3500">
        <v>19676.82</v>
      </c>
      <c r="G218" s="3500" t="s">
        <v>4003</v>
      </c>
      <c r="H218" s="3500" t="s">
        <v>3457</v>
      </c>
      <c r="I218" s="3500" t="s">
        <v>3408</v>
      </c>
      <c r="J218" s="3500" t="s">
        <v>3427</v>
      </c>
      <c r="K218" s="3500" t="s">
        <v>3999</v>
      </c>
      <c r="L218" s="3500" t="s">
        <v>3999</v>
      </c>
      <c r="M218" s="3500" t="s">
        <v>3460</v>
      </c>
      <c r="N218" s="3500" t="s">
        <v>4000</v>
      </c>
      <c r="O218" s="3500">
        <v>3565</v>
      </c>
      <c r="P218" s="3500">
        <v>720</v>
      </c>
      <c r="Q218" s="3500" t="s">
        <v>4001</v>
      </c>
      <c r="R218" s="3500">
        <v>3565</v>
      </c>
      <c r="S218" s="3500">
        <v>1812</v>
      </c>
      <c r="T218" s="3500">
        <v>0</v>
      </c>
    </row>
    <row r="219" spans="1:20" ht="14.25">
      <c r="A219" s="3500" t="s">
        <v>4004</v>
      </c>
      <c r="B219" s="3500" t="s">
        <v>3454</v>
      </c>
      <c r="C219" s="3500" t="s">
        <v>4004</v>
      </c>
      <c r="D219" s="3500" t="s">
        <v>3464</v>
      </c>
      <c r="E219" s="3500">
        <v>5004</v>
      </c>
      <c r="F219" s="3500">
        <v>5504.4</v>
      </c>
      <c r="G219" s="3500" t="s">
        <v>4005</v>
      </c>
      <c r="H219" s="3500" t="s">
        <v>3457</v>
      </c>
      <c r="I219" s="3500" t="s">
        <v>3408</v>
      </c>
      <c r="J219" s="3500" t="s">
        <v>3427</v>
      </c>
      <c r="K219" s="3500" t="s">
        <v>3910</v>
      </c>
      <c r="L219" s="3500" t="s">
        <v>3910</v>
      </c>
      <c r="M219" s="3500" t="s">
        <v>3460</v>
      </c>
      <c r="N219" s="3500" t="s">
        <v>3911</v>
      </c>
      <c r="O219" s="3500">
        <v>1170</v>
      </c>
      <c r="P219" s="3500">
        <v>240</v>
      </c>
      <c r="Q219" s="3500" t="s">
        <v>3912</v>
      </c>
      <c r="R219" s="3500">
        <v>1170</v>
      </c>
      <c r="S219" s="3500">
        <v>2126</v>
      </c>
      <c r="T219" s="3500">
        <v>0</v>
      </c>
    </row>
    <row r="220" spans="1:20" ht="14.25">
      <c r="A220" s="3500" t="s">
        <v>4006</v>
      </c>
      <c r="B220" s="3500" t="s">
        <v>3454</v>
      </c>
      <c r="C220" s="3500" t="s">
        <v>4006</v>
      </c>
      <c r="D220" s="3500" t="s">
        <v>3464</v>
      </c>
      <c r="E220" s="3500">
        <v>45621</v>
      </c>
      <c r="F220" s="3500">
        <v>82117.8</v>
      </c>
      <c r="G220" s="3500" t="s">
        <v>3465</v>
      </c>
      <c r="H220" s="3500" t="s">
        <v>3457</v>
      </c>
      <c r="I220" s="3500" t="s">
        <v>3408</v>
      </c>
      <c r="J220" s="3500" t="s">
        <v>3427</v>
      </c>
      <c r="K220" s="3500" t="s">
        <v>4007</v>
      </c>
      <c r="L220" s="3500" t="s">
        <v>4007</v>
      </c>
      <c r="M220" s="3500" t="s">
        <v>3460</v>
      </c>
      <c r="N220" s="3500" t="s">
        <v>4008</v>
      </c>
      <c r="O220" s="3500">
        <v>13002</v>
      </c>
      <c r="P220" s="3500">
        <v>4000</v>
      </c>
      <c r="Q220" s="3500" t="s">
        <v>4009</v>
      </c>
      <c r="R220" s="3500">
        <v>13002</v>
      </c>
      <c r="S220" s="3500">
        <v>1583</v>
      </c>
      <c r="T220" s="3500">
        <v>0</v>
      </c>
    </row>
    <row r="221" spans="1:20" ht="14.25">
      <c r="A221" s="3500" t="s">
        <v>4010</v>
      </c>
      <c r="B221" s="3500" t="s">
        <v>3454</v>
      </c>
      <c r="C221" s="3500" t="s">
        <v>4010</v>
      </c>
      <c r="D221" s="3500" t="s">
        <v>3464</v>
      </c>
      <c r="E221" s="3500">
        <v>45620</v>
      </c>
      <c r="F221" s="3500">
        <v>82116</v>
      </c>
      <c r="G221" s="3500" t="s">
        <v>3465</v>
      </c>
      <c r="H221" s="3500" t="s">
        <v>3457</v>
      </c>
      <c r="I221" s="3500" t="s">
        <v>3408</v>
      </c>
      <c r="J221" s="3500" t="s">
        <v>3427</v>
      </c>
      <c r="K221" s="3500" t="s">
        <v>4007</v>
      </c>
      <c r="L221" s="3500" t="s">
        <v>4007</v>
      </c>
      <c r="M221" s="3500" t="s">
        <v>3460</v>
      </c>
      <c r="N221" s="3500" t="s">
        <v>4011</v>
      </c>
      <c r="O221" s="3500">
        <v>13001</v>
      </c>
      <c r="P221" s="3500">
        <v>4000</v>
      </c>
      <c r="Q221" s="3500" t="s">
        <v>4009</v>
      </c>
      <c r="R221" s="3500">
        <v>13001</v>
      </c>
      <c r="S221" s="3500">
        <v>1583</v>
      </c>
      <c r="T221" s="3500">
        <v>0</v>
      </c>
    </row>
    <row r="222" spans="1:20" ht="14.25">
      <c r="A222" s="3500" t="s">
        <v>4012</v>
      </c>
      <c r="B222" s="3500" t="s">
        <v>3454</v>
      </c>
      <c r="C222" s="3500" t="s">
        <v>4013</v>
      </c>
      <c r="D222" s="3500" t="s">
        <v>3455</v>
      </c>
      <c r="E222" s="3500">
        <v>5707</v>
      </c>
      <c r="F222" s="3500">
        <v>2282.8000000000002</v>
      </c>
      <c r="G222" s="3500" t="s">
        <v>4014</v>
      </c>
      <c r="H222" s="3500" t="s">
        <v>3457</v>
      </c>
      <c r="I222" s="3500" t="s">
        <v>3458</v>
      </c>
      <c r="J222" s="3500" t="s">
        <v>3427</v>
      </c>
      <c r="K222" s="3500" t="s">
        <v>4015</v>
      </c>
      <c r="L222" s="3500" t="s">
        <v>4015</v>
      </c>
      <c r="M222" s="3500" t="s">
        <v>3460</v>
      </c>
      <c r="N222" s="3500" t="s">
        <v>4016</v>
      </c>
      <c r="O222" s="3500">
        <v>12850</v>
      </c>
      <c r="P222" s="3500">
        <v>2570</v>
      </c>
      <c r="Q222" s="3500" t="s">
        <v>4017</v>
      </c>
      <c r="R222" s="3500">
        <v>12850</v>
      </c>
      <c r="S222" s="3500">
        <v>56291</v>
      </c>
      <c r="T222" s="3500">
        <v>0</v>
      </c>
    </row>
    <row r="223" spans="1:20" ht="14.25">
      <c r="A223" s="3500" t="s">
        <v>4018</v>
      </c>
      <c r="B223" s="3500" t="s">
        <v>3454</v>
      </c>
      <c r="C223" s="3500" t="s">
        <v>4019</v>
      </c>
      <c r="D223" s="3500" t="s">
        <v>3455</v>
      </c>
      <c r="E223" s="3500">
        <v>19423</v>
      </c>
      <c r="F223" s="3500">
        <v>33019.1</v>
      </c>
      <c r="G223" s="3500" t="s">
        <v>4020</v>
      </c>
      <c r="H223" s="3500" t="s">
        <v>3457</v>
      </c>
      <c r="I223" s="3500" t="s">
        <v>3458</v>
      </c>
      <c r="J223" s="3500" t="s">
        <v>3427</v>
      </c>
      <c r="K223" s="3500" t="s">
        <v>4015</v>
      </c>
      <c r="L223" s="3500" t="s">
        <v>4015</v>
      </c>
      <c r="M223" s="3500" t="s">
        <v>3460</v>
      </c>
      <c r="N223" s="3500" t="s">
        <v>3879</v>
      </c>
      <c r="O223" s="3500">
        <v>7430</v>
      </c>
      <c r="P223" s="3500">
        <v>1490</v>
      </c>
      <c r="Q223" s="3500" t="s">
        <v>4017</v>
      </c>
      <c r="R223" s="3500">
        <v>7430</v>
      </c>
      <c r="S223" s="3500">
        <v>2250</v>
      </c>
      <c r="T223" s="3500">
        <v>0</v>
      </c>
    </row>
    <row r="224" spans="1:20" ht="14.25">
      <c r="A224" s="3500" t="s">
        <v>4021</v>
      </c>
      <c r="B224" s="3500" t="s">
        <v>3454</v>
      </c>
      <c r="C224" s="3500" t="s">
        <v>4022</v>
      </c>
      <c r="D224" s="3500" t="s">
        <v>3464</v>
      </c>
      <c r="E224" s="3500">
        <v>20017</v>
      </c>
      <c r="F224" s="3500">
        <v>40034</v>
      </c>
      <c r="G224" s="3500" t="s">
        <v>3523</v>
      </c>
      <c r="H224" s="3500" t="s">
        <v>3457</v>
      </c>
      <c r="I224" s="3500" t="s">
        <v>3408</v>
      </c>
      <c r="J224" s="3500" t="s">
        <v>3427</v>
      </c>
      <c r="K224" s="3500" t="s">
        <v>4023</v>
      </c>
      <c r="L224" s="3500" t="s">
        <v>4023</v>
      </c>
      <c r="M224" s="3500" t="s">
        <v>3460</v>
      </c>
      <c r="N224" s="3500" t="s">
        <v>3966</v>
      </c>
      <c r="O224" s="3500">
        <v>21303</v>
      </c>
      <c r="P224" s="3500">
        <v>4300</v>
      </c>
      <c r="Q224" s="3500" t="s">
        <v>4017</v>
      </c>
      <c r="R224" s="3500">
        <v>21303</v>
      </c>
      <c r="S224" s="3500">
        <v>5321</v>
      </c>
      <c r="T224" s="3500">
        <v>0</v>
      </c>
    </row>
    <row r="225" spans="1:20" ht="14.25">
      <c r="A225" s="3500" t="s">
        <v>4024</v>
      </c>
      <c r="B225" s="3500" t="s">
        <v>3454</v>
      </c>
      <c r="C225" s="3500" t="s">
        <v>4025</v>
      </c>
      <c r="D225" s="3500" t="s">
        <v>3455</v>
      </c>
      <c r="E225" s="3500">
        <v>22983</v>
      </c>
      <c r="F225" s="3500">
        <v>91932</v>
      </c>
      <c r="G225" s="3500" t="s">
        <v>3933</v>
      </c>
      <c r="H225" s="3500" t="s">
        <v>3457</v>
      </c>
      <c r="I225" s="3500" t="s">
        <v>3407</v>
      </c>
      <c r="J225" s="3500" t="s">
        <v>3427</v>
      </c>
      <c r="K225" s="3500" t="s">
        <v>4023</v>
      </c>
      <c r="L225" s="3500" t="s">
        <v>4023</v>
      </c>
      <c r="M225" s="3500" t="s">
        <v>3460</v>
      </c>
      <c r="N225" s="3500" t="s">
        <v>3966</v>
      </c>
      <c r="O225" s="3500">
        <v>15995</v>
      </c>
      <c r="P225" s="3500">
        <v>3200</v>
      </c>
      <c r="Q225" s="3500" t="s">
        <v>4026</v>
      </c>
      <c r="R225" s="3500">
        <v>15995</v>
      </c>
      <c r="S225" s="3500">
        <v>1740</v>
      </c>
      <c r="T225" s="3500">
        <v>0</v>
      </c>
    </row>
    <row r="226" spans="1:20" ht="14.25">
      <c r="A226" s="3500" t="s">
        <v>4027</v>
      </c>
      <c r="B226" s="3500" t="s">
        <v>3454</v>
      </c>
      <c r="C226" s="3500" t="s">
        <v>4028</v>
      </c>
      <c r="D226" s="3500" t="s">
        <v>3455</v>
      </c>
      <c r="E226" s="3500">
        <v>19542</v>
      </c>
      <c r="F226" s="3500">
        <v>48855</v>
      </c>
      <c r="G226" s="3500" t="s">
        <v>4029</v>
      </c>
      <c r="H226" s="3500" t="s">
        <v>3457</v>
      </c>
      <c r="I226" s="3500" t="s">
        <v>3407</v>
      </c>
      <c r="J226" s="3500" t="s">
        <v>3427</v>
      </c>
      <c r="K226" s="3500" t="s">
        <v>4023</v>
      </c>
      <c r="L226" s="3500" t="s">
        <v>4023</v>
      </c>
      <c r="M226" s="3500" t="s">
        <v>3460</v>
      </c>
      <c r="N226" s="3500" t="s">
        <v>3966</v>
      </c>
      <c r="O226" s="3500">
        <v>10182</v>
      </c>
      <c r="P226" s="3500">
        <v>2040</v>
      </c>
      <c r="Q226" s="3500" t="s">
        <v>4026</v>
      </c>
      <c r="R226" s="3500">
        <v>10182</v>
      </c>
      <c r="S226" s="3500">
        <v>2084</v>
      </c>
      <c r="T226" s="3500">
        <v>0</v>
      </c>
    </row>
    <row r="227" spans="1:20" ht="14.25">
      <c r="A227" s="3500" t="s">
        <v>4030</v>
      </c>
      <c r="B227" s="3500" t="s">
        <v>3454</v>
      </c>
      <c r="C227" s="3500" t="s">
        <v>4031</v>
      </c>
      <c r="D227" s="3500" t="s">
        <v>3455</v>
      </c>
      <c r="E227" s="3500">
        <v>29878</v>
      </c>
      <c r="F227" s="3500">
        <v>89634</v>
      </c>
      <c r="G227" s="3500" t="s">
        <v>4032</v>
      </c>
      <c r="H227" s="3500" t="s">
        <v>3457</v>
      </c>
      <c r="I227" s="3500" t="s">
        <v>3407</v>
      </c>
      <c r="J227" s="3500" t="s">
        <v>3427</v>
      </c>
      <c r="K227" s="3500" t="s">
        <v>4023</v>
      </c>
      <c r="L227" s="3500" t="s">
        <v>4023</v>
      </c>
      <c r="M227" s="3500" t="s">
        <v>3460</v>
      </c>
      <c r="N227" s="3500" t="s">
        <v>3966</v>
      </c>
      <c r="O227" s="3500">
        <v>17124</v>
      </c>
      <c r="P227" s="3500">
        <v>3430</v>
      </c>
      <c r="Q227" s="3500" t="s">
        <v>4026</v>
      </c>
      <c r="R227" s="3500">
        <v>17124</v>
      </c>
      <c r="S227" s="3500">
        <v>1910</v>
      </c>
      <c r="T227" s="3500">
        <v>0</v>
      </c>
    </row>
    <row r="228" spans="1:20" ht="14.25">
      <c r="A228" s="3500" t="s">
        <v>4033</v>
      </c>
      <c r="B228" s="3500" t="s">
        <v>3454</v>
      </c>
      <c r="C228" s="3500" t="s">
        <v>4034</v>
      </c>
      <c r="D228" s="3500" t="s">
        <v>3464</v>
      </c>
      <c r="E228" s="3500">
        <v>21171</v>
      </c>
      <c r="F228" s="3500">
        <v>48693.3</v>
      </c>
      <c r="G228" s="3500" t="s">
        <v>3471</v>
      </c>
      <c r="H228" s="3500" t="s">
        <v>3457</v>
      </c>
      <c r="I228" s="3500" t="s">
        <v>3408</v>
      </c>
      <c r="J228" s="3500" t="s">
        <v>3427</v>
      </c>
      <c r="K228" s="3500" t="s">
        <v>4015</v>
      </c>
      <c r="L228" s="3500" t="s">
        <v>4015</v>
      </c>
      <c r="M228" s="3500" t="s">
        <v>3460</v>
      </c>
      <c r="N228" s="3500" t="s">
        <v>4035</v>
      </c>
      <c r="O228" s="3500">
        <v>30434</v>
      </c>
      <c r="P228" s="3500">
        <v>6100</v>
      </c>
      <c r="Q228" s="3500" t="s">
        <v>4017</v>
      </c>
      <c r="R228" s="3500">
        <v>31234</v>
      </c>
      <c r="S228" s="3500">
        <v>6414</v>
      </c>
      <c r="T228" s="3500">
        <v>2.63</v>
      </c>
    </row>
    <row r="229" spans="1:20" ht="14.25">
      <c r="A229" s="3500" t="s">
        <v>4036</v>
      </c>
      <c r="B229" s="3500" t="s">
        <v>3454</v>
      </c>
      <c r="C229" s="3500" t="s">
        <v>4037</v>
      </c>
      <c r="D229" s="3500" t="s">
        <v>3464</v>
      </c>
      <c r="E229" s="3500">
        <v>20462</v>
      </c>
      <c r="F229" s="3500">
        <v>40924</v>
      </c>
      <c r="G229" s="3500" t="s">
        <v>3523</v>
      </c>
      <c r="H229" s="3500" t="s">
        <v>3457</v>
      </c>
      <c r="I229" s="3500" t="s">
        <v>3408</v>
      </c>
      <c r="J229" s="3500" t="s">
        <v>3427</v>
      </c>
      <c r="K229" s="3500" t="s">
        <v>4015</v>
      </c>
      <c r="L229" s="3500" t="s">
        <v>4015</v>
      </c>
      <c r="M229" s="3500" t="s">
        <v>3460</v>
      </c>
      <c r="N229" s="3500" t="s">
        <v>4038</v>
      </c>
      <c r="O229" s="3500">
        <v>25802</v>
      </c>
      <c r="P229" s="3500">
        <v>5170</v>
      </c>
      <c r="Q229" s="3500" t="s">
        <v>4017</v>
      </c>
      <c r="R229" s="3500">
        <v>25802</v>
      </c>
      <c r="S229" s="3500">
        <v>6305</v>
      </c>
      <c r="T229" s="3500">
        <v>0</v>
      </c>
    </row>
    <row r="230" spans="1:20" ht="14.25">
      <c r="A230" s="3500" t="s">
        <v>4039</v>
      </c>
      <c r="B230" s="3500" t="s">
        <v>3454</v>
      </c>
      <c r="C230" s="3500" t="s">
        <v>4040</v>
      </c>
      <c r="D230" s="3500" t="s">
        <v>3455</v>
      </c>
      <c r="E230" s="3500">
        <v>8591</v>
      </c>
      <c r="F230" s="3500">
        <v>25773</v>
      </c>
      <c r="G230" s="3500" t="s">
        <v>4041</v>
      </c>
      <c r="H230" s="3500" t="s">
        <v>3457</v>
      </c>
      <c r="I230" s="3500" t="s">
        <v>3407</v>
      </c>
      <c r="J230" s="3500" t="s">
        <v>3427</v>
      </c>
      <c r="K230" s="3500" t="s">
        <v>4023</v>
      </c>
      <c r="L230" s="3500" t="s">
        <v>4023</v>
      </c>
      <c r="M230" s="3500" t="s">
        <v>3460</v>
      </c>
      <c r="N230" s="3500" t="s">
        <v>3966</v>
      </c>
      <c r="O230" s="3500">
        <v>5038</v>
      </c>
      <c r="P230" s="3500">
        <v>1010</v>
      </c>
      <c r="Q230" s="3500" t="s">
        <v>4026</v>
      </c>
      <c r="R230" s="3500">
        <v>5038</v>
      </c>
      <c r="S230" s="3500">
        <v>1955</v>
      </c>
      <c r="T230" s="3500">
        <v>0</v>
      </c>
    </row>
    <row r="231" spans="1:20" ht="14.25">
      <c r="A231" s="3500" t="s">
        <v>4042</v>
      </c>
      <c r="B231" s="3500" t="s">
        <v>3454</v>
      </c>
      <c r="C231" s="3500" t="s">
        <v>4043</v>
      </c>
      <c r="D231" s="3500" t="s">
        <v>3464</v>
      </c>
      <c r="E231" s="3500">
        <v>39780</v>
      </c>
      <c r="F231" s="3500">
        <v>83538</v>
      </c>
      <c r="G231" s="3500" t="s">
        <v>3991</v>
      </c>
      <c r="H231" s="3500" t="s">
        <v>3457</v>
      </c>
      <c r="I231" s="3500" t="s">
        <v>3408</v>
      </c>
      <c r="J231" s="3500" t="s">
        <v>3427</v>
      </c>
      <c r="K231" s="3500" t="s">
        <v>4023</v>
      </c>
      <c r="L231" s="3500" t="s">
        <v>4023</v>
      </c>
      <c r="M231" s="3500" t="s">
        <v>3460</v>
      </c>
      <c r="N231" s="3500" t="s">
        <v>3966</v>
      </c>
      <c r="O231" s="3500">
        <v>53044</v>
      </c>
      <c r="P231" s="3500">
        <v>10610</v>
      </c>
      <c r="Q231" s="3500" t="s">
        <v>4017</v>
      </c>
      <c r="R231" s="3500">
        <v>53044</v>
      </c>
      <c r="S231" s="3500">
        <v>6350</v>
      </c>
      <c r="T231" s="3500">
        <v>0</v>
      </c>
    </row>
    <row r="232" spans="1:20" ht="14.25">
      <c r="A232" s="3500" t="s">
        <v>4044</v>
      </c>
      <c r="B232" s="3500" t="s">
        <v>3454</v>
      </c>
      <c r="C232" s="3500" t="s">
        <v>4045</v>
      </c>
      <c r="D232" s="3500" t="s">
        <v>3464</v>
      </c>
      <c r="E232" s="3500">
        <v>25972</v>
      </c>
      <c r="F232" s="3500">
        <v>51944</v>
      </c>
      <c r="G232" s="3500" t="s">
        <v>3523</v>
      </c>
      <c r="H232" s="3500" t="s">
        <v>3457</v>
      </c>
      <c r="I232" s="3500" t="s">
        <v>3408</v>
      </c>
      <c r="J232" s="3500" t="s">
        <v>3427</v>
      </c>
      <c r="K232" s="3500" t="s">
        <v>4015</v>
      </c>
      <c r="L232" s="3500" t="s">
        <v>4015</v>
      </c>
      <c r="M232" s="3500" t="s">
        <v>3460</v>
      </c>
      <c r="N232" s="3500" t="s">
        <v>4046</v>
      </c>
      <c r="O232" s="3500">
        <v>33097</v>
      </c>
      <c r="P232" s="3500">
        <v>6620</v>
      </c>
      <c r="Q232" s="3500" t="s">
        <v>4017</v>
      </c>
      <c r="R232" s="3500">
        <v>33297</v>
      </c>
      <c r="S232" s="3500">
        <v>6410</v>
      </c>
      <c r="T232" s="3500">
        <v>0.6</v>
      </c>
    </row>
    <row r="233" spans="1:20" ht="14.25">
      <c r="A233" s="3500" t="s">
        <v>4047</v>
      </c>
      <c r="B233" s="3500" t="s">
        <v>3454</v>
      </c>
      <c r="C233" s="3500" t="s">
        <v>4048</v>
      </c>
      <c r="D233" s="3500" t="s">
        <v>3464</v>
      </c>
      <c r="E233" s="3500">
        <v>54371</v>
      </c>
      <c r="F233" s="3500">
        <v>119616.2</v>
      </c>
      <c r="G233" s="3500" t="s">
        <v>3531</v>
      </c>
      <c r="H233" s="3500" t="s">
        <v>3457</v>
      </c>
      <c r="I233" s="3500" t="s">
        <v>3408</v>
      </c>
      <c r="J233" s="3500" t="s">
        <v>3427</v>
      </c>
      <c r="K233" s="3500" t="s">
        <v>4049</v>
      </c>
      <c r="L233" s="3500" t="s">
        <v>4049</v>
      </c>
      <c r="M233" s="3500" t="s">
        <v>3460</v>
      </c>
      <c r="N233" s="3500" t="s">
        <v>4050</v>
      </c>
      <c r="O233" s="3500">
        <v>39115</v>
      </c>
      <c r="P233" s="3500">
        <v>10590</v>
      </c>
      <c r="Q233" s="3500" t="s">
        <v>4051</v>
      </c>
      <c r="R233" s="3500">
        <v>39115</v>
      </c>
      <c r="S233" s="3500">
        <v>3270</v>
      </c>
      <c r="T233" s="3500">
        <v>0</v>
      </c>
    </row>
    <row r="234" spans="1:20" ht="14.25">
      <c r="A234" s="3500" t="s">
        <v>4052</v>
      </c>
      <c r="B234" s="3500" t="s">
        <v>3454</v>
      </c>
      <c r="C234" s="3500" t="s">
        <v>4053</v>
      </c>
      <c r="D234" s="3500" t="s">
        <v>3455</v>
      </c>
      <c r="E234" s="3500">
        <v>27998</v>
      </c>
      <c r="F234" s="3500">
        <v>97993</v>
      </c>
      <c r="G234" s="3500" t="s">
        <v>4054</v>
      </c>
      <c r="H234" s="3500" t="s">
        <v>3457</v>
      </c>
      <c r="I234" s="3500" t="s">
        <v>3407</v>
      </c>
      <c r="J234" s="3500" t="s">
        <v>3427</v>
      </c>
      <c r="K234" s="3500" t="s">
        <v>4049</v>
      </c>
      <c r="L234" s="3500" t="s">
        <v>4049</v>
      </c>
      <c r="M234" s="3500" t="s">
        <v>3460</v>
      </c>
      <c r="N234" s="3500" t="s">
        <v>4050</v>
      </c>
      <c r="O234" s="3500">
        <v>13798</v>
      </c>
      <c r="P234" s="3500">
        <v>10590</v>
      </c>
      <c r="Q234" s="3500" t="s">
        <v>4051</v>
      </c>
      <c r="R234" s="3500">
        <v>13798</v>
      </c>
      <c r="S234" s="3500">
        <v>1408</v>
      </c>
      <c r="T234" s="3500">
        <v>0</v>
      </c>
    </row>
    <row r="235" spans="1:20" ht="14.25">
      <c r="A235" s="3500" t="s">
        <v>4055</v>
      </c>
      <c r="B235" s="3500" t="s">
        <v>3454</v>
      </c>
      <c r="C235" s="3500" t="s">
        <v>4056</v>
      </c>
      <c r="D235" s="3500" t="s">
        <v>3455</v>
      </c>
      <c r="E235" s="3500">
        <v>2279</v>
      </c>
      <c r="F235" s="3500">
        <v>2051.1</v>
      </c>
      <c r="G235" s="3500" t="s">
        <v>3662</v>
      </c>
      <c r="H235" s="3500" t="s">
        <v>3457</v>
      </c>
      <c r="I235" s="3500" t="s">
        <v>3407</v>
      </c>
      <c r="J235" s="3500" t="s">
        <v>3427</v>
      </c>
      <c r="K235" s="3500" t="s">
        <v>4057</v>
      </c>
      <c r="L235" s="3500" t="s">
        <v>4057</v>
      </c>
      <c r="M235" s="3500" t="s">
        <v>3460</v>
      </c>
      <c r="N235" s="3500" t="s">
        <v>3626</v>
      </c>
      <c r="O235" s="3500">
        <v>1837</v>
      </c>
      <c r="P235" s="3500">
        <v>370</v>
      </c>
      <c r="Q235" s="3500" t="s">
        <v>4058</v>
      </c>
      <c r="R235" s="3500">
        <v>1837</v>
      </c>
      <c r="S235" s="3500">
        <v>8956</v>
      </c>
      <c r="T235" s="3500">
        <v>0</v>
      </c>
    </row>
    <row r="236" spans="1:20" ht="14.25">
      <c r="A236" s="3500" t="s">
        <v>4059</v>
      </c>
      <c r="B236" s="3500" t="s">
        <v>3454</v>
      </c>
      <c r="C236" s="3500" t="s">
        <v>4059</v>
      </c>
      <c r="D236" s="3500" t="s">
        <v>3455</v>
      </c>
      <c r="E236" s="3500">
        <v>13984</v>
      </c>
      <c r="F236" s="3500">
        <v>27968</v>
      </c>
      <c r="G236" s="3500" t="s">
        <v>3456</v>
      </c>
      <c r="H236" s="3500" t="s">
        <v>3457</v>
      </c>
      <c r="I236" s="3500" t="s">
        <v>3458</v>
      </c>
      <c r="J236" s="3500" t="s">
        <v>3427</v>
      </c>
      <c r="K236" s="3500" t="s">
        <v>4060</v>
      </c>
      <c r="L236" s="3500" t="s">
        <v>4060</v>
      </c>
      <c r="M236" s="3500" t="s">
        <v>3460</v>
      </c>
      <c r="N236" s="3500" t="s">
        <v>4061</v>
      </c>
      <c r="O236" s="3500">
        <v>4200</v>
      </c>
      <c r="P236" s="3500">
        <v>1300</v>
      </c>
      <c r="Q236" s="3500" t="s">
        <v>4062</v>
      </c>
      <c r="R236" s="3500">
        <v>4200</v>
      </c>
      <c r="S236" s="3500">
        <v>1502</v>
      </c>
      <c r="T236" s="3500">
        <v>0</v>
      </c>
    </row>
    <row r="237" spans="1:20" ht="14.25">
      <c r="A237" s="3500" t="s">
        <v>4063</v>
      </c>
      <c r="B237" s="3500" t="s">
        <v>3454</v>
      </c>
      <c r="C237" s="3500" t="s">
        <v>4063</v>
      </c>
      <c r="D237" s="3500" t="s">
        <v>3464</v>
      </c>
      <c r="E237" s="3500">
        <v>8797</v>
      </c>
      <c r="F237" s="3500">
        <v>15834.6</v>
      </c>
      <c r="G237" s="3500" t="s">
        <v>3465</v>
      </c>
      <c r="H237" s="3500" t="s">
        <v>3457</v>
      </c>
      <c r="I237" s="3500" t="s">
        <v>3408</v>
      </c>
      <c r="J237" s="3500" t="s">
        <v>3427</v>
      </c>
      <c r="K237" s="3500" t="s">
        <v>4060</v>
      </c>
      <c r="L237" s="3500" t="s">
        <v>4060</v>
      </c>
      <c r="M237" s="3500" t="s">
        <v>3460</v>
      </c>
      <c r="N237" s="3500" t="s">
        <v>4011</v>
      </c>
      <c r="O237" s="3500">
        <v>2650</v>
      </c>
      <c r="P237" s="3500">
        <v>800</v>
      </c>
      <c r="Q237" s="3500" t="s">
        <v>4062</v>
      </c>
      <c r="R237" s="3500">
        <v>2650</v>
      </c>
      <c r="S237" s="3500">
        <v>1674</v>
      </c>
      <c r="T237" s="3500">
        <v>0</v>
      </c>
    </row>
    <row r="238" spans="1:20" ht="14.25">
      <c r="A238" s="3500" t="s">
        <v>4064</v>
      </c>
      <c r="B238" s="3500" t="s">
        <v>3454</v>
      </c>
      <c r="C238" s="3500" t="s">
        <v>4064</v>
      </c>
      <c r="D238" s="3500" t="s">
        <v>3464</v>
      </c>
      <c r="E238" s="3500">
        <v>11114</v>
      </c>
      <c r="F238" s="3500">
        <v>16671</v>
      </c>
      <c r="G238" s="3500" t="s">
        <v>3750</v>
      </c>
      <c r="H238" s="3500" t="s">
        <v>3457</v>
      </c>
      <c r="I238" s="3500" t="s">
        <v>3408</v>
      </c>
      <c r="J238" s="3500" t="s">
        <v>3427</v>
      </c>
      <c r="K238" s="3500" t="s">
        <v>4060</v>
      </c>
      <c r="L238" s="3500" t="s">
        <v>4060</v>
      </c>
      <c r="M238" s="3500" t="s">
        <v>3460</v>
      </c>
      <c r="N238" s="3500" t="s">
        <v>4065</v>
      </c>
      <c r="O238" s="3500">
        <v>2746</v>
      </c>
      <c r="P238" s="3500">
        <v>1400</v>
      </c>
      <c r="Q238" s="3500" t="s">
        <v>4062</v>
      </c>
      <c r="R238" s="3500">
        <v>2746</v>
      </c>
      <c r="S238" s="3500">
        <v>1647</v>
      </c>
      <c r="T238" s="3500">
        <v>0</v>
      </c>
    </row>
    <row r="239" spans="1:20" ht="14.25">
      <c r="A239" s="3500" t="s">
        <v>4066</v>
      </c>
      <c r="B239" s="3500" t="s">
        <v>3454</v>
      </c>
      <c r="C239" s="3500" t="s">
        <v>4066</v>
      </c>
      <c r="D239" s="3500" t="s">
        <v>3464</v>
      </c>
      <c r="E239" s="3500">
        <v>46750</v>
      </c>
      <c r="F239" s="3500">
        <v>84150</v>
      </c>
      <c r="G239" s="3500" t="s">
        <v>3465</v>
      </c>
      <c r="H239" s="3500" t="s">
        <v>3457</v>
      </c>
      <c r="I239" s="3500" t="s">
        <v>3408</v>
      </c>
      <c r="J239" s="3500" t="s">
        <v>3427</v>
      </c>
      <c r="K239" s="3500" t="s">
        <v>4060</v>
      </c>
      <c r="L239" s="3500" t="s">
        <v>4060</v>
      </c>
      <c r="M239" s="3500" t="s">
        <v>3460</v>
      </c>
      <c r="N239" s="3500" t="s">
        <v>4061</v>
      </c>
      <c r="O239" s="3500">
        <v>14000</v>
      </c>
      <c r="P239" s="3500">
        <v>4200</v>
      </c>
      <c r="Q239" s="3500" t="s">
        <v>4062</v>
      </c>
      <c r="R239" s="3500">
        <v>14000</v>
      </c>
      <c r="S239" s="3500">
        <v>1664</v>
      </c>
      <c r="T239" s="3500">
        <v>0</v>
      </c>
    </row>
    <row r="240" spans="1:20" ht="14.25">
      <c r="A240" s="3500" t="s">
        <v>4067</v>
      </c>
      <c r="B240" s="3500" t="s">
        <v>3454</v>
      </c>
      <c r="C240" s="3500" t="s">
        <v>4067</v>
      </c>
      <c r="D240" s="3500" t="s">
        <v>3455</v>
      </c>
      <c r="E240" s="3500">
        <v>2168.8000000000002</v>
      </c>
      <c r="F240" s="3500">
        <v>1084.4000000000001</v>
      </c>
      <c r="G240" s="3500" t="s">
        <v>4068</v>
      </c>
      <c r="H240" s="3500" t="s">
        <v>3457</v>
      </c>
      <c r="I240" s="3500" t="s">
        <v>3458</v>
      </c>
      <c r="J240" s="3500" t="s">
        <v>3427</v>
      </c>
      <c r="K240" s="3500" t="s">
        <v>4069</v>
      </c>
      <c r="L240" s="3500" t="s">
        <v>4069</v>
      </c>
      <c r="M240" s="3500" t="s">
        <v>3460</v>
      </c>
      <c r="N240" s="3500" t="s">
        <v>4070</v>
      </c>
      <c r="O240" s="3500">
        <v>143</v>
      </c>
      <c r="P240" s="3500">
        <v>143</v>
      </c>
      <c r="Q240" s="3500" t="s">
        <v>4071</v>
      </c>
      <c r="R240" s="3500">
        <v>143</v>
      </c>
      <c r="S240" s="3500">
        <v>1319</v>
      </c>
      <c r="T240" s="3500">
        <v>0</v>
      </c>
    </row>
    <row r="241" spans="1:20" ht="14.25">
      <c r="A241" s="3500" t="s">
        <v>4072</v>
      </c>
      <c r="B241" s="3500" t="s">
        <v>3454</v>
      </c>
      <c r="C241" s="3500" t="s">
        <v>4073</v>
      </c>
      <c r="D241" s="3500" t="s">
        <v>3629</v>
      </c>
      <c r="E241" s="3500">
        <v>47127</v>
      </c>
      <c r="F241" s="3500">
        <v>136668.29999999999</v>
      </c>
      <c r="G241" s="3500" t="s">
        <v>4074</v>
      </c>
      <c r="H241" s="3500" t="s">
        <v>3457</v>
      </c>
      <c r="I241" s="3500" t="s">
        <v>3408</v>
      </c>
      <c r="J241" s="3500" t="s">
        <v>3427</v>
      </c>
      <c r="K241" s="3500" t="s">
        <v>4075</v>
      </c>
      <c r="L241" s="3500" t="s">
        <v>4075</v>
      </c>
      <c r="M241" s="3500" t="s">
        <v>3460</v>
      </c>
      <c r="N241" s="3500" t="s">
        <v>4076</v>
      </c>
      <c r="O241" s="3500">
        <v>159902</v>
      </c>
      <c r="P241" s="3500">
        <v>31981</v>
      </c>
      <c r="Q241" s="3500" t="s">
        <v>4077</v>
      </c>
      <c r="R241" s="3500">
        <v>160302</v>
      </c>
      <c r="S241" s="3500">
        <v>11729</v>
      </c>
      <c r="T241" s="3500">
        <v>0.25</v>
      </c>
    </row>
    <row r="242" spans="1:20" ht="14.25">
      <c r="A242" s="3500" t="s">
        <v>4078</v>
      </c>
      <c r="B242" s="3500" t="s">
        <v>3454</v>
      </c>
      <c r="C242" s="3500" t="s">
        <v>4078</v>
      </c>
      <c r="D242" s="3500" t="s">
        <v>3464</v>
      </c>
      <c r="E242" s="3500">
        <v>60663</v>
      </c>
      <c r="F242" s="3500">
        <v>90994.5</v>
      </c>
      <c r="G242" s="3500" t="s">
        <v>3750</v>
      </c>
      <c r="H242" s="3500" t="s">
        <v>3457</v>
      </c>
      <c r="I242" s="3500" t="s">
        <v>3408</v>
      </c>
      <c r="J242" s="3500" t="s">
        <v>3427</v>
      </c>
      <c r="K242" s="3500" t="s">
        <v>4079</v>
      </c>
      <c r="L242" s="3500" t="s">
        <v>4079</v>
      </c>
      <c r="M242" s="3500" t="s">
        <v>3460</v>
      </c>
      <c r="N242" s="3500" t="s">
        <v>4080</v>
      </c>
      <c r="O242" s="3500">
        <v>15138</v>
      </c>
      <c r="P242" s="3500">
        <v>7600</v>
      </c>
      <c r="Q242" s="3500" t="s">
        <v>4081</v>
      </c>
      <c r="R242" s="3500">
        <v>15138</v>
      </c>
      <c r="S242" s="3500">
        <v>1664</v>
      </c>
      <c r="T242" s="3500">
        <v>0</v>
      </c>
    </row>
    <row r="243" spans="1:20" ht="14.25">
      <c r="A243" s="3500" t="s">
        <v>4082</v>
      </c>
      <c r="B243" s="3500" t="s">
        <v>3454</v>
      </c>
      <c r="C243" s="3500" t="s">
        <v>4082</v>
      </c>
      <c r="D243" s="3500" t="s">
        <v>3455</v>
      </c>
      <c r="E243" s="3500">
        <v>5177</v>
      </c>
      <c r="F243" s="3500">
        <v>6730.1</v>
      </c>
      <c r="G243" s="3500" t="s">
        <v>4083</v>
      </c>
      <c r="H243" s="3500" t="s">
        <v>3457</v>
      </c>
      <c r="I243" s="3500" t="s">
        <v>3973</v>
      </c>
      <c r="J243" s="3500" t="s">
        <v>3427</v>
      </c>
      <c r="K243" s="3500" t="s">
        <v>4079</v>
      </c>
      <c r="L243" s="3500" t="s">
        <v>4079</v>
      </c>
      <c r="M243" s="3500" t="s">
        <v>3460</v>
      </c>
      <c r="N243" s="3500" t="s">
        <v>4084</v>
      </c>
      <c r="O243" s="3500">
        <v>637</v>
      </c>
      <c r="P243" s="3500">
        <v>637</v>
      </c>
      <c r="Q243" s="3500" t="s">
        <v>4081</v>
      </c>
      <c r="R243" s="3500">
        <v>637</v>
      </c>
      <c r="S243" s="3500">
        <v>946</v>
      </c>
      <c r="T243" s="3500">
        <v>0</v>
      </c>
    </row>
    <row r="244" spans="1:20" ht="14.25">
      <c r="A244" s="3500" t="s">
        <v>4085</v>
      </c>
      <c r="B244" s="3500" t="s">
        <v>3454</v>
      </c>
      <c r="C244" s="3500" t="s">
        <v>4086</v>
      </c>
      <c r="D244" s="3500" t="s">
        <v>3464</v>
      </c>
      <c r="E244" s="3500">
        <v>2643</v>
      </c>
      <c r="F244" s="3500">
        <v>2643</v>
      </c>
      <c r="G244" s="3500" t="s">
        <v>3636</v>
      </c>
      <c r="H244" s="3500" t="s">
        <v>3457</v>
      </c>
      <c r="I244" s="3500" t="s">
        <v>3408</v>
      </c>
      <c r="J244" s="3500" t="s">
        <v>3427</v>
      </c>
      <c r="K244" s="3500" t="s">
        <v>4087</v>
      </c>
      <c r="L244" s="3500" t="s">
        <v>4087</v>
      </c>
      <c r="M244" s="3500" t="s">
        <v>3460</v>
      </c>
      <c r="N244" s="3500" t="s">
        <v>3622</v>
      </c>
      <c r="O244" s="3500">
        <v>3186</v>
      </c>
      <c r="P244" s="3500">
        <v>638</v>
      </c>
      <c r="Q244" s="3500" t="s">
        <v>4088</v>
      </c>
      <c r="R244" s="3500">
        <v>3186</v>
      </c>
      <c r="S244" s="3500">
        <v>12054</v>
      </c>
      <c r="T244" s="3500">
        <v>0</v>
      </c>
    </row>
    <row r="245" spans="1:20" ht="14.25">
      <c r="A245" s="3500" t="s">
        <v>4089</v>
      </c>
      <c r="B245" s="3500" t="s">
        <v>3454</v>
      </c>
      <c r="C245" s="3500" t="s">
        <v>4090</v>
      </c>
      <c r="D245" s="3500" t="s">
        <v>3455</v>
      </c>
      <c r="E245" s="3500">
        <v>20008</v>
      </c>
      <c r="F245" s="3500">
        <v>60024</v>
      </c>
      <c r="G245" s="3500" t="s">
        <v>4091</v>
      </c>
      <c r="H245" s="3500" t="s">
        <v>3457</v>
      </c>
      <c r="I245" s="3500" t="s">
        <v>3407</v>
      </c>
      <c r="J245" s="3500" t="s">
        <v>3427</v>
      </c>
      <c r="K245" s="3500" t="s">
        <v>4087</v>
      </c>
      <c r="L245" s="3500" t="s">
        <v>4087</v>
      </c>
      <c r="M245" s="3500" t="s">
        <v>3460</v>
      </c>
      <c r="N245" s="3500" t="s">
        <v>4092</v>
      </c>
      <c r="O245" s="3500">
        <v>10027</v>
      </c>
      <c r="P245" s="3500">
        <v>2100</v>
      </c>
      <c r="Q245" s="3500" t="s">
        <v>4088</v>
      </c>
      <c r="R245" s="3500">
        <v>10027</v>
      </c>
      <c r="S245" s="3500">
        <v>1671</v>
      </c>
      <c r="T245" s="3500">
        <v>0</v>
      </c>
    </row>
    <row r="246" spans="1:20" ht="14.25">
      <c r="A246" s="3500" t="s">
        <v>4093</v>
      </c>
      <c r="B246" s="3500" t="s">
        <v>3454</v>
      </c>
      <c r="C246" s="3500" t="s">
        <v>4094</v>
      </c>
      <c r="D246" s="3500" t="s">
        <v>3455</v>
      </c>
      <c r="E246" s="3500">
        <v>133998</v>
      </c>
      <c r="F246" s="3500">
        <v>200997</v>
      </c>
      <c r="G246" s="3500" t="s">
        <v>3505</v>
      </c>
      <c r="H246" s="3500" t="s">
        <v>3457</v>
      </c>
      <c r="I246" s="3500" t="s">
        <v>3407</v>
      </c>
      <c r="J246" s="3500" t="s">
        <v>3427</v>
      </c>
      <c r="K246" s="3500" t="s">
        <v>4095</v>
      </c>
      <c r="L246" s="3500" t="s">
        <v>4095</v>
      </c>
      <c r="M246" s="3500" t="s">
        <v>3460</v>
      </c>
      <c r="N246" s="3500" t="s">
        <v>4096</v>
      </c>
      <c r="O246" s="3500">
        <v>35202</v>
      </c>
      <c r="P246" s="3500">
        <v>7041</v>
      </c>
      <c r="Q246" s="3500" t="s">
        <v>4097</v>
      </c>
      <c r="R246" s="3500">
        <v>35202</v>
      </c>
      <c r="S246" s="3500">
        <v>1751</v>
      </c>
      <c r="T246" s="3500">
        <v>0</v>
      </c>
    </row>
    <row r="247" spans="1:20" ht="14.25">
      <c r="A247" s="3500" t="s">
        <v>4098</v>
      </c>
      <c r="B247" s="3500" t="s">
        <v>3454</v>
      </c>
      <c r="C247" s="3500" t="s">
        <v>4099</v>
      </c>
      <c r="D247" s="3500" t="s">
        <v>3455</v>
      </c>
      <c r="E247" s="3500">
        <v>30217</v>
      </c>
      <c r="F247" s="3500">
        <v>90651</v>
      </c>
      <c r="G247" s="3500" t="s">
        <v>4032</v>
      </c>
      <c r="H247" s="3500" t="s">
        <v>3457</v>
      </c>
      <c r="I247" s="3500" t="s">
        <v>3407</v>
      </c>
      <c r="J247" s="3500" t="s">
        <v>3427</v>
      </c>
      <c r="K247" s="3500" t="s">
        <v>4095</v>
      </c>
      <c r="L247" s="3500" t="s">
        <v>4095</v>
      </c>
      <c r="M247" s="3500" t="s">
        <v>3460</v>
      </c>
      <c r="N247" s="3500" t="s">
        <v>4100</v>
      </c>
      <c r="O247" s="3500">
        <v>6799</v>
      </c>
      <c r="P247" s="3500">
        <v>1360</v>
      </c>
      <c r="Q247" s="3500" t="s">
        <v>4097</v>
      </c>
      <c r="R247" s="3500">
        <v>6799</v>
      </c>
      <c r="S247" s="3500">
        <v>750</v>
      </c>
      <c r="T247" s="3500">
        <v>0</v>
      </c>
    </row>
    <row r="248" spans="1:20" ht="14.25">
      <c r="A248" s="3500" t="s">
        <v>4101</v>
      </c>
      <c r="B248" s="3500" t="s">
        <v>3454</v>
      </c>
      <c r="C248" s="3500" t="s">
        <v>4102</v>
      </c>
      <c r="D248" s="3500" t="s">
        <v>3464</v>
      </c>
      <c r="E248" s="3500">
        <v>11639</v>
      </c>
      <c r="F248" s="3500">
        <v>33753.1</v>
      </c>
      <c r="G248" s="3500" t="s">
        <v>3569</v>
      </c>
      <c r="H248" s="3500" t="s">
        <v>3457</v>
      </c>
      <c r="I248" s="3500" t="s">
        <v>3408</v>
      </c>
      <c r="J248" s="3500" t="s">
        <v>3427</v>
      </c>
      <c r="K248" s="3500" t="s">
        <v>4103</v>
      </c>
      <c r="L248" s="3500" t="s">
        <v>4103</v>
      </c>
      <c r="M248" s="3500" t="s">
        <v>3460</v>
      </c>
      <c r="N248" s="3500" t="s">
        <v>4104</v>
      </c>
      <c r="O248" s="3500">
        <v>47255</v>
      </c>
      <c r="P248" s="3500">
        <v>9451</v>
      </c>
      <c r="Q248" s="3500" t="s">
        <v>4105</v>
      </c>
      <c r="R248" s="3500">
        <v>47455</v>
      </c>
      <c r="S248" s="3500">
        <v>14059</v>
      </c>
      <c r="T248" s="3500">
        <v>0.42</v>
      </c>
    </row>
    <row r="249" spans="1:20" ht="14.25">
      <c r="A249" s="3500" t="s">
        <v>4106</v>
      </c>
      <c r="B249" s="3500" t="s">
        <v>3454</v>
      </c>
      <c r="C249" s="3500" t="s">
        <v>4107</v>
      </c>
      <c r="D249" s="3500" t="s">
        <v>3629</v>
      </c>
      <c r="E249" s="3500">
        <v>108260</v>
      </c>
      <c r="F249" s="3500">
        <v>248998</v>
      </c>
      <c r="G249" s="3500" t="s">
        <v>3471</v>
      </c>
      <c r="H249" s="3500" t="s">
        <v>3457</v>
      </c>
      <c r="I249" s="3500" t="s">
        <v>4108</v>
      </c>
      <c r="J249" s="3500" t="s">
        <v>3427</v>
      </c>
      <c r="K249" s="3500" t="s">
        <v>4103</v>
      </c>
      <c r="L249" s="3500" t="s">
        <v>4103</v>
      </c>
      <c r="M249" s="3500" t="s">
        <v>3460</v>
      </c>
      <c r="N249" s="3500" t="s">
        <v>3473</v>
      </c>
      <c r="O249" s="3500">
        <v>187702</v>
      </c>
      <c r="P249" s="3500">
        <v>37541</v>
      </c>
      <c r="Q249" s="3500" t="s">
        <v>4105</v>
      </c>
      <c r="R249" s="3500">
        <v>188502</v>
      </c>
      <c r="S249" s="3500">
        <v>7570</v>
      </c>
      <c r="T249" s="3500">
        <v>0.43</v>
      </c>
    </row>
    <row r="250" spans="1:20" ht="14.25">
      <c r="A250" s="3500" t="s">
        <v>4109</v>
      </c>
      <c r="B250" s="3500" t="s">
        <v>3454</v>
      </c>
      <c r="C250" s="3500" t="s">
        <v>4110</v>
      </c>
      <c r="D250" s="3500" t="s">
        <v>3455</v>
      </c>
      <c r="E250" s="3500">
        <v>14528</v>
      </c>
      <c r="F250" s="3500">
        <v>29056</v>
      </c>
      <c r="G250" s="3500" t="s">
        <v>3456</v>
      </c>
      <c r="H250" s="3500" t="s">
        <v>3457</v>
      </c>
      <c r="I250" s="3500" t="s">
        <v>3407</v>
      </c>
      <c r="J250" s="3500" t="s">
        <v>3427</v>
      </c>
      <c r="K250" s="3500" t="s">
        <v>4111</v>
      </c>
      <c r="L250" s="3500" t="s">
        <v>4111</v>
      </c>
      <c r="M250" s="3500" t="s">
        <v>3460</v>
      </c>
      <c r="N250" s="3500" t="s">
        <v>4112</v>
      </c>
      <c r="O250" s="3500">
        <v>6047</v>
      </c>
      <c r="P250" s="3500">
        <v>1210</v>
      </c>
      <c r="Q250" s="3500" t="s">
        <v>4113</v>
      </c>
      <c r="R250" s="3500">
        <v>6047</v>
      </c>
      <c r="S250" s="3500">
        <v>2081</v>
      </c>
      <c r="T250" s="3500">
        <v>0</v>
      </c>
    </row>
    <row r="251" spans="1:20" ht="14.25">
      <c r="A251" s="3500" t="s">
        <v>4114</v>
      </c>
      <c r="B251" s="3500" t="s">
        <v>3454</v>
      </c>
      <c r="C251" s="3500" t="s">
        <v>4115</v>
      </c>
      <c r="D251" s="3500" t="s">
        <v>3455</v>
      </c>
      <c r="E251" s="3500">
        <v>492</v>
      </c>
      <c r="F251" s="3500">
        <v>418.2</v>
      </c>
      <c r="G251" s="3500" t="s">
        <v>3621</v>
      </c>
      <c r="H251" s="3500" t="s">
        <v>3457</v>
      </c>
      <c r="I251" s="3500" t="s">
        <v>3458</v>
      </c>
      <c r="J251" s="3500" t="s">
        <v>3427</v>
      </c>
      <c r="K251" s="3500" t="s">
        <v>4111</v>
      </c>
      <c r="L251" s="3500" t="s">
        <v>4111</v>
      </c>
      <c r="M251" s="3500" t="s">
        <v>3460</v>
      </c>
      <c r="N251" s="3500" t="s">
        <v>3622</v>
      </c>
      <c r="O251" s="3500">
        <v>453</v>
      </c>
      <c r="P251" s="3500">
        <v>91</v>
      </c>
      <c r="Q251" s="3500" t="s">
        <v>4113</v>
      </c>
      <c r="R251" s="3500">
        <v>453</v>
      </c>
      <c r="S251" s="3500">
        <v>10832</v>
      </c>
      <c r="T251" s="3500">
        <v>0</v>
      </c>
    </row>
    <row r="252" spans="1:20" ht="14.25">
      <c r="A252" s="3500" t="s">
        <v>4116</v>
      </c>
      <c r="B252" s="3500" t="s">
        <v>3454</v>
      </c>
      <c r="C252" s="3500" t="s">
        <v>4117</v>
      </c>
      <c r="D252" s="3500" t="s">
        <v>3455</v>
      </c>
      <c r="E252" s="3500">
        <v>674</v>
      </c>
      <c r="F252" s="3500">
        <v>505.5</v>
      </c>
      <c r="G252" s="3500" t="s">
        <v>3677</v>
      </c>
      <c r="H252" s="3500" t="s">
        <v>3457</v>
      </c>
      <c r="I252" s="3500" t="s">
        <v>3458</v>
      </c>
      <c r="J252" s="3500" t="s">
        <v>3427</v>
      </c>
      <c r="K252" s="3500" t="s">
        <v>4111</v>
      </c>
      <c r="L252" s="3500" t="s">
        <v>4111</v>
      </c>
      <c r="M252" s="3500" t="s">
        <v>3460</v>
      </c>
      <c r="N252" s="3500" t="s">
        <v>3622</v>
      </c>
      <c r="O252" s="3500">
        <v>609</v>
      </c>
      <c r="P252" s="3500">
        <v>122</v>
      </c>
      <c r="Q252" s="3500" t="s">
        <v>4113</v>
      </c>
      <c r="R252" s="3500">
        <v>609</v>
      </c>
      <c r="S252" s="3500">
        <v>12047</v>
      </c>
      <c r="T252" s="3500">
        <v>0</v>
      </c>
    </row>
    <row r="253" spans="1:20" ht="14.25">
      <c r="A253" s="3500" t="s">
        <v>4118</v>
      </c>
      <c r="B253" s="3500" t="s">
        <v>3454</v>
      </c>
      <c r="C253" s="3500" t="s">
        <v>4119</v>
      </c>
      <c r="D253" s="3500" t="s">
        <v>3455</v>
      </c>
      <c r="E253" s="3500">
        <v>50</v>
      </c>
      <c r="F253" s="3500">
        <v>45</v>
      </c>
      <c r="G253" s="3500" t="s">
        <v>4120</v>
      </c>
      <c r="H253" s="3500" t="s">
        <v>3457</v>
      </c>
      <c r="I253" s="3500" t="s">
        <v>3458</v>
      </c>
      <c r="J253" s="3500" t="s">
        <v>3427</v>
      </c>
      <c r="K253" s="3500" t="s">
        <v>4111</v>
      </c>
      <c r="L253" s="3500" t="s">
        <v>4111</v>
      </c>
      <c r="M253" s="3500" t="s">
        <v>3460</v>
      </c>
      <c r="N253" s="3500" t="s">
        <v>3622</v>
      </c>
      <c r="O253" s="3500">
        <v>47</v>
      </c>
      <c r="P253" s="3500">
        <v>10</v>
      </c>
      <c r="Q253" s="3500" t="s">
        <v>4113</v>
      </c>
      <c r="R253" s="3500">
        <v>47</v>
      </c>
      <c r="S253" s="3500">
        <v>10444</v>
      </c>
      <c r="T253" s="3500">
        <v>0</v>
      </c>
    </row>
    <row r="254" spans="1:20" ht="14.25">
      <c r="A254" s="3500" t="s">
        <v>4121</v>
      </c>
      <c r="B254" s="3500" t="s">
        <v>3454</v>
      </c>
      <c r="C254" s="3500" t="s">
        <v>4122</v>
      </c>
      <c r="D254" s="3500" t="s">
        <v>3455</v>
      </c>
      <c r="E254" s="3500">
        <v>320</v>
      </c>
      <c r="F254" s="3500">
        <v>240</v>
      </c>
      <c r="G254" s="3500" t="s">
        <v>3677</v>
      </c>
      <c r="H254" s="3500" t="s">
        <v>3457</v>
      </c>
      <c r="I254" s="3500" t="s">
        <v>3458</v>
      </c>
      <c r="J254" s="3500" t="s">
        <v>3427</v>
      </c>
      <c r="K254" s="3500" t="s">
        <v>4111</v>
      </c>
      <c r="L254" s="3500" t="s">
        <v>4111</v>
      </c>
      <c r="M254" s="3500" t="s">
        <v>3460</v>
      </c>
      <c r="N254" s="3500" t="s">
        <v>3622</v>
      </c>
      <c r="O254" s="3500">
        <v>290</v>
      </c>
      <c r="P254" s="3500">
        <v>59</v>
      </c>
      <c r="Q254" s="3500" t="s">
        <v>4113</v>
      </c>
      <c r="R254" s="3500">
        <v>290</v>
      </c>
      <c r="S254" s="3500">
        <v>12083</v>
      </c>
      <c r="T254" s="3500">
        <v>0</v>
      </c>
    </row>
    <row r="255" spans="1:20" ht="14.25">
      <c r="A255" s="3500" t="s">
        <v>4123</v>
      </c>
      <c r="B255" s="3500" t="s">
        <v>3454</v>
      </c>
      <c r="C255" s="3500" t="s">
        <v>4124</v>
      </c>
      <c r="D255" s="3500" t="s">
        <v>3455</v>
      </c>
      <c r="E255" s="3500">
        <v>29</v>
      </c>
      <c r="F255" s="3500">
        <v>27.55</v>
      </c>
      <c r="G255" s="3500" t="s">
        <v>3654</v>
      </c>
      <c r="H255" s="3500" t="s">
        <v>3457</v>
      </c>
      <c r="I255" s="3500" t="s">
        <v>3458</v>
      </c>
      <c r="J255" s="3500" t="s">
        <v>3427</v>
      </c>
      <c r="K255" s="3500" t="s">
        <v>4111</v>
      </c>
      <c r="L255" s="3500" t="s">
        <v>4111</v>
      </c>
      <c r="M255" s="3500" t="s">
        <v>3460</v>
      </c>
      <c r="N255" s="3500" t="s">
        <v>3622</v>
      </c>
      <c r="O255" s="3500">
        <v>28</v>
      </c>
      <c r="P255" s="3500">
        <v>6</v>
      </c>
      <c r="Q255" s="3500" t="s">
        <v>4113</v>
      </c>
      <c r="R255" s="3500">
        <v>28</v>
      </c>
      <c r="S255" s="3500">
        <v>10163</v>
      </c>
      <c r="T255" s="3500">
        <v>0</v>
      </c>
    </row>
    <row r="256" spans="1:20" ht="14.25">
      <c r="A256" s="3500" t="s">
        <v>4125</v>
      </c>
      <c r="B256" s="3500" t="s">
        <v>3454</v>
      </c>
      <c r="C256" s="3500" t="s">
        <v>4126</v>
      </c>
      <c r="D256" s="3500" t="s">
        <v>3455</v>
      </c>
      <c r="E256" s="3500">
        <v>526</v>
      </c>
      <c r="F256" s="3500">
        <v>447.1</v>
      </c>
      <c r="G256" s="3500" t="s">
        <v>3621</v>
      </c>
      <c r="H256" s="3500" t="s">
        <v>3457</v>
      </c>
      <c r="I256" s="3500" t="s">
        <v>3458</v>
      </c>
      <c r="J256" s="3500" t="s">
        <v>3427</v>
      </c>
      <c r="K256" s="3500" t="s">
        <v>4111</v>
      </c>
      <c r="L256" s="3500" t="s">
        <v>4111</v>
      </c>
      <c r="M256" s="3500" t="s">
        <v>3460</v>
      </c>
      <c r="N256" s="3500" t="s">
        <v>3622</v>
      </c>
      <c r="O256" s="3500">
        <v>485</v>
      </c>
      <c r="P256" s="3500">
        <v>98</v>
      </c>
      <c r="Q256" s="3500" t="s">
        <v>4113</v>
      </c>
      <c r="R256" s="3500">
        <v>485</v>
      </c>
      <c r="S256" s="3500">
        <v>10848</v>
      </c>
      <c r="T256" s="3500">
        <v>0</v>
      </c>
    </row>
    <row r="257" spans="1:20" ht="14.25">
      <c r="A257" s="3500" t="s">
        <v>4127</v>
      </c>
      <c r="B257" s="3500" t="s">
        <v>3454</v>
      </c>
      <c r="C257" s="3500" t="s">
        <v>4128</v>
      </c>
      <c r="D257" s="3500" t="s">
        <v>3455</v>
      </c>
      <c r="E257" s="3500">
        <v>838</v>
      </c>
      <c r="F257" s="3500">
        <v>670.4</v>
      </c>
      <c r="G257" s="3500" t="s">
        <v>4129</v>
      </c>
      <c r="H257" s="3500" t="s">
        <v>3457</v>
      </c>
      <c r="I257" s="3500" t="s">
        <v>3458</v>
      </c>
      <c r="J257" s="3500" t="s">
        <v>3427</v>
      </c>
      <c r="K257" s="3500" t="s">
        <v>4111</v>
      </c>
      <c r="L257" s="3500" t="s">
        <v>4111</v>
      </c>
      <c r="M257" s="3500" t="s">
        <v>3460</v>
      </c>
      <c r="N257" s="3500" t="s">
        <v>3622</v>
      </c>
      <c r="O257" s="3500">
        <v>766</v>
      </c>
      <c r="P257" s="3500">
        <v>154</v>
      </c>
      <c r="Q257" s="3500" t="s">
        <v>4113</v>
      </c>
      <c r="R257" s="3500">
        <v>766</v>
      </c>
      <c r="S257" s="3500">
        <v>11426</v>
      </c>
      <c r="T257" s="3500">
        <v>0</v>
      </c>
    </row>
    <row r="258" spans="1:20" ht="14.25">
      <c r="A258" s="3500" t="s">
        <v>4130</v>
      </c>
      <c r="B258" s="3500" t="s">
        <v>3454</v>
      </c>
      <c r="C258" s="3500" t="s">
        <v>4131</v>
      </c>
      <c r="D258" s="3500" t="s">
        <v>3455</v>
      </c>
      <c r="E258" s="3500">
        <v>82</v>
      </c>
      <c r="F258" s="3500">
        <v>69.7</v>
      </c>
      <c r="G258" s="3500" t="s">
        <v>3621</v>
      </c>
      <c r="H258" s="3500" t="s">
        <v>3457</v>
      </c>
      <c r="I258" s="3500" t="s">
        <v>3458</v>
      </c>
      <c r="J258" s="3500" t="s">
        <v>3427</v>
      </c>
      <c r="K258" s="3500" t="s">
        <v>4111</v>
      </c>
      <c r="L258" s="3500" t="s">
        <v>4111</v>
      </c>
      <c r="M258" s="3500" t="s">
        <v>3460</v>
      </c>
      <c r="N258" s="3500" t="s">
        <v>3622</v>
      </c>
      <c r="O258" s="3500">
        <v>76</v>
      </c>
      <c r="P258" s="3500">
        <v>16</v>
      </c>
      <c r="Q258" s="3500" t="s">
        <v>4113</v>
      </c>
      <c r="R258" s="3500">
        <v>76</v>
      </c>
      <c r="S258" s="3500">
        <v>10904</v>
      </c>
      <c r="T258" s="3500">
        <v>0</v>
      </c>
    </row>
    <row r="259" spans="1:20" ht="14.25">
      <c r="A259" s="3500" t="s">
        <v>4132</v>
      </c>
      <c r="B259" s="3500" t="s">
        <v>3454</v>
      </c>
      <c r="C259" s="3500" t="s">
        <v>4133</v>
      </c>
      <c r="D259" s="3500" t="s">
        <v>3629</v>
      </c>
      <c r="E259" s="3500">
        <v>323</v>
      </c>
      <c r="F259" s="3500">
        <v>290.7</v>
      </c>
      <c r="G259" s="3500" t="s">
        <v>3662</v>
      </c>
      <c r="H259" s="3500" t="s">
        <v>3457</v>
      </c>
      <c r="I259" s="3500" t="s">
        <v>3631</v>
      </c>
      <c r="J259" s="3500" t="s">
        <v>3427</v>
      </c>
      <c r="K259" s="3500" t="s">
        <v>4111</v>
      </c>
      <c r="L259" s="3500" t="s">
        <v>4111</v>
      </c>
      <c r="M259" s="3500" t="s">
        <v>3460</v>
      </c>
      <c r="N259" s="3500" t="s">
        <v>3622</v>
      </c>
      <c r="O259" s="3500">
        <v>350</v>
      </c>
      <c r="P259" s="3500">
        <v>71</v>
      </c>
      <c r="Q259" s="3500" t="s">
        <v>4113</v>
      </c>
      <c r="R259" s="3500">
        <v>350</v>
      </c>
      <c r="S259" s="3500">
        <v>12040</v>
      </c>
      <c r="T259" s="3500">
        <v>0</v>
      </c>
    </row>
    <row r="260" spans="1:20" ht="14.25">
      <c r="A260" s="3500" t="s">
        <v>4134</v>
      </c>
      <c r="B260" s="3500" t="s">
        <v>3454</v>
      </c>
      <c r="C260" s="3500" t="s">
        <v>4135</v>
      </c>
      <c r="D260" s="3500" t="s">
        <v>3455</v>
      </c>
      <c r="E260" s="3500">
        <v>220</v>
      </c>
      <c r="F260" s="3500">
        <v>154</v>
      </c>
      <c r="G260" s="3500" t="s">
        <v>3641</v>
      </c>
      <c r="H260" s="3500" t="s">
        <v>3457</v>
      </c>
      <c r="I260" s="3500" t="s">
        <v>3458</v>
      </c>
      <c r="J260" s="3500" t="s">
        <v>3427</v>
      </c>
      <c r="K260" s="3500" t="s">
        <v>4111</v>
      </c>
      <c r="L260" s="3500" t="s">
        <v>4111</v>
      </c>
      <c r="M260" s="3500" t="s">
        <v>3460</v>
      </c>
      <c r="N260" s="3500" t="s">
        <v>3622</v>
      </c>
      <c r="O260" s="3500">
        <v>196</v>
      </c>
      <c r="P260" s="3500">
        <v>40</v>
      </c>
      <c r="Q260" s="3500" t="s">
        <v>4113</v>
      </c>
      <c r="R260" s="3500">
        <v>196</v>
      </c>
      <c r="S260" s="3500">
        <v>12727</v>
      </c>
      <c r="T260" s="3500">
        <v>0</v>
      </c>
    </row>
    <row r="261" spans="1:20" ht="14.25">
      <c r="A261" s="3500" t="s">
        <v>4136</v>
      </c>
      <c r="B261" s="3500" t="s">
        <v>3454</v>
      </c>
      <c r="C261" s="3500" t="s">
        <v>4137</v>
      </c>
      <c r="D261" s="3500" t="s">
        <v>3455</v>
      </c>
      <c r="E261" s="3500">
        <v>40</v>
      </c>
      <c r="F261" s="3500">
        <v>40</v>
      </c>
      <c r="G261" s="3500" t="s">
        <v>4138</v>
      </c>
      <c r="H261" s="3500" t="s">
        <v>3457</v>
      </c>
      <c r="I261" s="3500" t="s">
        <v>3458</v>
      </c>
      <c r="J261" s="3500" t="s">
        <v>3427</v>
      </c>
      <c r="K261" s="3500" t="s">
        <v>4111</v>
      </c>
      <c r="L261" s="3500" t="s">
        <v>4111</v>
      </c>
      <c r="M261" s="3500" t="s">
        <v>3460</v>
      </c>
      <c r="N261" s="3500" t="s">
        <v>3622</v>
      </c>
      <c r="O261" s="3500">
        <v>38</v>
      </c>
      <c r="P261" s="3500">
        <v>8</v>
      </c>
      <c r="Q261" s="3500" t="s">
        <v>4113</v>
      </c>
      <c r="R261" s="3500">
        <v>38</v>
      </c>
      <c r="S261" s="3500">
        <v>9500</v>
      </c>
      <c r="T261" s="3500">
        <v>0</v>
      </c>
    </row>
    <row r="262" spans="1:20" ht="14.25">
      <c r="A262" s="3500" t="s">
        <v>4139</v>
      </c>
      <c r="B262" s="3500" t="s">
        <v>3454</v>
      </c>
      <c r="C262" s="3500" t="s">
        <v>4140</v>
      </c>
      <c r="D262" s="3500" t="s">
        <v>3629</v>
      </c>
      <c r="E262" s="3500">
        <v>305</v>
      </c>
      <c r="F262" s="3500">
        <v>265.35000000000002</v>
      </c>
      <c r="G262" s="3500" t="s">
        <v>4141</v>
      </c>
      <c r="H262" s="3500" t="s">
        <v>3457</v>
      </c>
      <c r="I262" s="3500" t="s">
        <v>3631</v>
      </c>
      <c r="J262" s="3500" t="s">
        <v>3427</v>
      </c>
      <c r="K262" s="3500" t="s">
        <v>4111</v>
      </c>
      <c r="L262" s="3500" t="s">
        <v>4111</v>
      </c>
      <c r="M262" s="3500" t="s">
        <v>3460</v>
      </c>
      <c r="N262" s="3500" t="s">
        <v>3622</v>
      </c>
      <c r="O262" s="3500">
        <v>330</v>
      </c>
      <c r="P262" s="3500">
        <v>67</v>
      </c>
      <c r="Q262" s="3500" t="s">
        <v>4113</v>
      </c>
      <c r="R262" s="3500">
        <v>330</v>
      </c>
      <c r="S262" s="3500">
        <v>12436</v>
      </c>
      <c r="T262" s="3500">
        <v>0</v>
      </c>
    </row>
    <row r="263" spans="1:20" ht="14.25">
      <c r="A263" s="3500" t="s">
        <v>4142</v>
      </c>
      <c r="B263" s="3500" t="s">
        <v>3454</v>
      </c>
      <c r="C263" s="3500" t="s">
        <v>4143</v>
      </c>
      <c r="D263" s="3500" t="s">
        <v>3455</v>
      </c>
      <c r="E263" s="3500">
        <v>565</v>
      </c>
      <c r="F263" s="3500">
        <v>367.25</v>
      </c>
      <c r="G263" s="3500" t="s">
        <v>4144</v>
      </c>
      <c r="H263" s="3500" t="s">
        <v>3457</v>
      </c>
      <c r="I263" s="3500" t="s">
        <v>3458</v>
      </c>
      <c r="J263" s="3500" t="s">
        <v>3427</v>
      </c>
      <c r="K263" s="3500" t="s">
        <v>4111</v>
      </c>
      <c r="L263" s="3500" t="s">
        <v>4111</v>
      </c>
      <c r="M263" s="3500" t="s">
        <v>3460</v>
      </c>
      <c r="N263" s="3500" t="s">
        <v>3622</v>
      </c>
      <c r="O263" s="3500">
        <v>498</v>
      </c>
      <c r="P263" s="3500">
        <v>100</v>
      </c>
      <c r="Q263" s="3500" t="s">
        <v>4113</v>
      </c>
      <c r="R263" s="3500">
        <v>498</v>
      </c>
      <c r="S263" s="3500">
        <v>13560</v>
      </c>
      <c r="T263" s="3500">
        <v>0</v>
      </c>
    </row>
    <row r="264" spans="1:20" ht="14.25">
      <c r="A264" s="3500" t="s">
        <v>4145</v>
      </c>
      <c r="B264" s="3500" t="s">
        <v>3454</v>
      </c>
      <c r="C264" s="3500" t="s">
        <v>4146</v>
      </c>
      <c r="D264" s="3500" t="s">
        <v>3455</v>
      </c>
      <c r="E264" s="3500">
        <v>309</v>
      </c>
      <c r="F264" s="3500">
        <v>200.85</v>
      </c>
      <c r="G264" s="3500" t="s">
        <v>4144</v>
      </c>
      <c r="H264" s="3500" t="s">
        <v>3457</v>
      </c>
      <c r="I264" s="3500" t="s">
        <v>3458</v>
      </c>
      <c r="J264" s="3500" t="s">
        <v>3427</v>
      </c>
      <c r="K264" s="3500" t="s">
        <v>4111</v>
      </c>
      <c r="L264" s="3500" t="s">
        <v>4111</v>
      </c>
      <c r="M264" s="3500" t="s">
        <v>3460</v>
      </c>
      <c r="N264" s="3500" t="s">
        <v>3622</v>
      </c>
      <c r="O264" s="3500">
        <v>273</v>
      </c>
      <c r="P264" s="3500">
        <v>55</v>
      </c>
      <c r="Q264" s="3500" t="s">
        <v>4113</v>
      </c>
      <c r="R264" s="3500">
        <v>273</v>
      </c>
      <c r="S264" s="3500">
        <v>13592</v>
      </c>
      <c r="T264" s="3500">
        <v>0</v>
      </c>
    </row>
    <row r="265" spans="1:20" ht="14.25">
      <c r="A265" s="3500" t="s">
        <v>4147</v>
      </c>
      <c r="B265" s="3500" t="s">
        <v>3454</v>
      </c>
      <c r="C265" s="3500" t="s">
        <v>4148</v>
      </c>
      <c r="D265" s="3500" t="s">
        <v>3629</v>
      </c>
      <c r="E265" s="3500">
        <v>626</v>
      </c>
      <c r="F265" s="3500">
        <v>438.2</v>
      </c>
      <c r="G265" s="3500" t="s">
        <v>4149</v>
      </c>
      <c r="H265" s="3500" t="s">
        <v>3457</v>
      </c>
      <c r="I265" s="3500" t="s">
        <v>3631</v>
      </c>
      <c r="J265" s="3500" t="s">
        <v>3427</v>
      </c>
      <c r="K265" s="3500" t="s">
        <v>4111</v>
      </c>
      <c r="L265" s="3500" t="s">
        <v>4111</v>
      </c>
      <c r="M265" s="3500" t="s">
        <v>3460</v>
      </c>
      <c r="N265" s="3500" t="s">
        <v>3622</v>
      </c>
      <c r="O265" s="3500">
        <v>662</v>
      </c>
      <c r="P265" s="3500">
        <v>133</v>
      </c>
      <c r="Q265" s="3500" t="s">
        <v>4113</v>
      </c>
      <c r="R265" s="3500">
        <v>662</v>
      </c>
      <c r="S265" s="3500">
        <v>15107</v>
      </c>
      <c r="T265" s="3500">
        <v>0</v>
      </c>
    </row>
    <row r="266" spans="1:20" ht="14.25">
      <c r="A266" s="3500" t="s">
        <v>4150</v>
      </c>
      <c r="B266" s="3500" t="s">
        <v>3454</v>
      </c>
      <c r="C266" s="3500" t="s">
        <v>4151</v>
      </c>
      <c r="D266" s="3500" t="s">
        <v>3455</v>
      </c>
      <c r="E266" s="3500">
        <v>797</v>
      </c>
      <c r="F266" s="3500">
        <v>518.04999999999995</v>
      </c>
      <c r="G266" s="3500" t="s">
        <v>4144</v>
      </c>
      <c r="H266" s="3500" t="s">
        <v>3457</v>
      </c>
      <c r="I266" s="3500" t="s">
        <v>3458</v>
      </c>
      <c r="J266" s="3500" t="s">
        <v>3427</v>
      </c>
      <c r="K266" s="3500" t="s">
        <v>4111</v>
      </c>
      <c r="L266" s="3500" t="s">
        <v>4111</v>
      </c>
      <c r="M266" s="3500" t="s">
        <v>3460</v>
      </c>
      <c r="N266" s="3500" t="s">
        <v>3622</v>
      </c>
      <c r="O266" s="3500">
        <v>703</v>
      </c>
      <c r="P266" s="3500">
        <v>141</v>
      </c>
      <c r="Q266" s="3500" t="s">
        <v>4113</v>
      </c>
      <c r="R266" s="3500">
        <v>703</v>
      </c>
      <c r="S266" s="3500">
        <v>13570</v>
      </c>
      <c r="T266" s="3500">
        <v>0</v>
      </c>
    </row>
    <row r="267" spans="1:20" ht="14.25">
      <c r="A267" s="3500" t="s">
        <v>4152</v>
      </c>
      <c r="B267" s="3500" t="s">
        <v>3454</v>
      </c>
      <c r="C267" s="3500" t="s">
        <v>4153</v>
      </c>
      <c r="D267" s="3500" t="s">
        <v>3455</v>
      </c>
      <c r="E267" s="3500">
        <v>735</v>
      </c>
      <c r="F267" s="3500">
        <v>588</v>
      </c>
      <c r="G267" s="3500" t="s">
        <v>4129</v>
      </c>
      <c r="H267" s="3500" t="s">
        <v>3457</v>
      </c>
      <c r="I267" s="3500" t="s">
        <v>3458</v>
      </c>
      <c r="J267" s="3500" t="s">
        <v>3427</v>
      </c>
      <c r="K267" s="3500" t="s">
        <v>4111</v>
      </c>
      <c r="L267" s="3500" t="s">
        <v>4111</v>
      </c>
      <c r="M267" s="3500" t="s">
        <v>3460</v>
      </c>
      <c r="N267" s="3500" t="s">
        <v>3622</v>
      </c>
      <c r="O267" s="3500">
        <v>671</v>
      </c>
      <c r="P267" s="3500">
        <v>135</v>
      </c>
      <c r="Q267" s="3500" t="s">
        <v>4113</v>
      </c>
      <c r="R267" s="3500">
        <v>671</v>
      </c>
      <c r="S267" s="3500">
        <v>11412</v>
      </c>
      <c r="T267" s="3500">
        <v>0</v>
      </c>
    </row>
    <row r="268" spans="1:20" ht="14.25">
      <c r="A268" s="3500" t="s">
        <v>4154</v>
      </c>
      <c r="B268" s="3500" t="s">
        <v>3454</v>
      </c>
      <c r="C268" s="3500" t="s">
        <v>4155</v>
      </c>
      <c r="D268" s="3500" t="s">
        <v>3455</v>
      </c>
      <c r="E268" s="3500">
        <v>49</v>
      </c>
      <c r="F268" s="3500">
        <v>49</v>
      </c>
      <c r="G268" s="3500" t="s">
        <v>4138</v>
      </c>
      <c r="H268" s="3500" t="s">
        <v>3457</v>
      </c>
      <c r="I268" s="3500" t="s">
        <v>3458</v>
      </c>
      <c r="J268" s="3500" t="s">
        <v>3427</v>
      </c>
      <c r="K268" s="3500" t="s">
        <v>4111</v>
      </c>
      <c r="L268" s="3500" t="s">
        <v>4111</v>
      </c>
      <c r="M268" s="3500" t="s">
        <v>3460</v>
      </c>
      <c r="N268" s="3500" t="s">
        <v>3622</v>
      </c>
      <c r="O268" s="3500">
        <v>47</v>
      </c>
      <c r="P268" s="3500">
        <v>10</v>
      </c>
      <c r="Q268" s="3500" t="s">
        <v>4113</v>
      </c>
      <c r="R268" s="3500">
        <v>47</v>
      </c>
      <c r="S268" s="3500">
        <v>9592</v>
      </c>
      <c r="T268" s="3500">
        <v>0</v>
      </c>
    </row>
    <row r="269" spans="1:20" ht="14.25">
      <c r="A269" s="3500" t="s">
        <v>4156</v>
      </c>
      <c r="B269" s="3500" t="s">
        <v>3454</v>
      </c>
      <c r="C269" s="3500" t="s">
        <v>4157</v>
      </c>
      <c r="D269" s="3500" t="s">
        <v>3455</v>
      </c>
      <c r="E269" s="3500">
        <v>762</v>
      </c>
      <c r="F269" s="3500">
        <v>533.4</v>
      </c>
      <c r="G269" s="3500" t="s">
        <v>4149</v>
      </c>
      <c r="H269" s="3500" t="s">
        <v>3457</v>
      </c>
      <c r="I269" s="3500" t="s">
        <v>3458</v>
      </c>
      <c r="J269" s="3500" t="s">
        <v>3427</v>
      </c>
      <c r="K269" s="3500" t="s">
        <v>4111</v>
      </c>
      <c r="L269" s="3500" t="s">
        <v>4111</v>
      </c>
      <c r="M269" s="3500" t="s">
        <v>3460</v>
      </c>
      <c r="N269" s="3500" t="s">
        <v>3622</v>
      </c>
      <c r="O269" s="3500">
        <v>675</v>
      </c>
      <c r="P269" s="3500">
        <v>136</v>
      </c>
      <c r="Q269" s="3500" t="s">
        <v>4113</v>
      </c>
      <c r="R269" s="3500">
        <v>675</v>
      </c>
      <c r="S269" s="3500">
        <v>12655</v>
      </c>
      <c r="T269" s="3500">
        <v>0</v>
      </c>
    </row>
    <row r="270" spans="1:20" ht="14.25">
      <c r="A270" s="3500" t="s">
        <v>4158</v>
      </c>
      <c r="B270" s="3500" t="s">
        <v>3454</v>
      </c>
      <c r="C270" s="3500" t="s">
        <v>4158</v>
      </c>
      <c r="D270" s="3500" t="s">
        <v>3455</v>
      </c>
      <c r="E270" s="3500">
        <v>31957</v>
      </c>
      <c r="F270" s="3500">
        <v>63914</v>
      </c>
      <c r="G270" s="3500" t="s">
        <v>3456</v>
      </c>
      <c r="H270" s="3500" t="s">
        <v>3457</v>
      </c>
      <c r="I270" s="3500" t="s">
        <v>3458</v>
      </c>
      <c r="J270" s="3500" t="s">
        <v>3427</v>
      </c>
      <c r="K270" s="3500" t="s">
        <v>4111</v>
      </c>
      <c r="L270" s="3500" t="s">
        <v>4111</v>
      </c>
      <c r="M270" s="3500" t="s">
        <v>3460</v>
      </c>
      <c r="N270" s="3500" t="s">
        <v>3725</v>
      </c>
      <c r="O270" s="3500">
        <v>7191</v>
      </c>
      <c r="P270" s="3500">
        <v>7191</v>
      </c>
      <c r="Q270" s="3500" t="s">
        <v>4113</v>
      </c>
      <c r="R270" s="3500">
        <v>7191</v>
      </c>
      <c r="S270" s="3500">
        <v>1125</v>
      </c>
      <c r="T270" s="3500">
        <v>0</v>
      </c>
    </row>
    <row r="271" spans="1:20" ht="14.25">
      <c r="A271" s="3500" t="s">
        <v>4159</v>
      </c>
      <c r="B271" s="3500" t="s">
        <v>3454</v>
      </c>
      <c r="C271" s="3500" t="s">
        <v>4159</v>
      </c>
      <c r="D271" s="3500" t="s">
        <v>3455</v>
      </c>
      <c r="E271" s="3500">
        <v>15570</v>
      </c>
      <c r="F271" s="3500">
        <v>23355</v>
      </c>
      <c r="G271" s="3500" t="s">
        <v>3579</v>
      </c>
      <c r="H271" s="3500" t="s">
        <v>3457</v>
      </c>
      <c r="I271" s="3500" t="s">
        <v>3458</v>
      </c>
      <c r="J271" s="3500" t="s">
        <v>3427</v>
      </c>
      <c r="K271" s="3500" t="s">
        <v>4160</v>
      </c>
      <c r="L271" s="3500" t="s">
        <v>4160</v>
      </c>
      <c r="M271" s="3500" t="s">
        <v>3460</v>
      </c>
      <c r="N271" s="3500" t="s">
        <v>3580</v>
      </c>
      <c r="O271" s="3500">
        <v>4671</v>
      </c>
      <c r="P271" s="3500">
        <v>2400</v>
      </c>
      <c r="Q271" s="3500" t="s">
        <v>4161</v>
      </c>
      <c r="R271" s="3500">
        <v>4671</v>
      </c>
      <c r="S271" s="3500">
        <v>2000</v>
      </c>
      <c r="T271" s="3500">
        <v>0</v>
      </c>
    </row>
    <row r="272" spans="1:20" ht="14.25">
      <c r="A272" s="3500" t="s">
        <v>4162</v>
      </c>
      <c r="B272" s="3500" t="s">
        <v>3454</v>
      </c>
      <c r="C272" s="3500" t="s">
        <v>4162</v>
      </c>
      <c r="D272" s="3500" t="s">
        <v>3455</v>
      </c>
      <c r="E272" s="3500">
        <v>4317</v>
      </c>
      <c r="F272" s="3500">
        <v>6475.5</v>
      </c>
      <c r="G272" s="3500" t="s">
        <v>3579</v>
      </c>
      <c r="H272" s="3500" t="s">
        <v>3457</v>
      </c>
      <c r="I272" s="3500" t="s">
        <v>3458</v>
      </c>
      <c r="J272" s="3500" t="s">
        <v>3427</v>
      </c>
      <c r="K272" s="3500" t="s">
        <v>4160</v>
      </c>
      <c r="L272" s="3500" t="s">
        <v>4160</v>
      </c>
      <c r="M272" s="3500" t="s">
        <v>3460</v>
      </c>
      <c r="N272" s="3500" t="s">
        <v>3580</v>
      </c>
      <c r="O272" s="3500">
        <v>1296</v>
      </c>
      <c r="P272" s="3500">
        <v>650</v>
      </c>
      <c r="Q272" s="3500" t="s">
        <v>4161</v>
      </c>
      <c r="R272" s="3500">
        <v>1296</v>
      </c>
      <c r="S272" s="3500">
        <v>2001</v>
      </c>
      <c r="T272" s="3500">
        <v>0</v>
      </c>
    </row>
    <row r="273" spans="1:20" ht="14.25">
      <c r="A273" s="3500" t="s">
        <v>4163</v>
      </c>
      <c r="B273" s="3500" t="s">
        <v>3454</v>
      </c>
      <c r="C273" s="3500" t="s">
        <v>4164</v>
      </c>
      <c r="D273" s="3500" t="s">
        <v>3629</v>
      </c>
      <c r="E273" s="3500">
        <v>15869</v>
      </c>
      <c r="F273" s="3500">
        <v>36498.699999999997</v>
      </c>
      <c r="G273" s="3500" t="s">
        <v>4165</v>
      </c>
      <c r="H273" s="3500" t="s">
        <v>3457</v>
      </c>
      <c r="I273" s="3500" t="s">
        <v>3408</v>
      </c>
      <c r="J273" s="3500" t="s">
        <v>3427</v>
      </c>
      <c r="K273" s="3500" t="s">
        <v>4166</v>
      </c>
      <c r="L273" s="3500" t="s">
        <v>4166</v>
      </c>
      <c r="M273" s="3500" t="s">
        <v>3460</v>
      </c>
      <c r="N273" s="3500" t="s">
        <v>4167</v>
      </c>
      <c r="O273" s="3500">
        <v>34612</v>
      </c>
      <c r="P273" s="3500">
        <v>6930</v>
      </c>
      <c r="Q273" s="3500" t="s">
        <v>4168</v>
      </c>
      <c r="R273" s="3500">
        <v>34612</v>
      </c>
      <c r="S273" s="3500">
        <v>9483</v>
      </c>
      <c r="T273" s="3500">
        <v>0</v>
      </c>
    </row>
    <row r="274" spans="1:20" s="3183" customFormat="1" ht="14.25">
      <c r="A274" s="3524" t="s">
        <v>4169</v>
      </c>
      <c r="B274" s="3524" t="s">
        <v>3454</v>
      </c>
      <c r="C274" s="3524" t="s">
        <v>4170</v>
      </c>
      <c r="D274" s="3524" t="s">
        <v>3464</v>
      </c>
      <c r="E274" s="3524">
        <v>81009</v>
      </c>
      <c r="F274" s="3524">
        <v>162018</v>
      </c>
      <c r="G274" s="3524" t="s">
        <v>3523</v>
      </c>
      <c r="H274" s="3524" t="s">
        <v>3457</v>
      </c>
      <c r="I274" s="3524" t="s">
        <v>3408</v>
      </c>
      <c r="J274" s="3524" t="s">
        <v>3427</v>
      </c>
      <c r="K274" s="3524" t="s">
        <v>4171</v>
      </c>
      <c r="L274" s="3524" t="s">
        <v>4171</v>
      </c>
      <c r="M274" s="3524" t="s">
        <v>3460</v>
      </c>
      <c r="N274" s="3524" t="s">
        <v>4172</v>
      </c>
      <c r="O274" s="3524">
        <v>31619</v>
      </c>
      <c r="P274" s="3524">
        <v>6324</v>
      </c>
      <c r="Q274" s="3524" t="s">
        <v>4173</v>
      </c>
      <c r="R274" s="3524">
        <v>31619</v>
      </c>
      <c r="S274" s="3524">
        <v>1952</v>
      </c>
      <c r="T274" s="3524">
        <v>0</v>
      </c>
    </row>
    <row r="275" spans="1:20" ht="14.25">
      <c r="A275" s="3500" t="s">
        <v>4174</v>
      </c>
      <c r="B275" s="3500" t="s">
        <v>3454</v>
      </c>
      <c r="C275" s="3500" t="s">
        <v>4175</v>
      </c>
      <c r="D275" s="3500" t="s">
        <v>3629</v>
      </c>
      <c r="E275" s="3500">
        <v>24158</v>
      </c>
      <c r="F275" s="3500">
        <v>55563.4</v>
      </c>
      <c r="G275" s="3500" t="s">
        <v>4165</v>
      </c>
      <c r="H275" s="3500" t="s">
        <v>3457</v>
      </c>
      <c r="I275" s="3500" t="s">
        <v>3408</v>
      </c>
      <c r="J275" s="3500" t="s">
        <v>3427</v>
      </c>
      <c r="K275" s="3500" t="s">
        <v>4166</v>
      </c>
      <c r="L275" s="3500" t="s">
        <v>4166</v>
      </c>
      <c r="M275" s="3500" t="s">
        <v>3460</v>
      </c>
      <c r="N275" s="3500" t="s">
        <v>4167</v>
      </c>
      <c r="O275" s="3500">
        <v>52636</v>
      </c>
      <c r="P275" s="3500">
        <v>10530</v>
      </c>
      <c r="Q275" s="3500" t="s">
        <v>4168</v>
      </c>
      <c r="R275" s="3500">
        <v>52636</v>
      </c>
      <c r="S275" s="3500">
        <v>9473</v>
      </c>
      <c r="T275" s="3500">
        <v>0</v>
      </c>
    </row>
    <row r="276" spans="1:20" s="3183" customFormat="1" ht="14.25">
      <c r="A276" s="3524" t="s">
        <v>4176</v>
      </c>
      <c r="B276" s="3524" t="s">
        <v>3454</v>
      </c>
      <c r="C276" s="3524" t="s">
        <v>4177</v>
      </c>
      <c r="D276" s="3524" t="s">
        <v>3464</v>
      </c>
      <c r="E276" s="3524">
        <v>9876</v>
      </c>
      <c r="F276" s="3524">
        <v>17776.8</v>
      </c>
      <c r="G276" s="3524" t="s">
        <v>4178</v>
      </c>
      <c r="H276" s="3524" t="s">
        <v>3457</v>
      </c>
      <c r="I276" s="3524" t="s">
        <v>3408</v>
      </c>
      <c r="J276" s="3524" t="s">
        <v>3427</v>
      </c>
      <c r="K276" s="3524" t="s">
        <v>4179</v>
      </c>
      <c r="L276" s="3524" t="s">
        <v>4179</v>
      </c>
      <c r="M276" s="3524" t="s">
        <v>3460</v>
      </c>
      <c r="N276" s="3524" t="s">
        <v>3484</v>
      </c>
      <c r="O276" s="3524">
        <v>6080</v>
      </c>
      <c r="P276" s="3524">
        <v>1980</v>
      </c>
      <c r="Q276" s="3524" t="s">
        <v>4180</v>
      </c>
      <c r="R276" s="3524">
        <v>6080</v>
      </c>
      <c r="S276" s="3524">
        <v>3420</v>
      </c>
      <c r="T276" s="3524">
        <v>0</v>
      </c>
    </row>
    <row r="277" spans="1:20" ht="14.25">
      <c r="A277" s="3500" t="s">
        <v>4181</v>
      </c>
      <c r="B277" s="3500" t="s">
        <v>3454</v>
      </c>
      <c r="C277" s="3500" t="s">
        <v>4182</v>
      </c>
      <c r="D277" s="3500" t="s">
        <v>3464</v>
      </c>
      <c r="E277" s="3500">
        <v>42162</v>
      </c>
      <c r="F277" s="3500">
        <v>84324</v>
      </c>
      <c r="G277" s="3500" t="s">
        <v>3728</v>
      </c>
      <c r="H277" s="3500" t="s">
        <v>3457</v>
      </c>
      <c r="I277" s="3500" t="s">
        <v>3408</v>
      </c>
      <c r="J277" s="3500" t="s">
        <v>3427</v>
      </c>
      <c r="K277" s="3500" t="s">
        <v>4179</v>
      </c>
      <c r="L277" s="3500" t="s">
        <v>4179</v>
      </c>
      <c r="M277" s="3500" t="s">
        <v>3460</v>
      </c>
      <c r="N277" s="3500" t="s">
        <v>4183</v>
      </c>
      <c r="O277" s="3500">
        <v>26570</v>
      </c>
      <c r="P277" s="3500">
        <v>5320</v>
      </c>
      <c r="Q277" s="3500" t="s">
        <v>4180</v>
      </c>
      <c r="R277" s="3500">
        <v>26570</v>
      </c>
      <c r="S277" s="3500">
        <v>3151</v>
      </c>
      <c r="T277" s="3500">
        <v>0</v>
      </c>
    </row>
    <row r="278" spans="1:20" ht="14.25">
      <c r="A278" s="3500" t="s">
        <v>4184</v>
      </c>
      <c r="B278" s="3500" t="s">
        <v>3454</v>
      </c>
      <c r="C278" s="3500" t="s">
        <v>4185</v>
      </c>
      <c r="D278" s="3500" t="s">
        <v>3455</v>
      </c>
      <c r="E278" s="3500">
        <v>96992</v>
      </c>
      <c r="F278" s="3500">
        <v>126089.60000000001</v>
      </c>
      <c r="G278" s="3500" t="s">
        <v>4083</v>
      </c>
      <c r="H278" s="3500" t="s">
        <v>3457</v>
      </c>
      <c r="I278" s="3500" t="s">
        <v>3973</v>
      </c>
      <c r="J278" s="3500" t="s">
        <v>3427</v>
      </c>
      <c r="K278" s="3500" t="s">
        <v>4179</v>
      </c>
      <c r="L278" s="3500" t="s">
        <v>4179</v>
      </c>
      <c r="M278" s="3500" t="s">
        <v>3460</v>
      </c>
      <c r="N278" s="3500" t="s">
        <v>4186</v>
      </c>
      <c r="O278" s="3500">
        <v>18920</v>
      </c>
      <c r="P278" s="3500">
        <v>3790</v>
      </c>
      <c r="Q278" s="3500" t="s">
        <v>4180</v>
      </c>
      <c r="R278" s="3500">
        <v>18920</v>
      </c>
      <c r="S278" s="3500">
        <v>1501</v>
      </c>
      <c r="T278" s="3500">
        <v>0</v>
      </c>
    </row>
    <row r="279" spans="1:20" ht="14.25">
      <c r="A279" s="3500" t="s">
        <v>4187</v>
      </c>
      <c r="B279" s="3500" t="s">
        <v>3454</v>
      </c>
      <c r="C279" s="3500" t="s">
        <v>4188</v>
      </c>
      <c r="D279" s="3500" t="s">
        <v>3455</v>
      </c>
      <c r="E279" s="3500">
        <v>9014</v>
      </c>
      <c r="F279" s="3500">
        <v>22535</v>
      </c>
      <c r="G279" s="3500" t="s">
        <v>3511</v>
      </c>
      <c r="H279" s="3500" t="s">
        <v>3457</v>
      </c>
      <c r="I279" s="3500" t="s">
        <v>3407</v>
      </c>
      <c r="J279" s="3500" t="s">
        <v>3427</v>
      </c>
      <c r="K279" s="3500" t="s">
        <v>4179</v>
      </c>
      <c r="L279" s="3500" t="s">
        <v>4179</v>
      </c>
      <c r="M279" s="3500" t="s">
        <v>3460</v>
      </c>
      <c r="N279" s="3500" t="s">
        <v>3484</v>
      </c>
      <c r="O279" s="3500">
        <v>3790</v>
      </c>
      <c r="P279" s="3500">
        <v>1980</v>
      </c>
      <c r="Q279" s="3500" t="s">
        <v>4180</v>
      </c>
      <c r="R279" s="3500">
        <v>3790</v>
      </c>
      <c r="S279" s="3500">
        <v>1682</v>
      </c>
      <c r="T279" s="3500">
        <v>0</v>
      </c>
    </row>
    <row r="280" spans="1:20" ht="14.25">
      <c r="A280" s="3500" t="s">
        <v>4189</v>
      </c>
      <c r="B280" s="3500" t="s">
        <v>3454</v>
      </c>
      <c r="C280" s="3500" t="s">
        <v>4190</v>
      </c>
      <c r="D280" s="3500" t="s">
        <v>3455</v>
      </c>
      <c r="E280" s="3500">
        <v>3300</v>
      </c>
      <c r="F280" s="3500">
        <v>1980</v>
      </c>
      <c r="G280" s="3500" t="s">
        <v>3582</v>
      </c>
      <c r="H280" s="3500" t="s">
        <v>3457</v>
      </c>
      <c r="I280" s="3500" t="s">
        <v>3458</v>
      </c>
      <c r="J280" s="3500" t="s">
        <v>3427</v>
      </c>
      <c r="K280" s="3500" t="s">
        <v>4179</v>
      </c>
      <c r="L280" s="3500" t="s">
        <v>4179</v>
      </c>
      <c r="M280" s="3500" t="s">
        <v>3460</v>
      </c>
      <c r="N280" s="3500" t="s">
        <v>3879</v>
      </c>
      <c r="O280" s="3500">
        <v>620</v>
      </c>
      <c r="P280" s="3500">
        <v>130</v>
      </c>
      <c r="Q280" s="3500" t="s">
        <v>4180</v>
      </c>
      <c r="R280" s="3500">
        <v>620</v>
      </c>
      <c r="S280" s="3500">
        <v>3131</v>
      </c>
      <c r="T280" s="3500">
        <v>0</v>
      </c>
    </row>
    <row r="281" spans="1:20" ht="14.25">
      <c r="A281" s="3500" t="s">
        <v>4191</v>
      </c>
      <c r="B281" s="3500" t="s">
        <v>3454</v>
      </c>
      <c r="C281" s="3500" t="s">
        <v>4191</v>
      </c>
      <c r="D281" s="3500" t="s">
        <v>3464</v>
      </c>
      <c r="E281" s="3500">
        <v>17998</v>
      </c>
      <c r="F281" s="3500">
        <v>43195.199999999997</v>
      </c>
      <c r="G281" s="3500" t="s">
        <v>3701</v>
      </c>
      <c r="H281" s="3500" t="s">
        <v>3457</v>
      </c>
      <c r="I281" s="3500" t="s">
        <v>3408</v>
      </c>
      <c r="J281" s="3500" t="s">
        <v>3427</v>
      </c>
      <c r="K281" s="3500" t="s">
        <v>4192</v>
      </c>
      <c r="L281" s="3500" t="s">
        <v>4192</v>
      </c>
      <c r="M281" s="3500" t="s">
        <v>3460</v>
      </c>
      <c r="N281" s="3500" t="s">
        <v>4193</v>
      </c>
      <c r="O281" s="3500">
        <v>4050</v>
      </c>
      <c r="P281" s="3500">
        <v>4050</v>
      </c>
      <c r="Q281" s="3500" t="s">
        <v>4194</v>
      </c>
      <c r="R281" s="3500">
        <v>4050</v>
      </c>
      <c r="S281" s="3500">
        <v>938</v>
      </c>
      <c r="T281" s="3500">
        <v>0</v>
      </c>
    </row>
    <row r="282" spans="1:20" ht="14.25">
      <c r="A282" s="3500" t="s">
        <v>4195</v>
      </c>
      <c r="B282" s="3500" t="s">
        <v>3454</v>
      </c>
      <c r="C282" s="3500" t="s">
        <v>4195</v>
      </c>
      <c r="D282" s="3500" t="s">
        <v>3455</v>
      </c>
      <c r="E282" s="3500">
        <v>1333</v>
      </c>
      <c r="F282" s="3500">
        <v>799.8</v>
      </c>
      <c r="G282" s="3500" t="s">
        <v>3582</v>
      </c>
      <c r="H282" s="3500" t="s">
        <v>3457</v>
      </c>
      <c r="I282" s="3500" t="s">
        <v>4196</v>
      </c>
      <c r="J282" s="3500" t="s">
        <v>3427</v>
      </c>
      <c r="K282" s="3500" t="s">
        <v>4197</v>
      </c>
      <c r="L282" s="3500" t="s">
        <v>4197</v>
      </c>
      <c r="M282" s="3500" t="s">
        <v>3460</v>
      </c>
      <c r="N282" s="3500" t="s">
        <v>4198</v>
      </c>
      <c r="O282" s="3500">
        <v>63</v>
      </c>
      <c r="P282" s="3500">
        <v>40</v>
      </c>
      <c r="Q282" s="3500" t="s">
        <v>4199</v>
      </c>
      <c r="R282" s="3500">
        <v>63</v>
      </c>
      <c r="S282" s="3500">
        <v>788</v>
      </c>
      <c r="T282" s="3500">
        <v>0</v>
      </c>
    </row>
    <row r="283" spans="1:20" ht="14.25">
      <c r="A283" s="3500" t="s">
        <v>4200</v>
      </c>
      <c r="B283" s="3500" t="s">
        <v>3454</v>
      </c>
      <c r="C283" s="3500" t="s">
        <v>4200</v>
      </c>
      <c r="D283" s="3500" t="s">
        <v>3455</v>
      </c>
      <c r="E283" s="3500">
        <v>8294</v>
      </c>
      <c r="F283" s="3500">
        <v>12441</v>
      </c>
      <c r="G283" s="3500" t="s">
        <v>3579</v>
      </c>
      <c r="H283" s="3500" t="s">
        <v>3457</v>
      </c>
      <c r="I283" s="3500" t="s">
        <v>2447</v>
      </c>
      <c r="J283" s="3500" t="s">
        <v>3427</v>
      </c>
      <c r="K283" s="3500" t="s">
        <v>4197</v>
      </c>
      <c r="L283" s="3500" t="s">
        <v>4197</v>
      </c>
      <c r="M283" s="3500" t="s">
        <v>3460</v>
      </c>
      <c r="N283" s="3500" t="s">
        <v>3580</v>
      </c>
      <c r="O283" s="3500">
        <v>2489</v>
      </c>
      <c r="P283" s="3500">
        <v>1300</v>
      </c>
      <c r="Q283" s="3500" t="s">
        <v>4199</v>
      </c>
      <c r="R283" s="3500">
        <v>2489</v>
      </c>
      <c r="S283" s="3500">
        <v>2001</v>
      </c>
      <c r="T283" s="3500">
        <v>0</v>
      </c>
    </row>
    <row r="284" spans="1:20" ht="14.25">
      <c r="A284" s="3500" t="s">
        <v>4201</v>
      </c>
      <c r="B284" s="3500" t="s">
        <v>3454</v>
      </c>
      <c r="C284" s="3500" t="s">
        <v>4201</v>
      </c>
      <c r="D284" s="3500" t="s">
        <v>3464</v>
      </c>
      <c r="E284" s="3500">
        <v>20001</v>
      </c>
      <c r="F284" s="3500">
        <v>40002</v>
      </c>
      <c r="G284" s="3500" t="s">
        <v>3523</v>
      </c>
      <c r="H284" s="3500" t="s">
        <v>3457</v>
      </c>
      <c r="I284" s="3500" t="s">
        <v>3408</v>
      </c>
      <c r="J284" s="3500" t="s">
        <v>3427</v>
      </c>
      <c r="K284" s="3500" t="s">
        <v>4197</v>
      </c>
      <c r="L284" s="3500" t="s">
        <v>4197</v>
      </c>
      <c r="M284" s="3500" t="s">
        <v>3460</v>
      </c>
      <c r="N284" s="3500" t="s">
        <v>4202</v>
      </c>
      <c r="O284" s="3500">
        <v>6001</v>
      </c>
      <c r="P284" s="3500">
        <v>3100</v>
      </c>
      <c r="Q284" s="3500" t="s">
        <v>4199</v>
      </c>
      <c r="R284" s="3500">
        <v>6001</v>
      </c>
      <c r="S284" s="3500">
        <v>1500</v>
      </c>
      <c r="T284" s="3500">
        <v>0</v>
      </c>
    </row>
    <row r="285" spans="1:20" ht="14.25">
      <c r="A285" s="3500" t="s">
        <v>4203</v>
      </c>
      <c r="B285" s="3500" t="s">
        <v>3454</v>
      </c>
      <c r="C285" s="3500" t="s">
        <v>4203</v>
      </c>
      <c r="D285" s="3500" t="s">
        <v>3455</v>
      </c>
      <c r="E285" s="3500">
        <v>2856</v>
      </c>
      <c r="F285" s="3500">
        <v>4284</v>
      </c>
      <c r="G285" s="3500" t="s">
        <v>3579</v>
      </c>
      <c r="H285" s="3500" t="s">
        <v>3457</v>
      </c>
      <c r="I285" s="3500" t="s">
        <v>2447</v>
      </c>
      <c r="J285" s="3500" t="s">
        <v>3427</v>
      </c>
      <c r="K285" s="3500" t="s">
        <v>4197</v>
      </c>
      <c r="L285" s="3500" t="s">
        <v>4197</v>
      </c>
      <c r="M285" s="3500" t="s">
        <v>3460</v>
      </c>
      <c r="N285" s="3500" t="s">
        <v>3580</v>
      </c>
      <c r="O285" s="3500">
        <v>857</v>
      </c>
      <c r="P285" s="3500">
        <v>430</v>
      </c>
      <c r="Q285" s="3500" t="s">
        <v>4199</v>
      </c>
      <c r="R285" s="3500">
        <v>857</v>
      </c>
      <c r="S285" s="3500">
        <v>2000</v>
      </c>
      <c r="T285" s="3500">
        <v>0</v>
      </c>
    </row>
    <row r="286" spans="1:20" ht="14.25">
      <c r="A286" s="3500" t="s">
        <v>4204</v>
      </c>
      <c r="B286" s="3500" t="s">
        <v>3454</v>
      </c>
      <c r="C286" s="3500" t="s">
        <v>4204</v>
      </c>
      <c r="D286" s="3500" t="s">
        <v>3455</v>
      </c>
      <c r="E286" s="3500">
        <v>3575</v>
      </c>
      <c r="F286" s="3500">
        <v>5362.5</v>
      </c>
      <c r="G286" s="3500" t="s">
        <v>3579</v>
      </c>
      <c r="H286" s="3500" t="s">
        <v>3457</v>
      </c>
      <c r="I286" s="3500" t="s">
        <v>2447</v>
      </c>
      <c r="J286" s="3500" t="s">
        <v>3427</v>
      </c>
      <c r="K286" s="3500" t="s">
        <v>4197</v>
      </c>
      <c r="L286" s="3500" t="s">
        <v>4197</v>
      </c>
      <c r="M286" s="3500" t="s">
        <v>3460</v>
      </c>
      <c r="N286" s="3500" t="s">
        <v>3580</v>
      </c>
      <c r="O286" s="3500">
        <v>1073</v>
      </c>
      <c r="P286" s="3500">
        <v>540</v>
      </c>
      <c r="Q286" s="3500" t="s">
        <v>4199</v>
      </c>
      <c r="R286" s="3500">
        <v>1073</v>
      </c>
      <c r="S286" s="3500">
        <v>2001</v>
      </c>
      <c r="T286" s="3500">
        <v>0</v>
      </c>
    </row>
    <row r="287" spans="1:20" ht="14.25">
      <c r="A287" s="3500" t="s">
        <v>4205</v>
      </c>
      <c r="B287" s="3500" t="s">
        <v>3454</v>
      </c>
      <c r="C287" s="3500" t="s">
        <v>4206</v>
      </c>
      <c r="D287" s="3500" t="s">
        <v>3455</v>
      </c>
      <c r="E287" s="3500">
        <v>14814</v>
      </c>
      <c r="F287" s="3500">
        <v>81477</v>
      </c>
      <c r="G287" s="3500" t="s">
        <v>4207</v>
      </c>
      <c r="H287" s="3500" t="s">
        <v>3457</v>
      </c>
      <c r="I287" s="3500" t="s">
        <v>3407</v>
      </c>
      <c r="J287" s="3500" t="s">
        <v>3427</v>
      </c>
      <c r="K287" s="3500" t="s">
        <v>4208</v>
      </c>
      <c r="L287" s="3500" t="s">
        <v>4208</v>
      </c>
      <c r="M287" s="3500" t="s">
        <v>3460</v>
      </c>
      <c r="N287" s="3500" t="s">
        <v>3550</v>
      </c>
      <c r="O287" s="3500">
        <v>34241</v>
      </c>
      <c r="P287" s="3500">
        <v>6849</v>
      </c>
      <c r="Q287" s="3500" t="s">
        <v>4209</v>
      </c>
      <c r="R287" s="3500">
        <v>34241</v>
      </c>
      <c r="S287" s="3500">
        <v>4203</v>
      </c>
      <c r="T287" s="3500">
        <v>0</v>
      </c>
    </row>
    <row r="288" spans="1:20" ht="14.25">
      <c r="A288" s="3500" t="s">
        <v>4210</v>
      </c>
      <c r="B288" s="3500" t="s">
        <v>3454</v>
      </c>
      <c r="C288" s="3500" t="s">
        <v>4211</v>
      </c>
      <c r="D288" s="3500" t="s">
        <v>3455</v>
      </c>
      <c r="E288" s="3500">
        <v>24657</v>
      </c>
      <c r="F288" s="3500">
        <v>41916.9</v>
      </c>
      <c r="G288" s="3500" t="s">
        <v>4212</v>
      </c>
      <c r="H288" s="3500" t="s">
        <v>3457</v>
      </c>
      <c r="I288" s="3500" t="s">
        <v>3407</v>
      </c>
      <c r="J288" s="3500" t="s">
        <v>3427</v>
      </c>
      <c r="K288" s="3500" t="s">
        <v>4208</v>
      </c>
      <c r="L288" s="3500" t="s">
        <v>4208</v>
      </c>
      <c r="M288" s="3500" t="s">
        <v>3460</v>
      </c>
      <c r="N288" s="3500" t="s">
        <v>4213</v>
      </c>
      <c r="O288" s="3500">
        <v>16984</v>
      </c>
      <c r="P288" s="3500">
        <v>3500</v>
      </c>
      <c r="Q288" s="3500" t="s">
        <v>4209</v>
      </c>
      <c r="R288" s="3500">
        <v>16984</v>
      </c>
      <c r="S288" s="3500">
        <v>4052</v>
      </c>
      <c r="T288" s="3500">
        <v>0</v>
      </c>
    </row>
    <row r="289" spans="1:20" ht="14.25">
      <c r="A289" s="3500" t="s">
        <v>4214</v>
      </c>
      <c r="B289" s="3500" t="s">
        <v>3454</v>
      </c>
      <c r="C289" s="3500" t="s">
        <v>4215</v>
      </c>
      <c r="D289" s="3500" t="s">
        <v>3455</v>
      </c>
      <c r="E289" s="3500">
        <v>10102</v>
      </c>
      <c r="F289" s="3500">
        <v>13132.6</v>
      </c>
      <c r="G289" s="3500" t="s">
        <v>3719</v>
      </c>
      <c r="H289" s="3500" t="s">
        <v>3457</v>
      </c>
      <c r="I289" s="3500" t="s">
        <v>3407</v>
      </c>
      <c r="J289" s="3500" t="s">
        <v>3427</v>
      </c>
      <c r="K289" s="3500" t="s">
        <v>4208</v>
      </c>
      <c r="L289" s="3500" t="s">
        <v>4208</v>
      </c>
      <c r="M289" s="3500" t="s">
        <v>3460</v>
      </c>
      <c r="N289" s="3500" t="s">
        <v>4216</v>
      </c>
      <c r="O289" s="3500">
        <v>1137</v>
      </c>
      <c r="P289" s="3500">
        <v>300</v>
      </c>
      <c r="Q289" s="3500" t="s">
        <v>4209</v>
      </c>
      <c r="R289" s="3500">
        <v>1137</v>
      </c>
      <c r="S289" s="3500">
        <v>866</v>
      </c>
      <c r="T289" s="3500">
        <v>0</v>
      </c>
    </row>
    <row r="290" spans="1:20" ht="14.25">
      <c r="A290" s="3500" t="s">
        <v>4217</v>
      </c>
      <c r="B290" s="3500" t="s">
        <v>3454</v>
      </c>
      <c r="C290" s="3500" t="s">
        <v>4217</v>
      </c>
      <c r="D290" s="3500" t="s">
        <v>3464</v>
      </c>
      <c r="E290" s="3500">
        <v>19282</v>
      </c>
      <c r="F290" s="3500">
        <v>23138.400000000001</v>
      </c>
      <c r="G290" s="3500" t="s">
        <v>3773</v>
      </c>
      <c r="H290" s="3500" t="s">
        <v>3457</v>
      </c>
      <c r="I290" s="3500" t="s">
        <v>3408</v>
      </c>
      <c r="J290" s="3500" t="s">
        <v>3427</v>
      </c>
      <c r="K290" s="3500" t="s">
        <v>4218</v>
      </c>
      <c r="L290" s="3500" t="s">
        <v>4218</v>
      </c>
      <c r="M290" s="3500" t="s">
        <v>3460</v>
      </c>
      <c r="N290" s="3500" t="s">
        <v>4219</v>
      </c>
      <c r="O290" s="3500">
        <v>8350</v>
      </c>
      <c r="P290" s="3500">
        <v>7635</v>
      </c>
      <c r="Q290" s="3500" t="s">
        <v>4220</v>
      </c>
      <c r="R290" s="3500">
        <v>8350</v>
      </c>
      <c r="S290" s="3500">
        <v>3609</v>
      </c>
      <c r="T290" s="3500">
        <v>0</v>
      </c>
    </row>
    <row r="291" spans="1:20" ht="14.25">
      <c r="A291" s="3500" t="s">
        <v>4221</v>
      </c>
      <c r="B291" s="3500" t="s">
        <v>3454</v>
      </c>
      <c r="C291" s="3500" t="s">
        <v>4221</v>
      </c>
      <c r="D291" s="3500" t="s">
        <v>3464</v>
      </c>
      <c r="E291" s="3500">
        <v>19978</v>
      </c>
      <c r="F291" s="3500">
        <v>23973.599999999999</v>
      </c>
      <c r="G291" s="3500" t="s">
        <v>4222</v>
      </c>
      <c r="H291" s="3500" t="s">
        <v>3457</v>
      </c>
      <c r="I291" s="3500" t="s">
        <v>3408</v>
      </c>
      <c r="J291" s="3500" t="s">
        <v>3427</v>
      </c>
      <c r="K291" s="3500" t="s">
        <v>4218</v>
      </c>
      <c r="L291" s="3500" t="s">
        <v>4218</v>
      </c>
      <c r="M291" s="3500" t="s">
        <v>3460</v>
      </c>
      <c r="N291" s="3500" t="s">
        <v>4219</v>
      </c>
      <c r="O291" s="3500">
        <v>8650</v>
      </c>
      <c r="P291" s="3500">
        <v>7635</v>
      </c>
      <c r="Q291" s="3500" t="s">
        <v>4220</v>
      </c>
      <c r="R291" s="3500">
        <v>8650</v>
      </c>
      <c r="S291" s="3500">
        <v>3608</v>
      </c>
      <c r="T291" s="3500">
        <v>0</v>
      </c>
    </row>
    <row r="292" spans="1:20" ht="14.25">
      <c r="A292" s="3500" t="s">
        <v>4223</v>
      </c>
      <c r="B292" s="3500" t="s">
        <v>3454</v>
      </c>
      <c r="C292" s="3500" t="s">
        <v>4223</v>
      </c>
      <c r="D292" s="3500" t="s">
        <v>3464</v>
      </c>
      <c r="E292" s="3500">
        <v>19493</v>
      </c>
      <c r="F292" s="3500">
        <v>23391.599999999999</v>
      </c>
      <c r="G292" s="3500" t="s">
        <v>3773</v>
      </c>
      <c r="H292" s="3500" t="s">
        <v>3457</v>
      </c>
      <c r="I292" s="3500" t="s">
        <v>3408</v>
      </c>
      <c r="J292" s="3500" t="s">
        <v>3427</v>
      </c>
      <c r="K292" s="3500" t="s">
        <v>4218</v>
      </c>
      <c r="L292" s="3500" t="s">
        <v>4218</v>
      </c>
      <c r="M292" s="3500" t="s">
        <v>3460</v>
      </c>
      <c r="N292" s="3500" t="s">
        <v>4219</v>
      </c>
      <c r="O292" s="3500">
        <v>8450</v>
      </c>
      <c r="P292" s="3500">
        <v>7635</v>
      </c>
      <c r="Q292" s="3500" t="s">
        <v>4220</v>
      </c>
      <c r="R292" s="3500">
        <v>8450</v>
      </c>
      <c r="S292" s="3500">
        <v>3612</v>
      </c>
      <c r="T292" s="3500">
        <v>0</v>
      </c>
    </row>
    <row r="293" spans="1:20" ht="14.25">
      <c r="A293" s="3500" t="s">
        <v>4224</v>
      </c>
      <c r="B293" s="3500" t="s">
        <v>3454</v>
      </c>
      <c r="C293" s="3500" t="s">
        <v>4224</v>
      </c>
      <c r="D293" s="3500" t="s">
        <v>3455</v>
      </c>
      <c r="E293" s="3500">
        <v>942</v>
      </c>
      <c r="F293" s="3500">
        <v>499.26</v>
      </c>
      <c r="G293" s="3500" t="s">
        <v>4225</v>
      </c>
      <c r="H293" s="3500" t="s">
        <v>3457</v>
      </c>
      <c r="I293" s="3500" t="s">
        <v>2447</v>
      </c>
      <c r="J293" s="3500" t="s">
        <v>3427</v>
      </c>
      <c r="K293" s="3500" t="s">
        <v>4226</v>
      </c>
      <c r="L293" s="3500" t="s">
        <v>4226</v>
      </c>
      <c r="M293" s="3500" t="s">
        <v>3460</v>
      </c>
      <c r="N293" s="3500" t="s">
        <v>4227</v>
      </c>
      <c r="O293" s="3500">
        <v>71</v>
      </c>
      <c r="P293" s="3500">
        <v>71</v>
      </c>
      <c r="Q293" s="3500" t="s">
        <v>4228</v>
      </c>
      <c r="R293" s="3500">
        <v>71</v>
      </c>
      <c r="S293" s="3500">
        <v>1422</v>
      </c>
      <c r="T293" s="3500">
        <v>0</v>
      </c>
    </row>
    <row r="294" spans="1:20" s="3183" customFormat="1" ht="14.25">
      <c r="A294" s="3524" t="s">
        <v>4229</v>
      </c>
      <c r="B294" s="3524" t="s">
        <v>3454</v>
      </c>
      <c r="C294" s="3524" t="s">
        <v>4230</v>
      </c>
      <c r="D294" s="3524" t="s">
        <v>3464</v>
      </c>
      <c r="E294" s="3524">
        <v>17149</v>
      </c>
      <c r="F294" s="3524">
        <v>20578.8</v>
      </c>
      <c r="G294" s="3524" t="s">
        <v>3773</v>
      </c>
      <c r="H294" s="3524" t="s">
        <v>3457</v>
      </c>
      <c r="I294" s="3524" t="s">
        <v>3408</v>
      </c>
      <c r="J294" s="3524" t="s">
        <v>3427</v>
      </c>
      <c r="K294" s="3524" t="s">
        <v>4231</v>
      </c>
      <c r="L294" s="3524" t="s">
        <v>4231</v>
      </c>
      <c r="M294" s="3524" t="s">
        <v>3460</v>
      </c>
      <c r="N294" s="3524" t="s">
        <v>4183</v>
      </c>
      <c r="O294" s="3524">
        <v>9270</v>
      </c>
      <c r="P294" s="3524">
        <v>4740</v>
      </c>
      <c r="Q294" s="3524" t="s">
        <v>4232</v>
      </c>
      <c r="R294" s="3524">
        <v>9270</v>
      </c>
      <c r="S294" s="3524">
        <v>4505</v>
      </c>
      <c r="T294" s="3524">
        <v>0</v>
      </c>
    </row>
    <row r="295" spans="1:20" ht="14.25">
      <c r="A295" s="3500" t="s">
        <v>4233</v>
      </c>
      <c r="B295" s="3500" t="s">
        <v>3454</v>
      </c>
      <c r="C295" s="3500" t="s">
        <v>4234</v>
      </c>
      <c r="D295" s="3500" t="s">
        <v>3464</v>
      </c>
      <c r="E295" s="3500">
        <v>19070</v>
      </c>
      <c r="F295" s="3500">
        <v>26698</v>
      </c>
      <c r="G295" s="3500" t="s">
        <v>4235</v>
      </c>
      <c r="H295" s="3500" t="s">
        <v>3457</v>
      </c>
      <c r="I295" s="3500" t="s">
        <v>3408</v>
      </c>
      <c r="J295" s="3500" t="s">
        <v>3427</v>
      </c>
      <c r="K295" s="3500" t="s">
        <v>4231</v>
      </c>
      <c r="L295" s="3500" t="s">
        <v>4231</v>
      </c>
      <c r="M295" s="3500" t="s">
        <v>3460</v>
      </c>
      <c r="N295" s="3500" t="s">
        <v>4183</v>
      </c>
      <c r="O295" s="3500">
        <v>10880</v>
      </c>
      <c r="P295" s="3500">
        <v>4740</v>
      </c>
      <c r="Q295" s="3500" t="s">
        <v>4232</v>
      </c>
      <c r="R295" s="3500">
        <v>10880</v>
      </c>
      <c r="S295" s="3500">
        <v>4075</v>
      </c>
      <c r="T295" s="3500">
        <v>0</v>
      </c>
    </row>
    <row r="296" spans="1:20" ht="14.25">
      <c r="A296" s="3500" t="s">
        <v>4236</v>
      </c>
      <c r="B296" s="3500" t="s">
        <v>3454</v>
      </c>
      <c r="C296" s="3500" t="s">
        <v>4237</v>
      </c>
      <c r="D296" s="3500" t="s">
        <v>3464</v>
      </c>
      <c r="E296" s="3500">
        <v>76028</v>
      </c>
      <c r="F296" s="3500">
        <v>159658.79999999999</v>
      </c>
      <c r="G296" s="3500" t="s">
        <v>3991</v>
      </c>
      <c r="H296" s="3500" t="s">
        <v>3457</v>
      </c>
      <c r="I296" s="3500" t="s">
        <v>3408</v>
      </c>
      <c r="J296" s="3500" t="s">
        <v>3427</v>
      </c>
      <c r="K296" s="3500" t="s">
        <v>4238</v>
      </c>
      <c r="L296" s="3500" t="s">
        <v>4238</v>
      </c>
      <c r="M296" s="3500" t="s">
        <v>3460</v>
      </c>
      <c r="N296" s="3500" t="s">
        <v>4239</v>
      </c>
      <c r="O296" s="3500">
        <v>16605</v>
      </c>
      <c r="P296" s="3500">
        <v>4982</v>
      </c>
      <c r="Q296" s="3500" t="s">
        <v>4240</v>
      </c>
      <c r="R296" s="3500">
        <v>16605</v>
      </c>
      <c r="S296" s="3500">
        <v>1040</v>
      </c>
      <c r="T296" s="3500">
        <v>0</v>
      </c>
    </row>
    <row r="297" spans="1:20" ht="14.25">
      <c r="A297" s="3500" t="s">
        <v>4241</v>
      </c>
      <c r="B297" s="3500" t="s">
        <v>3454</v>
      </c>
      <c r="C297" s="3500" t="s">
        <v>4242</v>
      </c>
      <c r="D297" s="3500" t="s">
        <v>3455</v>
      </c>
      <c r="E297" s="3500">
        <v>11575</v>
      </c>
      <c r="F297" s="3500">
        <v>23150</v>
      </c>
      <c r="G297" s="3500" t="s">
        <v>3728</v>
      </c>
      <c r="H297" s="3500" t="s">
        <v>3457</v>
      </c>
      <c r="I297" s="3500" t="s">
        <v>3407</v>
      </c>
      <c r="J297" s="3500" t="s">
        <v>3427</v>
      </c>
      <c r="K297" s="3500" t="s">
        <v>4231</v>
      </c>
      <c r="L297" s="3500" t="s">
        <v>4231</v>
      </c>
      <c r="M297" s="3500" t="s">
        <v>3460</v>
      </c>
      <c r="N297" s="3500" t="s">
        <v>4183</v>
      </c>
      <c r="O297" s="3500">
        <v>3480</v>
      </c>
      <c r="P297" s="3500">
        <v>700</v>
      </c>
      <c r="Q297" s="3500" t="s">
        <v>4232</v>
      </c>
      <c r="R297" s="3500">
        <v>3480</v>
      </c>
      <c r="S297" s="3500">
        <v>1503</v>
      </c>
      <c r="T297" s="3500">
        <v>0</v>
      </c>
    </row>
    <row r="298" spans="1:20" ht="14.25">
      <c r="A298" s="3500" t="s">
        <v>4243</v>
      </c>
      <c r="B298" s="3500" t="s">
        <v>3454</v>
      </c>
      <c r="C298" s="3500" t="s">
        <v>4243</v>
      </c>
      <c r="D298" s="3500" t="s">
        <v>3455</v>
      </c>
      <c r="E298" s="3500">
        <v>13961</v>
      </c>
      <c r="F298" s="3500">
        <v>32110.3</v>
      </c>
      <c r="G298" s="3500" t="s">
        <v>4244</v>
      </c>
      <c r="H298" s="3500" t="s">
        <v>3457</v>
      </c>
      <c r="I298" s="3500" t="s">
        <v>2447</v>
      </c>
      <c r="J298" s="3500" t="s">
        <v>3427</v>
      </c>
      <c r="K298" s="3500" t="s">
        <v>4245</v>
      </c>
      <c r="L298" s="3500" t="s">
        <v>4245</v>
      </c>
      <c r="M298" s="3500" t="s">
        <v>3460</v>
      </c>
      <c r="N298" s="3500" t="s">
        <v>3725</v>
      </c>
      <c r="O298" s="3500">
        <v>3142</v>
      </c>
      <c r="P298" s="3500">
        <v>3142</v>
      </c>
      <c r="Q298" s="3500" t="s">
        <v>4246</v>
      </c>
      <c r="R298" s="3500">
        <v>3142</v>
      </c>
      <c r="S298" s="3500">
        <v>979</v>
      </c>
      <c r="T298" s="3500">
        <v>0</v>
      </c>
    </row>
    <row r="299" spans="1:20" ht="14.25">
      <c r="A299" s="3500" t="s">
        <v>4247</v>
      </c>
      <c r="B299" s="3500" t="s">
        <v>3454</v>
      </c>
      <c r="C299" s="3500" t="s">
        <v>4248</v>
      </c>
      <c r="D299" s="3500" t="s">
        <v>3455</v>
      </c>
      <c r="E299" s="3500">
        <v>19574</v>
      </c>
      <c r="F299" s="3500">
        <v>48935</v>
      </c>
      <c r="G299" s="3500" t="s">
        <v>4029</v>
      </c>
      <c r="H299" s="3500" t="s">
        <v>3457</v>
      </c>
      <c r="I299" s="3500" t="s">
        <v>4196</v>
      </c>
      <c r="J299" s="3500" t="s">
        <v>3427</v>
      </c>
      <c r="K299" s="3500" t="s">
        <v>4249</v>
      </c>
      <c r="L299" s="3500" t="s">
        <v>4249</v>
      </c>
      <c r="M299" s="3500" t="s">
        <v>3460</v>
      </c>
      <c r="N299" s="3500" t="s">
        <v>4250</v>
      </c>
      <c r="O299" s="3500">
        <v>3606</v>
      </c>
      <c r="P299" s="3500">
        <v>3606</v>
      </c>
      <c r="Q299" s="3500" t="s">
        <v>4251</v>
      </c>
      <c r="R299" s="3500">
        <v>3606</v>
      </c>
      <c r="S299" s="3500">
        <v>737</v>
      </c>
      <c r="T299" s="3500">
        <v>0</v>
      </c>
    </row>
    <row r="300" spans="1:20" ht="14.25">
      <c r="A300" s="3500" t="s">
        <v>4252</v>
      </c>
      <c r="B300" s="3500" t="s">
        <v>3454</v>
      </c>
      <c r="C300" s="3500" t="s">
        <v>4253</v>
      </c>
      <c r="D300" s="3500" t="s">
        <v>3455</v>
      </c>
      <c r="E300" s="3500">
        <v>4629</v>
      </c>
      <c r="F300" s="3500">
        <v>9258</v>
      </c>
      <c r="G300" s="3500" t="s">
        <v>3456</v>
      </c>
      <c r="H300" s="3500" t="s">
        <v>3457</v>
      </c>
      <c r="I300" s="3500" t="s">
        <v>2443</v>
      </c>
      <c r="J300" s="3500" t="s">
        <v>3427</v>
      </c>
      <c r="K300" s="3500" t="s">
        <v>4249</v>
      </c>
      <c r="L300" s="3500" t="s">
        <v>4249</v>
      </c>
      <c r="M300" s="3500" t="s">
        <v>3460</v>
      </c>
      <c r="N300" s="3500" t="s">
        <v>4254</v>
      </c>
      <c r="O300" s="3500">
        <v>1600</v>
      </c>
      <c r="P300" s="3500">
        <v>1600</v>
      </c>
      <c r="Q300" s="3500" t="s">
        <v>4251</v>
      </c>
      <c r="R300" s="3500">
        <v>2820</v>
      </c>
      <c r="S300" s="3500">
        <v>3046</v>
      </c>
      <c r="T300" s="3500">
        <v>76.25</v>
      </c>
    </row>
    <row r="301" spans="1:20" ht="14.25">
      <c r="A301" s="3500" t="s">
        <v>4255</v>
      </c>
      <c r="B301" s="3500" t="s">
        <v>3454</v>
      </c>
      <c r="C301" s="3500" t="s">
        <v>4255</v>
      </c>
      <c r="D301" s="3500" t="s">
        <v>3464</v>
      </c>
      <c r="E301" s="3500">
        <v>24105</v>
      </c>
      <c r="F301" s="3500">
        <v>58334.1</v>
      </c>
      <c r="G301" s="3500" t="s">
        <v>4256</v>
      </c>
      <c r="H301" s="3500" t="s">
        <v>3457</v>
      </c>
      <c r="I301" s="3500" t="s">
        <v>3408</v>
      </c>
      <c r="J301" s="3500" t="s">
        <v>3427</v>
      </c>
      <c r="K301" s="3500" t="s">
        <v>4257</v>
      </c>
      <c r="L301" s="3500" t="s">
        <v>4257</v>
      </c>
      <c r="M301" s="3500" t="s">
        <v>3460</v>
      </c>
      <c r="N301" s="3500" t="s">
        <v>4258</v>
      </c>
      <c r="O301" s="3500">
        <v>9780</v>
      </c>
      <c r="P301" s="3500">
        <v>2000</v>
      </c>
      <c r="Q301" s="3500" t="s">
        <v>4259</v>
      </c>
      <c r="R301" s="3500">
        <v>9780</v>
      </c>
      <c r="S301" s="3500">
        <v>1677</v>
      </c>
      <c r="T301" s="3500">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theme="2"/>
  </sheetPr>
  <dimension ref="A1:BG224"/>
  <sheetViews>
    <sheetView topLeftCell="A10" workbookViewId="0">
      <selection activeCell="T55" sqref="T55"/>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04"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180"/>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180"/>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180"/>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180"/>
      <c r="T5" s="3172">
        <v>3</v>
      </c>
      <c r="U5" s="3172">
        <f>T5*T3+T6*T7</f>
        <v>876.44999999999993</v>
      </c>
      <c r="V5" s="3223">
        <f>U5/(T3+T7)</f>
        <v>3.582757633977844</v>
      </c>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180"/>
      <c r="Q6" s="3175" t="s">
        <v>4300</v>
      </c>
      <c r="T6" s="3172">
        <v>5</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180"/>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180"/>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180"/>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180"/>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180"/>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180"/>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180"/>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180"/>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180"/>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180"/>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180"/>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180"/>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180"/>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180"/>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180"/>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180"/>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180"/>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180"/>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180"/>
      <c r="R25" s="3215">
        <f ca="1">R26/R24</f>
        <v>9333.2142999490679</v>
      </c>
      <c r="S25" s="3172">
        <f ca="1">'结果表-2号楼1层商业'!G20</f>
        <v>17032</v>
      </c>
      <c r="T25" s="3172">
        <f ca="1">ROUND($S$25*T22,0)</f>
        <v>8516</v>
      </c>
      <c r="U25" s="3172">
        <f t="shared" ref="U25:V25" ca="1" si="8">ROUND($S$25*U22,0)</f>
        <v>8516</v>
      </c>
      <c r="V25" s="3172">
        <f t="shared" ca="1" si="8"/>
        <v>8516</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180"/>
      <c r="R26" s="3213">
        <f ca="1">SUM(S26:V26)</f>
        <v>16859891.640000001</v>
      </c>
      <c r="S26" s="3172">
        <f ca="1">S24*S25</f>
        <v>2952497.1999999997</v>
      </c>
      <c r="T26" s="3172">
        <f t="shared" ref="T26:V26" ca="1" si="9">T24*T25</f>
        <v>6632516.2800000003</v>
      </c>
      <c r="U26" s="3172">
        <f t="shared" ca="1" si="9"/>
        <v>5133104.16</v>
      </c>
      <c r="V26" s="3172">
        <f t="shared" ca="1" si="9"/>
        <v>2141773.9999999995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180"/>
      <c r="P27" s="3180" t="s">
        <v>4291</v>
      </c>
      <c r="Q27" s="3179">
        <f>COUNTIF($H$2:$H$107,P27)</f>
        <v>56</v>
      </c>
      <c r="R27" s="3179">
        <f>SUMIF($H$2:$H$107,P27,$G$2:$G$107)</f>
        <v>2814.880000000001</v>
      </c>
      <c r="S27" s="3172">
        <f ca="1">'结果表-车位'!G20</f>
        <v>1850</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180"/>
      <c r="R28" s="3213">
        <f ca="1">S27*R27</f>
        <v>5207528.0000000019</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180"/>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180"/>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180"/>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180"/>
      <c r="R32" s="3215">
        <f ca="1">R33/R31</f>
        <v>11539.61267184698</v>
      </c>
      <c r="S32" s="3172">
        <f ca="1">S25</f>
        <v>17032</v>
      </c>
      <c r="T32" s="3172">
        <f ca="1">T25</f>
        <v>8516</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180"/>
      <c r="R33" s="3213">
        <f ca="1">SUM(S33:T33)</f>
        <v>2316692.6399999997</v>
      </c>
      <c r="S33" s="3172">
        <f ca="1">S31*S32</f>
        <v>1214040.96</v>
      </c>
      <c r="T33" s="3172">
        <f t="shared" ref="T33" ca="1" si="10">T31*T32</f>
        <v>1102651.68</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180"/>
      <c r="P34" s="3172" t="s">
        <v>4296</v>
      </c>
      <c r="Q34" s="3172">
        <v>70</v>
      </c>
      <c r="R34" s="3172">
        <v>3082.8099999999981</v>
      </c>
      <c r="S34" s="3172">
        <f ca="1">'结果表-办公'!G20</f>
        <v>5845</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180"/>
      <c r="R35" s="3213">
        <f ca="1">S34*R34</f>
        <v>18019024.449999988</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180"/>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180"/>
      <c r="P37" s="3175" t="s">
        <v>4318</v>
      </c>
      <c r="S37" s="3172">
        <v>1</v>
      </c>
      <c r="T37" s="3172">
        <v>2</v>
      </c>
      <c r="U37" s="3172">
        <v>3</v>
      </c>
      <c r="V37" s="3172">
        <v>4</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180"/>
      <c r="P38" s="3172" t="s">
        <v>4936</v>
      </c>
      <c r="Q38" s="3179">
        <f>COUNTIF(AZ:AZ,P38)</f>
        <v>98</v>
      </c>
      <c r="R38" s="3179">
        <f>SUMIF(AZ:AZ,P38,AY:AY)</f>
        <v>6017.9000000000005</v>
      </c>
      <c r="S38" s="3179">
        <f>SUMIF($BG:$BG,S37,$AY:$AY)</f>
        <v>728.66</v>
      </c>
      <c r="T38" s="3179">
        <f t="shared" ref="T38:V38" si="11">SUMIF($BG:$BG,T37,$AY:$AY)</f>
        <v>1998.2900000000002</v>
      </c>
      <c r="U38" s="3179">
        <f t="shared" si="11"/>
        <v>1910.4000000000005</v>
      </c>
      <c r="V38" s="3179">
        <f t="shared" si="11"/>
        <v>1406.9900000000002</v>
      </c>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180"/>
      <c r="P39" s="3175" t="s">
        <v>4319</v>
      </c>
      <c r="Q39" s="3179">
        <f>COUNTIF($AZ$2:$AZ$224,P39)</f>
        <v>1</v>
      </c>
      <c r="R39" s="3179">
        <f>SUMIF($AZ$2:$AZ$224,P39,$AY$2:$AY$224)</f>
        <v>85</v>
      </c>
      <c r="S39" s="3179">
        <f ca="1">'结果表-仓储'!G20</f>
        <v>2220</v>
      </c>
      <c r="T39" s="3179"/>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180"/>
      <c r="P40" s="3181"/>
      <c r="Q40" s="3182"/>
      <c r="R40" s="3214">
        <f ca="1">S39*R39</f>
        <v>188700</v>
      </c>
      <c r="S40" s="3182"/>
      <c r="T40" s="3182"/>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180"/>
      <c r="P41" s="3180" t="s">
        <v>4291</v>
      </c>
      <c r="Q41" s="3179">
        <f t="shared" ref="Q41" si="12">COUNTIF($AZ$2:$AZ$224,P41)</f>
        <v>98</v>
      </c>
      <c r="R41" s="3179">
        <f t="shared" ref="R41" si="13">SUMIF($AZ$2:$AZ$224,P41,$AY$2:$AY$224)</f>
        <v>3851.7200000000062</v>
      </c>
      <c r="S41" s="3179">
        <f ca="1">S27</f>
        <v>1850</v>
      </c>
      <c r="T41" s="3179"/>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180"/>
      <c r="R42" s="3213">
        <f ca="1">S41*R41</f>
        <v>7125682.0000000112</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180"/>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180"/>
      <c r="R44" s="3172" t="s">
        <v>4924</v>
      </c>
      <c r="S44" s="3172" t="s">
        <v>4925</v>
      </c>
      <c r="T44" s="3172" t="s">
        <v>4926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180"/>
      <c r="Q45" s="3172" t="s">
        <v>4920</v>
      </c>
      <c r="R45" s="3216">
        <f ca="1">R26+R33</f>
        <v>19176584.280000001</v>
      </c>
      <c r="S45" s="3217">
        <f>R24+R31</f>
        <v>2007.2000000000005</v>
      </c>
      <c r="T45" s="3217">
        <f ca="1">R45/S45</f>
        <v>9553.8981068154626</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180"/>
      <c r="Q46" s="3172" t="s">
        <v>4921</v>
      </c>
      <c r="R46" s="3218">
        <f ca="1">R35</f>
        <v>18019024.449999988</v>
      </c>
      <c r="S46" s="3217">
        <f>R34</f>
        <v>3082.8099999999981</v>
      </c>
      <c r="T46" s="3217">
        <f t="shared" ref="T46:T48" ca="1" si="14">R46/S46</f>
        <v>5845</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180"/>
      <c r="Q47" s="3172" t="s">
        <v>4922</v>
      </c>
      <c r="R47" s="3219">
        <f ca="1">R28+R42</f>
        <v>12333210.000000013</v>
      </c>
      <c r="S47" s="3217">
        <f>R27+R41</f>
        <v>6666.6000000000076</v>
      </c>
      <c r="T47" s="3217">
        <f t="shared" ca="1" si="14"/>
        <v>1849.9999999999998</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180"/>
      <c r="Q48" s="3172" t="s">
        <v>4923</v>
      </c>
      <c r="R48" s="3220">
        <f ca="1">R40</f>
        <v>188700</v>
      </c>
      <c r="S48" s="3217">
        <f>R39</f>
        <v>85</v>
      </c>
      <c r="T48" s="3217">
        <f t="shared" ca="1" si="14"/>
        <v>2220</v>
      </c>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180"/>
      <c r="R49" s="3172">
        <f ca="1">SUM(R45:R48)</f>
        <v>49717518.730000004</v>
      </c>
      <c r="S49" s="3172">
        <f>SUM(S45:S48)</f>
        <v>11841.610000000006</v>
      </c>
      <c r="T49" s="3172">
        <f ca="1">R49/S49</f>
        <v>4198.5438407446263</v>
      </c>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180"/>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180"/>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180"/>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180"/>
      <c r="R53" s="3229"/>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180"/>
      <c r="R54" s="3229"/>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180"/>
      <c r="R55" s="3229"/>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180"/>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180"/>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180">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180">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180">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180">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180">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180">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180">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180">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180">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180">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180">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180">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180">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180">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180">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180">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180">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180">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180">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180">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180">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180">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180">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180">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180">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180">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180">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180">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180">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180">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180">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180">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180">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180">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180">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180">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180">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180">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180">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180">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180">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180">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180">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180">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180">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180">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180">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180">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180">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180">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9"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9"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9"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9"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9"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9"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9"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9"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9"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9"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9"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9"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9"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c r="BG125" s="3172">
        <v>1</v>
      </c>
    </row>
    <row r="126" spans="45:59"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c r="BG126" s="3172">
        <v>1</v>
      </c>
    </row>
    <row r="127" spans="45:59"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c r="BG127" s="3172">
        <v>1</v>
      </c>
    </row>
    <row r="128" spans="45:59"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c r="BG128" s="3172">
        <v>2</v>
      </c>
    </row>
    <row r="129" spans="45:59"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c r="BG129" s="3172">
        <v>2</v>
      </c>
    </row>
    <row r="130" spans="45:59"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c r="BG130" s="3172">
        <v>2</v>
      </c>
    </row>
    <row r="131" spans="45:59"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c r="BG131" s="3172">
        <v>2</v>
      </c>
    </row>
    <row r="132" spans="45:59"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c r="BG132" s="3172">
        <v>2</v>
      </c>
    </row>
    <row r="133" spans="45:59"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c r="BG133" s="3172">
        <v>2</v>
      </c>
    </row>
    <row r="134" spans="45:59"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c r="BG134" s="3172">
        <v>2</v>
      </c>
    </row>
    <row r="135" spans="45:59"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c r="BG135" s="3172">
        <v>2</v>
      </c>
    </row>
    <row r="136" spans="45:59"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c r="BG136" s="3172">
        <v>2</v>
      </c>
    </row>
    <row r="137" spans="45:59"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c r="BG137" s="3172">
        <v>2</v>
      </c>
    </row>
    <row r="138" spans="45:59"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c r="BG138" s="3172">
        <v>2</v>
      </c>
    </row>
    <row r="139" spans="45:59"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c r="BG139" s="3172">
        <v>2</v>
      </c>
    </row>
    <row r="140" spans="45:59"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c r="BG140" s="3172">
        <v>2</v>
      </c>
    </row>
    <row r="141" spans="45:59"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c r="BG141" s="3172">
        <v>2</v>
      </c>
    </row>
    <row r="142" spans="45:59"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c r="BG142" s="3172">
        <v>2</v>
      </c>
    </row>
    <row r="143" spans="45:59"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c r="BG143" s="3172">
        <v>2</v>
      </c>
    </row>
    <row r="144" spans="45:59"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c r="BG144" s="3172">
        <v>2</v>
      </c>
    </row>
    <row r="145" spans="45:59"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c r="BG145" s="3172">
        <v>3</v>
      </c>
    </row>
    <row r="146" spans="45:59"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c r="BG146" s="3172">
        <v>3</v>
      </c>
    </row>
    <row r="147" spans="45:59"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c r="BG147" s="3172">
        <v>3</v>
      </c>
    </row>
    <row r="148" spans="45:59"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c r="BG148" s="3172">
        <v>3</v>
      </c>
    </row>
    <row r="149" spans="45:59"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c r="BG149" s="3172">
        <v>3</v>
      </c>
    </row>
    <row r="150" spans="45:59"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c r="BG150" s="3172">
        <v>3</v>
      </c>
    </row>
    <row r="151" spans="45:59"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c r="BG151" s="3172">
        <v>3</v>
      </c>
    </row>
    <row r="152" spans="45:59"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c r="BG152" s="3172">
        <v>3</v>
      </c>
    </row>
    <row r="153" spans="45:59"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c r="BG153" s="3172">
        <v>3</v>
      </c>
    </row>
    <row r="154" spans="45:59"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c r="BG154" s="3172">
        <v>3</v>
      </c>
    </row>
    <row r="155" spans="45:59"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c r="BG155" s="3172">
        <v>3</v>
      </c>
    </row>
    <row r="156" spans="45:59"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c r="BG156" s="3172">
        <v>3</v>
      </c>
    </row>
    <row r="157" spans="45:59"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c r="BG157" s="3172">
        <v>3</v>
      </c>
    </row>
    <row r="158" spans="45:59"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c r="BG158" s="3172">
        <v>3</v>
      </c>
    </row>
    <row r="159" spans="45:59"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c r="BG159" s="3172">
        <v>3</v>
      </c>
    </row>
    <row r="160" spans="45:59"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c r="BG160" s="3172">
        <v>3</v>
      </c>
    </row>
    <row r="161" spans="45:59"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c r="BG161" s="3172">
        <v>3</v>
      </c>
    </row>
    <row r="162" spans="45:59"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c r="BG162" s="3172">
        <v>4</v>
      </c>
    </row>
    <row r="163" spans="45:59"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c r="BG163" s="3172">
        <v>4</v>
      </c>
    </row>
    <row r="164" spans="45:59"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c r="BG164" s="3172">
        <v>4</v>
      </c>
    </row>
    <row r="165" spans="45:59"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c r="BG165" s="3172">
        <v>4</v>
      </c>
    </row>
    <row r="166" spans="45:59"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c r="BG166" s="3172">
        <v>4</v>
      </c>
    </row>
    <row r="167" spans="45:59"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c r="BG167" s="3172">
        <v>4</v>
      </c>
    </row>
    <row r="168" spans="45:59"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c r="BG168" s="3172">
        <v>4</v>
      </c>
    </row>
    <row r="169" spans="45:59"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c r="BG169" s="3172">
        <v>1</v>
      </c>
    </row>
    <row r="170" spans="45:59"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c r="BG170" s="3172">
        <v>1</v>
      </c>
    </row>
    <row r="171" spans="45:59"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c r="BG171" s="3172">
        <v>1</v>
      </c>
    </row>
    <row r="172" spans="45:59"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c r="BG172" s="3172">
        <v>2</v>
      </c>
    </row>
    <row r="173" spans="45:59"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c r="BG173" s="3172">
        <v>2</v>
      </c>
    </row>
    <row r="174" spans="45:59"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c r="BG174" s="3172">
        <v>2</v>
      </c>
    </row>
    <row r="175" spans="45:59"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c r="BG175" s="3172">
        <v>2</v>
      </c>
    </row>
    <row r="176" spans="45:59"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c r="BG176" s="3172">
        <v>2</v>
      </c>
    </row>
    <row r="177" spans="45:59"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c r="BG177" s="3172">
        <v>2</v>
      </c>
    </row>
    <row r="178" spans="45:59"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c r="BG178" s="3172">
        <v>2</v>
      </c>
    </row>
    <row r="179" spans="45:59"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c r="BG179" s="3172">
        <v>2</v>
      </c>
    </row>
    <row r="180" spans="45:59"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c r="BG180" s="3172">
        <v>2</v>
      </c>
    </row>
    <row r="181" spans="45:59"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c r="BG181" s="3172">
        <v>2</v>
      </c>
    </row>
    <row r="182" spans="45:59"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c r="BG182" s="3172">
        <v>2</v>
      </c>
    </row>
    <row r="183" spans="45:59"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c r="BG183" s="3172">
        <v>2</v>
      </c>
    </row>
    <row r="184" spans="45:59"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c r="BG184" s="3172">
        <v>2</v>
      </c>
    </row>
    <row r="185" spans="45:59"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c r="BG185" s="3172">
        <v>2</v>
      </c>
    </row>
    <row r="186" spans="45:59"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c r="BG186" s="3172">
        <v>2</v>
      </c>
    </row>
    <row r="187" spans="45:59"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c r="BG187" s="3172">
        <v>2</v>
      </c>
    </row>
    <row r="188" spans="45:59"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c r="BG188" s="3172">
        <v>2</v>
      </c>
    </row>
    <row r="189" spans="45:59"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c r="BG189" s="3172">
        <v>2</v>
      </c>
    </row>
    <row r="190" spans="45:59"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c r="BG190" s="3172">
        <v>3</v>
      </c>
    </row>
    <row r="191" spans="45:59"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c r="BG191" s="3172">
        <v>3</v>
      </c>
    </row>
    <row r="192" spans="45:59"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c r="BG192" s="3172">
        <v>3</v>
      </c>
    </row>
    <row r="193" spans="45:59"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c r="BG193" s="3172">
        <v>3</v>
      </c>
    </row>
    <row r="194" spans="45:59"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c r="BG194" s="3172">
        <v>3</v>
      </c>
    </row>
    <row r="195" spans="45:59"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c r="BG195" s="3172">
        <v>3</v>
      </c>
    </row>
    <row r="196" spans="45:59"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c r="BG196" s="3172">
        <v>3</v>
      </c>
    </row>
    <row r="197" spans="45:59"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c r="BG197" s="3172">
        <v>3</v>
      </c>
    </row>
    <row r="198" spans="45:59"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c r="BG198" s="3172">
        <v>3</v>
      </c>
    </row>
    <row r="199" spans="45:59"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c r="BG199" s="3172">
        <v>3</v>
      </c>
    </row>
    <row r="200" spans="45:59"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c r="BG200" s="3172">
        <v>3</v>
      </c>
    </row>
    <row r="201" spans="45:59"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c r="BG201" s="3172">
        <v>3</v>
      </c>
    </row>
    <row r="202" spans="45:59"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c r="BG202" s="3172">
        <v>3</v>
      </c>
    </row>
    <row r="203" spans="45:59"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c r="BG203" s="3172">
        <v>3</v>
      </c>
    </row>
    <row r="204" spans="45:59"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c r="BG204" s="3172">
        <v>3</v>
      </c>
    </row>
    <row r="205" spans="45:59"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c r="BG205" s="3172">
        <v>3</v>
      </c>
    </row>
    <row r="206" spans="45:59"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c r="BG206" s="3172">
        <v>3</v>
      </c>
    </row>
    <row r="207" spans="45:59"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c r="BG207" s="3172">
        <v>4</v>
      </c>
    </row>
    <row r="208" spans="45:59"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c r="BG208" s="3172">
        <v>4</v>
      </c>
    </row>
    <row r="209" spans="45:59"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c r="BG209" s="3172">
        <v>4</v>
      </c>
    </row>
    <row r="210" spans="45:59"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c r="BG210" s="3172">
        <v>4</v>
      </c>
    </row>
    <row r="211" spans="45:59"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c r="BG211" s="3172">
        <v>4</v>
      </c>
    </row>
    <row r="212" spans="45:59"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c r="BG212" s="3172">
        <v>4</v>
      </c>
    </row>
    <row r="213" spans="45:59"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c r="BG213" s="3172">
        <v>4</v>
      </c>
    </row>
    <row r="214" spans="45:59"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c r="BG214" s="3172">
        <v>4</v>
      </c>
    </row>
    <row r="215" spans="45:59"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c r="BG215" s="3172">
        <v>4</v>
      </c>
    </row>
    <row r="216" spans="45:59"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c r="BG216" s="3172">
        <v>4</v>
      </c>
    </row>
    <row r="217" spans="45:59"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c r="BG217" s="3172">
        <v>4</v>
      </c>
    </row>
    <row r="218" spans="45:59"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c r="BG218" s="3172">
        <v>4</v>
      </c>
    </row>
    <row r="219" spans="45:59"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c r="BG219" s="3172">
        <v>4</v>
      </c>
    </row>
    <row r="220" spans="45:59"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c r="BG220" s="3172">
        <v>4</v>
      </c>
    </row>
    <row r="221" spans="45:59"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c r="BG221" s="3172">
        <v>4</v>
      </c>
    </row>
    <row r="222" spans="45:59"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c r="BG222" s="3172">
        <v>4</v>
      </c>
    </row>
    <row r="223" spans="45:59"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c r="BG223" s="3172">
        <v>4</v>
      </c>
    </row>
    <row r="224" spans="45:59"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c r="BG224" s="3172">
        <v>4</v>
      </c>
    </row>
  </sheetData>
  <autoFilter ref="A1:BF107" xr:uid="{6F8CAB66-0668-4689-9A3D-AA1D8F7591C4}"/>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74" t="s">
        <v>1768</v>
      </c>
      <c r="D4" s="3475"/>
      <c r="E4" s="3476" t="s">
        <v>1769</v>
      </c>
      <c r="F4" s="3477"/>
      <c r="G4" s="3474" t="s">
        <v>1770</v>
      </c>
      <c r="H4" s="3475"/>
      <c r="I4" s="3474" t="s">
        <v>1771</v>
      </c>
      <c r="J4" s="3475"/>
      <c r="K4" s="537" t="s">
        <v>1772</v>
      </c>
      <c r="L4" s="2487"/>
      <c r="M4" s="2488"/>
      <c r="N4" s="2488"/>
      <c r="O4" s="2488"/>
      <c r="P4" s="3478" t="s">
        <v>1773</v>
      </c>
      <c r="Q4" s="3479"/>
      <c r="R4" s="3461" t="s">
        <v>1769</v>
      </c>
      <c r="S4" s="3462"/>
      <c r="T4" s="3461" t="s">
        <v>1770</v>
      </c>
      <c r="U4" s="3462"/>
      <c r="V4" s="3458" t="s">
        <v>1771</v>
      </c>
      <c r="W4" s="3458"/>
      <c r="X4" s="1265"/>
      <c r="Y4" s="3461" t="s">
        <v>1773</v>
      </c>
      <c r="Z4" s="3462"/>
      <c r="AA4" s="3455" t="s">
        <v>1769</v>
      </c>
      <c r="AB4" s="3456" t="s">
        <v>1770</v>
      </c>
      <c r="AC4" s="3455" t="s">
        <v>1771</v>
      </c>
    </row>
    <row r="5" spans="1:29" ht="15">
      <c r="A5" s="348"/>
      <c r="B5" s="349"/>
      <c r="C5" s="3467" t="s">
        <v>1671</v>
      </c>
      <c r="D5" s="3468"/>
      <c r="E5" s="3465" t="s">
        <v>1672</v>
      </c>
      <c r="F5" s="3466"/>
      <c r="G5" s="3467" t="s">
        <v>1673</v>
      </c>
      <c r="H5" s="3468"/>
      <c r="I5" s="3467" t="s">
        <v>1674</v>
      </c>
      <c r="J5" s="3468"/>
      <c r="K5" s="537"/>
      <c r="L5" s="2487"/>
      <c r="M5" s="2488"/>
      <c r="N5" s="2488"/>
      <c r="O5" s="2488"/>
      <c r="P5" s="3480"/>
      <c r="Q5" s="3481"/>
      <c r="R5" s="3463"/>
      <c r="S5" s="3464"/>
      <c r="T5" s="3463"/>
      <c r="U5" s="3464"/>
      <c r="V5" s="3458"/>
      <c r="W5" s="3458"/>
      <c r="X5" s="1265"/>
      <c r="Y5" s="3463"/>
      <c r="Z5" s="3464"/>
      <c r="AA5" s="3456"/>
      <c r="AB5" s="3456"/>
      <c r="AC5" s="3456"/>
    </row>
    <row r="6" spans="1:29" ht="15.75" thickBot="1">
      <c r="A6" s="350"/>
      <c r="B6" s="351"/>
      <c r="C6" s="3528" t="s">
        <v>1917</v>
      </c>
      <c r="D6" s="3529"/>
      <c r="E6" s="3530" t="s">
        <v>1917</v>
      </c>
      <c r="F6" s="3531"/>
      <c r="G6" s="3528" t="s">
        <v>1917</v>
      </c>
      <c r="H6" s="3529"/>
      <c r="I6" s="3528" t="s">
        <v>1917</v>
      </c>
      <c r="J6" s="3529"/>
      <c r="K6" s="537" t="s">
        <v>1676</v>
      </c>
      <c r="L6" s="2487"/>
      <c r="M6" s="2488"/>
      <c r="N6" s="2488"/>
      <c r="O6" s="2488"/>
      <c r="P6" s="3482"/>
      <c r="Q6" s="3483"/>
      <c r="R6" s="3463"/>
      <c r="S6" s="3464"/>
      <c r="T6" s="3484"/>
      <c r="U6" s="3485"/>
      <c r="V6" s="3458"/>
      <c r="W6" s="3458"/>
      <c r="X6" s="1265"/>
      <c r="Y6" s="3484"/>
      <c r="Z6" s="3485"/>
      <c r="AA6" s="3457"/>
      <c r="AB6" s="3457"/>
      <c r="AC6" s="3457"/>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9" t="s">
        <v>1678</v>
      </c>
      <c r="Q7" s="3486"/>
      <c r="R7" s="664" t="s">
        <v>14</v>
      </c>
      <c r="S7" s="665">
        <f t="shared" ref="S7:S15" si="0">F7</f>
        <v>0</v>
      </c>
      <c r="T7" s="664" t="s">
        <v>14</v>
      </c>
      <c r="U7" s="665">
        <f t="shared" ref="U7:U15" si="1">H7</f>
        <v>0</v>
      </c>
      <c r="V7" s="664" t="s">
        <v>14</v>
      </c>
      <c r="W7" s="665">
        <f t="shared" ref="W7:W15" si="2">J7</f>
        <v>0</v>
      </c>
      <c r="X7" s="666"/>
      <c r="Y7" s="3459" t="s">
        <v>1678</v>
      </c>
      <c r="Z7" s="346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9" t="s">
        <v>1681</v>
      </c>
      <c r="Q8" s="3460"/>
      <c r="R8" s="664" t="s">
        <v>14</v>
      </c>
      <c r="S8" s="665">
        <f t="shared" si="0"/>
        <v>0</v>
      </c>
      <c r="T8" s="664" t="s">
        <v>14</v>
      </c>
      <c r="U8" s="665">
        <f t="shared" si="1"/>
        <v>0</v>
      </c>
      <c r="V8" s="664" t="s">
        <v>14</v>
      </c>
      <c r="W8" s="665">
        <f t="shared" si="2"/>
        <v>0</v>
      </c>
      <c r="X8" s="666"/>
      <c r="Y8" s="3459" t="s">
        <v>1681</v>
      </c>
      <c r="Z8" s="346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96" t="s">
        <v>1684</v>
      </c>
      <c r="Q9" s="530" t="str">
        <f t="shared" ref="Q9:Q15" si="6">B9</f>
        <v>用途</v>
      </c>
      <c r="R9" s="664" t="s">
        <v>14</v>
      </c>
      <c r="S9" s="665">
        <f t="shared" si="0"/>
        <v>100</v>
      </c>
      <c r="T9" s="664" t="s">
        <v>14</v>
      </c>
      <c r="U9" s="665">
        <f t="shared" si="1"/>
        <v>100</v>
      </c>
      <c r="V9" s="664" t="s">
        <v>14</v>
      </c>
      <c r="W9" s="665">
        <f t="shared" si="2"/>
        <v>100</v>
      </c>
      <c r="X9" s="666"/>
      <c r="Y9" s="3404"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96"/>
      <c r="Q10" s="530" t="str">
        <f t="shared" si="6"/>
        <v>土地使用年限（年）</v>
      </c>
      <c r="R10" s="664" t="s">
        <v>14</v>
      </c>
      <c r="S10" s="665">
        <f t="shared" si="0"/>
        <v>111</v>
      </c>
      <c r="T10" s="664" t="s">
        <v>14</v>
      </c>
      <c r="U10" s="665">
        <f t="shared" si="1"/>
        <v>111</v>
      </c>
      <c r="V10" s="664" t="s">
        <v>14</v>
      </c>
      <c r="W10" s="665">
        <f t="shared" si="2"/>
        <v>111</v>
      </c>
      <c r="X10" s="666"/>
      <c r="Y10" s="3404"/>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96"/>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96"/>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96"/>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96"/>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89" t="s">
        <v>1689</v>
      </c>
      <c r="Q15" s="1263" t="str">
        <f t="shared" si="6"/>
        <v>产业集聚程度</v>
      </c>
      <c r="R15" s="667" t="s">
        <v>14</v>
      </c>
      <c r="S15" s="668">
        <f t="shared" si="0"/>
        <v>100</v>
      </c>
      <c r="T15" s="667" t="s">
        <v>14</v>
      </c>
      <c r="U15" s="668">
        <f t="shared" si="1"/>
        <v>100</v>
      </c>
      <c r="V15" s="667" t="s">
        <v>14</v>
      </c>
      <c r="W15" s="668">
        <f t="shared" si="2"/>
        <v>100</v>
      </c>
      <c r="X15" s="1265"/>
      <c r="Y15" s="348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90"/>
      <c r="Q16" s="1263"/>
      <c r="R16" s="667"/>
      <c r="S16" s="668"/>
      <c r="T16" s="667"/>
      <c r="U16" s="668"/>
      <c r="V16" s="667"/>
      <c r="W16" s="668"/>
      <c r="X16" s="1265"/>
      <c r="Y16" s="349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90"/>
      <c r="Q17" s="1263" t="str">
        <f>B17</f>
        <v>交通便捷度</v>
      </c>
      <c r="R17" s="667" t="s">
        <v>14</v>
      </c>
      <c r="S17" s="668">
        <f>F17</f>
        <v>100</v>
      </c>
      <c r="T17" s="667" t="s">
        <v>14</v>
      </c>
      <c r="U17" s="668">
        <f>H17</f>
        <v>100</v>
      </c>
      <c r="V17" s="667" t="s">
        <v>14</v>
      </c>
      <c r="W17" s="668">
        <f>J17</f>
        <v>100</v>
      </c>
      <c r="X17" s="1265"/>
      <c r="Y17" s="34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90"/>
      <c r="Q18" s="1263"/>
      <c r="R18" s="667"/>
      <c r="S18" s="668"/>
      <c r="T18" s="667"/>
      <c r="U18" s="668"/>
      <c r="V18" s="667"/>
      <c r="W18" s="668"/>
      <c r="X18" s="1265"/>
      <c r="Y18" s="349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90"/>
      <c r="Q19" s="1263" t="str">
        <f t="shared" ref="Q19:Q33" si="8">B19</f>
        <v>区域土地利用方向</v>
      </c>
      <c r="R19" s="667" t="s">
        <v>14</v>
      </c>
      <c r="S19" s="668">
        <f>F19</f>
        <v>100</v>
      </c>
      <c r="T19" s="667" t="s">
        <v>14</v>
      </c>
      <c r="U19" s="668">
        <f>H19</f>
        <v>100</v>
      </c>
      <c r="V19" s="667" t="s">
        <v>14</v>
      </c>
      <c r="W19" s="668">
        <f>J19</f>
        <v>100</v>
      </c>
      <c r="X19" s="1265"/>
      <c r="Y19" s="34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90"/>
      <c r="Q20" s="1263"/>
      <c r="R20" s="667"/>
      <c r="S20" s="668"/>
      <c r="T20" s="667"/>
      <c r="U20" s="668"/>
      <c r="V20" s="667"/>
      <c r="W20" s="668"/>
      <c r="X20" s="1265"/>
      <c r="Y20" s="349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90"/>
      <c r="Q21" s="1263" t="str">
        <f t="shared" si="8"/>
        <v>环境状况</v>
      </c>
      <c r="R21" s="667" t="s">
        <v>14</v>
      </c>
      <c r="S21" s="668">
        <f>F21</f>
        <v>100</v>
      </c>
      <c r="T21" s="667" t="s">
        <v>14</v>
      </c>
      <c r="U21" s="668">
        <f>H21</f>
        <v>100</v>
      </c>
      <c r="V21" s="667" t="s">
        <v>14</v>
      </c>
      <c r="W21" s="668">
        <f>J21</f>
        <v>100</v>
      </c>
      <c r="X21" s="1265"/>
      <c r="Y21" s="34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90"/>
      <c r="Q22" s="1263"/>
      <c r="R22" s="667"/>
      <c r="S22" s="668"/>
      <c r="T22" s="667"/>
      <c r="U22" s="668"/>
      <c r="V22" s="667"/>
      <c r="W22" s="668"/>
      <c r="X22" s="1265"/>
      <c r="Y22" s="349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90"/>
      <c r="Q23" s="530" t="str">
        <f t="shared" si="8"/>
        <v>公共配套设施</v>
      </c>
      <c r="R23" s="664" t="s">
        <v>14</v>
      </c>
      <c r="S23" s="665">
        <f>F23</f>
        <v>100</v>
      </c>
      <c r="T23" s="664" t="s">
        <v>14</v>
      </c>
      <c r="U23" s="665">
        <f>H23</f>
        <v>100</v>
      </c>
      <c r="V23" s="664" t="s">
        <v>14</v>
      </c>
      <c r="W23" s="665">
        <f>J23</f>
        <v>100</v>
      </c>
      <c r="X23" s="666"/>
      <c r="Y23" s="34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90"/>
      <c r="Q24" s="530"/>
      <c r="R24" s="664"/>
      <c r="S24" s="665"/>
      <c r="T24" s="664"/>
      <c r="U24" s="665"/>
      <c r="V24" s="664"/>
      <c r="W24" s="665"/>
      <c r="X24" s="666"/>
      <c r="Y24" s="349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90"/>
      <c r="Q25" s="530" t="str">
        <f t="shared" ref="Q25" si="9">B25</f>
        <v>基础设施水平</v>
      </c>
      <c r="R25" s="664" t="s">
        <v>14</v>
      </c>
      <c r="S25" s="665">
        <f>F25</f>
        <v>100</v>
      </c>
      <c r="T25" s="664" t="s">
        <v>14</v>
      </c>
      <c r="U25" s="665">
        <f>H25</f>
        <v>100</v>
      </c>
      <c r="V25" s="664" t="s">
        <v>14</v>
      </c>
      <c r="W25" s="665">
        <f>J25</f>
        <v>100</v>
      </c>
      <c r="X25" s="666"/>
      <c r="Y25" s="34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90"/>
      <c r="Q26" s="530"/>
      <c r="R26" s="664"/>
      <c r="S26" s="665"/>
      <c r="T26" s="664"/>
      <c r="U26" s="665"/>
      <c r="V26" s="664"/>
      <c r="W26" s="665"/>
      <c r="X26" s="666"/>
      <c r="Y26" s="349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90"/>
      <c r="Q28" s="1263" t="str">
        <f t="shared" si="8"/>
        <v>毗邻道路的类型与等级</v>
      </c>
      <c r="R28" s="667" t="s">
        <v>14</v>
      </c>
      <c r="S28" s="668">
        <f t="shared" si="10"/>
        <v>100</v>
      </c>
      <c r="T28" s="667" t="s">
        <v>14</v>
      </c>
      <c r="U28" s="668">
        <f t="shared" si="11"/>
        <v>100</v>
      </c>
      <c r="V28" s="667" t="s">
        <v>14</v>
      </c>
      <c r="W28" s="668">
        <f t="shared" si="12"/>
        <v>100</v>
      </c>
      <c r="X28" s="1265"/>
      <c r="Y28" s="34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90"/>
      <c r="Q29" s="1263"/>
      <c r="R29" s="667"/>
      <c r="S29" s="668"/>
      <c r="T29" s="667"/>
      <c r="U29" s="668"/>
      <c r="V29" s="667"/>
      <c r="W29" s="668"/>
      <c r="X29" s="1265"/>
      <c r="Y29" s="349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90"/>
      <c r="Q30" s="1263" t="str">
        <f t="shared" si="8"/>
        <v>土地级别</v>
      </c>
      <c r="R30" s="667" t="s">
        <v>14</v>
      </c>
      <c r="S30" s="668">
        <f t="shared" si="10"/>
        <v>100</v>
      </c>
      <c r="T30" s="667" t="s">
        <v>14</v>
      </c>
      <c r="U30" s="668">
        <f t="shared" si="11"/>
        <v>100</v>
      </c>
      <c r="V30" s="667" t="s">
        <v>14</v>
      </c>
      <c r="W30" s="668">
        <f t="shared" si="12"/>
        <v>100</v>
      </c>
      <c r="X30" s="1265"/>
      <c r="Y30" s="34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90"/>
      <c r="Q31" s="1263">
        <f t="shared" si="8"/>
        <v>111</v>
      </c>
      <c r="R31" s="667" t="s">
        <v>14</v>
      </c>
      <c r="S31" s="668">
        <f t="shared" si="10"/>
        <v>100</v>
      </c>
      <c r="T31" s="667" t="s">
        <v>14</v>
      </c>
      <c r="U31" s="668">
        <f t="shared" si="11"/>
        <v>100</v>
      </c>
      <c r="V31" s="667" t="s">
        <v>14</v>
      </c>
      <c r="W31" s="668">
        <f t="shared" si="12"/>
        <v>100</v>
      </c>
      <c r="X31" s="1265"/>
      <c r="Y31" s="34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17" t="s">
        <v>1694</v>
      </c>
      <c r="Q32" s="1263">
        <f t="shared" si="8"/>
        <v>111</v>
      </c>
      <c r="R32" s="667" t="s">
        <v>14</v>
      </c>
      <c r="S32" s="668">
        <f t="shared" si="10"/>
        <v>100</v>
      </c>
      <c r="T32" s="667" t="s">
        <v>14</v>
      </c>
      <c r="U32" s="668">
        <f t="shared" si="11"/>
        <v>100</v>
      </c>
      <c r="V32" s="667" t="s">
        <v>14</v>
      </c>
      <c r="W32" s="668">
        <f t="shared" si="12"/>
        <v>100</v>
      </c>
      <c r="X32" s="1265"/>
      <c r="Y32" s="349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4"/>
      <c r="Q33" s="1263">
        <f t="shared" si="8"/>
        <v>111</v>
      </c>
      <c r="R33" s="669" t="s">
        <v>14</v>
      </c>
      <c r="S33" s="670">
        <f t="shared" si="10"/>
        <v>100</v>
      </c>
      <c r="T33" s="669" t="s">
        <v>14</v>
      </c>
      <c r="U33" s="670">
        <f t="shared" si="11"/>
        <v>100</v>
      </c>
      <c r="V33" s="669" t="s">
        <v>14</v>
      </c>
      <c r="W33" s="670">
        <f t="shared" si="12"/>
        <v>100</v>
      </c>
      <c r="X33" s="671"/>
      <c r="Y33" s="349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4"/>
      <c r="Q34" s="1263" t="str">
        <f>B34</f>
        <v>宗地面积</v>
      </c>
      <c r="R34" s="667" t="s">
        <v>14</v>
      </c>
      <c r="S34" s="668" t="e">
        <f t="shared" si="10"/>
        <v>#N/A</v>
      </c>
      <c r="T34" s="667" t="s">
        <v>14</v>
      </c>
      <c r="U34" s="668" t="e">
        <f t="shared" si="11"/>
        <v>#N/A</v>
      </c>
      <c r="V34" s="667" t="s">
        <v>14</v>
      </c>
      <c r="W34" s="668" t="e">
        <f t="shared" si="12"/>
        <v>#N/A</v>
      </c>
      <c r="X34" s="1265"/>
      <c r="Y34" s="349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4"/>
      <c r="Q35" s="1263" t="str">
        <f t="shared" ref="Q35:Q40" si="14">B35</f>
        <v>宗地形状</v>
      </c>
      <c r="R35" s="667" t="s">
        <v>14</v>
      </c>
      <c r="S35" s="668">
        <f t="shared" si="10"/>
        <v>100</v>
      </c>
      <c r="T35" s="667" t="s">
        <v>14</v>
      </c>
      <c r="U35" s="668">
        <f t="shared" si="11"/>
        <v>100</v>
      </c>
      <c r="V35" s="667" t="s">
        <v>14</v>
      </c>
      <c r="W35" s="668">
        <f t="shared" si="12"/>
        <v>100</v>
      </c>
      <c r="X35" s="1265"/>
      <c r="Y35" s="349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4"/>
      <c r="Q36" s="1263" t="str">
        <f t="shared" si="14"/>
        <v>宗地开发程度</v>
      </c>
      <c r="R36" s="664" t="s">
        <v>14</v>
      </c>
      <c r="S36" s="665">
        <f t="shared" si="10"/>
        <v>100</v>
      </c>
      <c r="T36" s="664" t="s">
        <v>14</v>
      </c>
      <c r="U36" s="665">
        <f t="shared" si="11"/>
        <v>100</v>
      </c>
      <c r="V36" s="664" t="s">
        <v>14</v>
      </c>
      <c r="W36" s="665">
        <f t="shared" si="12"/>
        <v>100</v>
      </c>
      <c r="X36" s="666"/>
      <c r="Y36" s="349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4" t="s">
        <v>1694</v>
      </c>
      <c r="Q37" s="1263" t="str">
        <f t="shared" si="14"/>
        <v>工程地质条件</v>
      </c>
      <c r="R37" s="667" t="s">
        <v>14</v>
      </c>
      <c r="S37" s="668">
        <f t="shared" si="10"/>
        <v>100</v>
      </c>
      <c r="T37" s="667" t="s">
        <v>14</v>
      </c>
      <c r="U37" s="668">
        <f t="shared" si="11"/>
        <v>100</v>
      </c>
      <c r="V37" s="667" t="s">
        <v>14</v>
      </c>
      <c r="W37" s="668">
        <f t="shared" si="12"/>
        <v>100</v>
      </c>
      <c r="X37" s="1265"/>
      <c r="Y37" s="349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4"/>
      <c r="Q38" s="1263">
        <f t="shared" si="14"/>
        <v>111</v>
      </c>
      <c r="R38" s="667" t="s">
        <v>14</v>
      </c>
      <c r="S38" s="668">
        <f t="shared" si="10"/>
        <v>100</v>
      </c>
      <c r="T38" s="667" t="s">
        <v>14</v>
      </c>
      <c r="U38" s="668">
        <f t="shared" si="11"/>
        <v>100</v>
      </c>
      <c r="V38" s="667" t="s">
        <v>14</v>
      </c>
      <c r="W38" s="668">
        <f t="shared" si="12"/>
        <v>100</v>
      </c>
      <c r="X38" s="1265"/>
      <c r="Y38" s="34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4"/>
      <c r="Q39" s="1263">
        <f t="shared" si="14"/>
        <v>111</v>
      </c>
      <c r="R39" s="667" t="s">
        <v>14</v>
      </c>
      <c r="S39" s="668">
        <f t="shared" si="10"/>
        <v>100</v>
      </c>
      <c r="T39" s="667" t="s">
        <v>14</v>
      </c>
      <c r="U39" s="668">
        <f t="shared" si="11"/>
        <v>100</v>
      </c>
      <c r="V39" s="667" t="s">
        <v>14</v>
      </c>
      <c r="W39" s="668">
        <f t="shared" si="12"/>
        <v>100</v>
      </c>
      <c r="X39" s="1265"/>
      <c r="Y39" s="34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4"/>
      <c r="Q40" s="1263">
        <f t="shared" si="14"/>
        <v>111</v>
      </c>
      <c r="R40" s="669" t="s">
        <v>14</v>
      </c>
      <c r="S40" s="670">
        <f t="shared" si="10"/>
        <v>100</v>
      </c>
      <c r="T40" s="669" t="s">
        <v>14</v>
      </c>
      <c r="U40" s="670">
        <f t="shared" si="11"/>
        <v>100</v>
      </c>
      <c r="V40" s="669" t="s">
        <v>14</v>
      </c>
      <c r="W40" s="670">
        <f t="shared" si="12"/>
        <v>100</v>
      </c>
      <c r="X40" s="671"/>
      <c r="Y40" s="349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96" t="str">
        <f>A41</f>
        <v>成交单价</v>
      </c>
      <c r="Q41" s="3496"/>
      <c r="R41" s="3458">
        <f>E41</f>
        <v>0</v>
      </c>
      <c r="S41" s="3458"/>
      <c r="T41" s="3458">
        <f>G41</f>
        <v>0</v>
      </c>
      <c r="U41" s="3458"/>
      <c r="V41" s="3458">
        <f>I41</f>
        <v>0</v>
      </c>
      <c r="W41" s="3458"/>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96" t="str">
        <f>A42</f>
        <v>比较价值（元/平方米）</v>
      </c>
      <c r="Q42" s="3496"/>
      <c r="R42" s="3521" t="e">
        <f>ROUND(PRODUCT(R41,AA7:AA40),0)</f>
        <v>#DIV/0!</v>
      </c>
      <c r="S42" s="3521"/>
      <c r="T42" s="3521" t="e">
        <f>ROUND(PRODUCT(T41,AB7:AB40),0)</f>
        <v>#DIV/0!</v>
      </c>
      <c r="U42" s="3521"/>
      <c r="V42" s="3521" t="e">
        <f>ROUND(PRODUCT(V41,AC7:AC40),0)</f>
        <v>#DIV/0!</v>
      </c>
      <c r="W42" s="3521"/>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97" t="str">
        <f>A43</f>
        <v>估价对象XX用房的比较价值（楼面单价，元/平方米）</v>
      </c>
      <c r="Q43" s="3498"/>
      <c r="R43" s="3522" t="e">
        <f>ROUND(IF(D42="简单平均",AVERAGE(R42:W42),R42*F42+T42*H42+V42*J42),0)</f>
        <v>#DIV/0!</v>
      </c>
      <c r="S43" s="3522"/>
      <c r="T43" s="3522"/>
      <c r="U43" s="3522"/>
      <c r="V43" s="3522"/>
      <c r="W43" s="35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74" t="s">
        <v>1885</v>
      </c>
      <c r="H50" s="3523"/>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73"/>
      <c r="H51" s="34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35" t="s">
        <v>2082</v>
      </c>
      <c r="D1" s="3536"/>
      <c r="E1" s="3536"/>
      <c r="F1" s="3536"/>
      <c r="G1" s="3536"/>
      <c r="H1" s="3536"/>
      <c r="I1" s="3536"/>
      <c r="J1" s="3536"/>
      <c r="K1" s="3536"/>
      <c r="L1" s="3536"/>
      <c r="M1" s="3536"/>
      <c r="N1" s="3536"/>
      <c r="O1" s="3536"/>
      <c r="P1" s="3536"/>
      <c r="Q1" s="3536"/>
      <c r="R1" s="3536"/>
      <c r="S1" s="353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32" t="s">
        <v>27</v>
      </c>
      <c r="D22" s="3533"/>
      <c r="E22" s="3533"/>
      <c r="F22" s="3533"/>
      <c r="G22" s="3533"/>
      <c r="H22" s="3533"/>
      <c r="I22" s="3533"/>
      <c r="J22" s="3533"/>
      <c r="K22" s="3533"/>
      <c r="L22" s="3533"/>
      <c r="M22" s="3533"/>
      <c r="N22" s="3533"/>
      <c r="O22" s="3533"/>
      <c r="P22" s="3533"/>
      <c r="Q22" s="353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45"/>
      <c r="B4" s="3546"/>
      <c r="C4" s="3546"/>
      <c r="D4" s="3547"/>
      <c r="E4" s="3547"/>
      <c r="F4" s="3547"/>
      <c r="G4" s="3547"/>
      <c r="H4" s="3547"/>
      <c r="I4" s="3547"/>
      <c r="J4" s="354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42" t="s">
        <v>1958</v>
      </c>
      <c r="X8" s="354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44"/>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9" t="s">
        <v>3252</v>
      </c>
      <c r="B20" s="159" t="s">
        <v>1992</v>
      </c>
      <c r="C20" s="3032" t="e">
        <f>ROUND(IF(F21="与级别开发程度一致",0,(G21-E21)/C21),0)</f>
        <v>#DIV/0!</v>
      </c>
      <c r="D20" s="3047" t="s">
        <v>1996</v>
      </c>
      <c r="E20" s="3048"/>
      <c r="F20" s="3555" t="s">
        <v>1993</v>
      </c>
      <c r="G20" s="35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5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3"/>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4"/>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4"/>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51" t="s">
        <v>3290</v>
      </c>
      <c r="B103" s="3551"/>
      <c r="C103" s="3551"/>
      <c r="D103" s="3551"/>
      <c r="E103" s="3551"/>
      <c r="F103" s="3551"/>
      <c r="G103" s="3551"/>
      <c r="H103" s="3551"/>
      <c r="I103" s="3551"/>
      <c r="J103" s="3551"/>
      <c r="K103" s="1667"/>
      <c r="L103" s="1667"/>
      <c r="M103" s="1667"/>
      <c r="N103" s="1667"/>
    </row>
    <row r="104" spans="1:14">
      <c r="A104" s="3552" t="s">
        <v>3291</v>
      </c>
      <c r="B104" s="3552" t="s">
        <v>3292</v>
      </c>
      <c r="C104" s="3091" t="s">
        <v>3293</v>
      </c>
      <c r="D104" s="3092"/>
      <c r="E104" s="3092"/>
      <c r="F104" s="3092"/>
      <c r="G104" s="3092"/>
      <c r="H104" s="3092"/>
      <c r="I104" s="3092"/>
      <c r="J104" s="3093"/>
      <c r="K104" s="3094"/>
      <c r="L104" s="3094"/>
      <c r="M104" s="3094"/>
      <c r="N104" s="3094"/>
    </row>
    <row r="105" spans="1:14">
      <c r="A105" s="3552"/>
      <c r="B105" s="3552"/>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538"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9"/>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1" t="s">
        <v>3307</v>
      </c>
      <c r="B113" s="3541"/>
      <c r="C113" s="3541"/>
      <c r="D113" s="3541"/>
      <c r="E113" s="3541"/>
      <c r="F113" s="3541"/>
      <c r="G113" s="3541"/>
      <c r="H113" s="3541"/>
      <c r="I113" s="3541"/>
      <c r="J113" s="35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7" t="str">
        <f>IF(项目基本情况!B9="房地产市场价值","估价结果一览表","结果表-2")</f>
        <v>估价结果一览表</v>
      </c>
      <c r="B1" s="3257"/>
      <c r="C1" s="3257"/>
      <c r="D1" s="3257"/>
      <c r="E1" s="3257"/>
      <c r="F1" s="3257"/>
      <c r="G1" s="3257"/>
      <c r="H1" s="3257"/>
      <c r="I1" s="3257"/>
    </row>
    <row r="2" spans="1:9" ht="30" customHeight="1" thickTop="1">
      <c r="A2" s="3258" t="s">
        <v>927</v>
      </c>
      <c r="B2" s="3258" t="s">
        <v>928</v>
      </c>
      <c r="C2" s="3258" t="s">
        <v>929</v>
      </c>
      <c r="D2" s="3258" t="str">
        <f>'结果表-2号楼1层商业'!D116</f>
        <v>出让国有建设用地使用权价值</v>
      </c>
      <c r="E2" s="3258"/>
      <c r="F2" s="3258" t="str">
        <f>'结果表-2号楼1层商业'!F116</f>
        <v>在建建筑物价值</v>
      </c>
      <c r="G2" s="3258"/>
      <c r="H2" s="3258" t="str">
        <f>IF(项目基本情况!B9="房地产市场价值","房地产市场价值","房地产价值")</f>
        <v>房地产市场价值</v>
      </c>
      <c r="I2" s="3258"/>
    </row>
    <row r="3" spans="1:9" ht="15">
      <c r="A3" s="3259"/>
      <c r="B3" s="3259"/>
      <c r="C3" s="3259"/>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'结果表-2号楼1层商业'!D118</f>
        <v>#REF!</v>
      </c>
      <c r="E4" s="801" t="e">
        <f ca="1">'结果表-2号楼1层商业'!E118</f>
        <v>#REF!</v>
      </c>
      <c r="F4" s="801" t="e">
        <f ca="1">'结果表-2号楼1层商业'!F118</f>
        <v>#REF!</v>
      </c>
      <c r="G4" s="801" t="e">
        <f ca="1">'结果表-2号楼1层商业'!G118</f>
        <v>#REF!</v>
      </c>
      <c r="H4" s="801" t="e">
        <f ca="1">'结果表-2号楼1层商业'!H118</f>
        <v>#REF!</v>
      </c>
      <c r="I4" s="801" t="e">
        <f ca="1">'结果表-2号楼1层商业'!I118</f>
        <v>#REF!</v>
      </c>
    </row>
    <row r="5" spans="1:9" ht="30" customHeight="1">
      <c r="A5" s="3259" t="s">
        <v>926</v>
      </c>
      <c r="B5" s="3259"/>
      <c r="C5" s="3259"/>
      <c r="D5" s="3259" t="e">
        <f ca="1">'结果表-2号楼1层商业'!D119</f>
        <v>#REF!</v>
      </c>
      <c r="E5" s="3259"/>
      <c r="F5" s="3259" t="e">
        <f ca="1">'结果表-2号楼1层商业'!F119</f>
        <v>#REF!</v>
      </c>
      <c r="G5" s="3259"/>
      <c r="H5" s="3259" t="e">
        <f ca="1">'结果表-2号楼1层商业'!H119</f>
        <v>#REF!</v>
      </c>
      <c r="I5" s="3259"/>
    </row>
    <row r="6" spans="1:9" ht="15.75">
      <c r="A6" s="3260" t="str">
        <f>'结果表-2号楼1层商业'!A120</f>
        <v/>
      </c>
      <c r="B6" s="3260"/>
      <c r="C6" s="3260"/>
      <c r="D6" s="3260">
        <f>'结果表-2号楼1层商业'!D120</f>
        <v>0</v>
      </c>
      <c r="E6" s="3260"/>
      <c r="F6" s="3260"/>
      <c r="G6" s="3260"/>
      <c r="H6" s="3260"/>
      <c r="I6" s="3260"/>
    </row>
    <row r="7" spans="1:9" ht="15">
      <c r="A7" s="3259" t="s">
        <v>926</v>
      </c>
      <c r="B7" s="3259"/>
      <c r="C7" s="3259"/>
      <c r="D7" s="3261" t="str">
        <f>'结果表-2号楼1层商业'!D121</f>
        <v>零元整</v>
      </c>
      <c r="E7" s="3262"/>
      <c r="F7" s="3262"/>
      <c r="G7" s="3262"/>
      <c r="H7" s="3262"/>
      <c r="I7" s="3263"/>
    </row>
    <row r="8" spans="1:9" ht="15.75">
      <c r="A8" s="3260" t="str">
        <f>'结果表-2号楼1层商业'!A122</f>
        <v/>
      </c>
      <c r="B8" s="3260"/>
      <c r="C8" s="3260"/>
      <c r="D8" s="3260" t="e">
        <f ca="1">'结果表-2号楼1层商业'!D122</f>
        <v>#REF!</v>
      </c>
      <c r="E8" s="3260"/>
      <c r="F8" s="3260"/>
      <c r="G8" s="3260"/>
      <c r="H8" s="3260"/>
      <c r="I8" s="3260"/>
    </row>
    <row r="9" spans="1:9" ht="15">
      <c r="A9" s="3259" t="s">
        <v>926</v>
      </c>
      <c r="B9" s="3259"/>
      <c r="C9" s="3259"/>
      <c r="D9" s="3259" t="e">
        <f ca="1">'结果表-2号楼1层商业'!D123</f>
        <v>#REF!</v>
      </c>
      <c r="E9" s="3259"/>
      <c r="F9" s="3259"/>
      <c r="G9" s="3259"/>
      <c r="H9" s="3259"/>
      <c r="I9" s="3259"/>
    </row>
    <row r="10" spans="1:9" ht="15.75">
      <c r="A10" s="3260" t="str">
        <f>'结果表-2号楼1层商业'!A124</f>
        <v/>
      </c>
      <c r="B10" s="3260"/>
      <c r="C10" s="3260"/>
      <c r="D10" s="3260" t="str">
        <f>'结果表-2号楼1层商业'!D124</f>
        <v>——</v>
      </c>
      <c r="E10" s="3260"/>
      <c r="F10" s="3260"/>
      <c r="G10" s="3260"/>
      <c r="H10" s="3260"/>
      <c r="I10" s="3260"/>
    </row>
    <row r="11" spans="1:9" ht="15">
      <c r="A11" s="3259" t="s">
        <v>926</v>
      </c>
      <c r="B11" s="3259"/>
      <c r="C11" s="3259"/>
      <c r="D11" s="3259" t="e">
        <f>'结果表-2号楼1层商业'!D125</f>
        <v>#VALUE!</v>
      </c>
      <c r="E11" s="3259"/>
      <c r="F11" s="3259"/>
      <c r="G11" s="3259"/>
      <c r="H11" s="3259"/>
      <c r="I11" s="3259"/>
    </row>
    <row r="12" spans="1:9" ht="15.75">
      <c r="A12" s="3260" t="str">
        <f>'结果表-2号楼1层商业'!A126</f>
        <v/>
      </c>
      <c r="B12" s="3260"/>
      <c r="C12" s="3260"/>
      <c r="D12" s="3260" t="str">
        <f>'结果表-2号楼1层商业'!D126</f>
        <v>——</v>
      </c>
      <c r="E12" s="3260"/>
      <c r="F12" s="3260"/>
      <c r="G12" s="3260"/>
      <c r="H12" s="3260"/>
      <c r="I12" s="3260"/>
    </row>
    <row r="13" spans="1:9" ht="15.75" thickBot="1">
      <c r="A13" s="3264" t="s">
        <v>926</v>
      </c>
      <c r="B13" s="3264"/>
      <c r="C13" s="3264"/>
      <c r="D13" s="3264" t="e">
        <f>'结果表-2号楼1层商业'!D127</f>
        <v>#VALUE!</v>
      </c>
      <c r="E13" s="3264"/>
      <c r="F13" s="3264"/>
      <c r="G13" s="3264"/>
      <c r="H13" s="3264"/>
      <c r="I13" s="3264"/>
    </row>
    <row r="14" spans="1:9" ht="15" thickTop="1">
      <c r="A14" s="3265" t="s">
        <v>931</v>
      </c>
      <c r="B14" s="3265"/>
      <c r="C14" s="3265"/>
      <c r="D14" s="3265"/>
      <c r="E14" s="3265"/>
      <c r="F14" s="3265"/>
      <c r="G14" s="3265"/>
      <c r="H14" s="3265"/>
      <c r="I14" s="3265"/>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67" t="s">
        <v>2605</v>
      </c>
      <c r="B20" s="3557" t="s">
        <v>2626</v>
      </c>
      <c r="C20" s="3169" t="s">
        <v>2437</v>
      </c>
      <c r="D20" s="3169"/>
      <c r="E20" s="2845">
        <v>1</v>
      </c>
      <c r="F20" s="2846" t="s">
        <v>2438</v>
      </c>
      <c r="G20" s="2846"/>
    </row>
    <row r="21" spans="1:13" ht="19.5" customHeight="1">
      <c r="A21" s="3568"/>
      <c r="B21" s="3558"/>
      <c r="C21" s="2858" t="s">
        <v>2439</v>
      </c>
      <c r="D21" s="2858"/>
      <c r="E21" s="2849">
        <v>1</v>
      </c>
      <c r="F21" s="2846" t="s">
        <v>2440</v>
      </c>
      <c r="G21" s="2846"/>
    </row>
    <row r="22" spans="1:13" ht="19.5" customHeight="1">
      <c r="A22" s="3568"/>
      <c r="B22" s="3558"/>
      <c r="C22" s="2858" t="s">
        <v>2441</v>
      </c>
      <c r="D22" s="2858"/>
      <c r="E22" s="2849">
        <v>0.9</v>
      </c>
      <c r="F22" s="2846" t="s">
        <v>2442</v>
      </c>
      <c r="G22" s="2846"/>
    </row>
    <row r="23" spans="1:13" ht="19.5" customHeight="1">
      <c r="A23" s="3568"/>
      <c r="B23" s="3558"/>
      <c r="C23" s="2858" t="s">
        <v>2443</v>
      </c>
      <c r="D23" s="2858"/>
      <c r="E23" s="2849">
        <v>0.9</v>
      </c>
      <c r="F23" s="2846" t="s">
        <v>2444</v>
      </c>
      <c r="G23" s="2846"/>
    </row>
    <row r="24" spans="1:13" ht="19.5" customHeight="1">
      <c r="A24" s="3568"/>
      <c r="B24" s="3558"/>
      <c r="C24" s="2858" t="s">
        <v>2445</v>
      </c>
      <c r="D24" s="2858"/>
      <c r="E24" s="2849">
        <v>0.8</v>
      </c>
      <c r="F24" s="2846" t="s">
        <v>2446</v>
      </c>
      <c r="G24" s="2846"/>
    </row>
    <row r="25" spans="1:13" ht="19.5" customHeight="1">
      <c r="A25" s="3568"/>
      <c r="B25" s="3558"/>
      <c r="C25" s="2858" t="s">
        <v>2447</v>
      </c>
      <c r="D25" s="2858"/>
      <c r="E25" s="2849">
        <v>0.8</v>
      </c>
      <c r="F25" s="2846"/>
      <c r="G25" s="2846"/>
    </row>
    <row r="26" spans="1:13" ht="19.5" customHeight="1">
      <c r="A26" s="3568"/>
      <c r="B26" s="3558"/>
      <c r="C26" s="2858" t="s">
        <v>3405</v>
      </c>
      <c r="D26" s="2858"/>
      <c r="E26" s="2849">
        <v>0.43</v>
      </c>
      <c r="F26" s="2846"/>
      <c r="G26" s="2846"/>
    </row>
    <row r="27" spans="1:13" ht="19.5" customHeight="1" thickBot="1">
      <c r="A27" s="3569"/>
      <c r="B27" s="3559"/>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60" t="s">
        <v>2629</v>
      </c>
      <c r="B29" s="3563" t="s">
        <v>2610</v>
      </c>
      <c r="C29" s="2843" t="s">
        <v>2450</v>
      </c>
      <c r="D29" s="2844"/>
      <c r="E29" s="2845">
        <v>1</v>
      </c>
      <c r="F29" s="2846" t="s">
        <v>2451</v>
      </c>
      <c r="G29" s="2846"/>
    </row>
    <row r="30" spans="1:13" ht="19.5" customHeight="1">
      <c r="A30" s="3561"/>
      <c r="B30" s="3564"/>
      <c r="C30" s="2847" t="s">
        <v>2452</v>
      </c>
      <c r="D30" s="2848"/>
      <c r="E30" s="2849">
        <v>1</v>
      </c>
      <c r="F30" s="2846" t="s">
        <v>2453</v>
      </c>
      <c r="G30" s="2846"/>
    </row>
    <row r="31" spans="1:13" ht="19.5" customHeight="1">
      <c r="A31" s="3561"/>
      <c r="B31" s="3564"/>
      <c r="C31" s="2847" t="s">
        <v>2454</v>
      </c>
      <c r="D31" s="2848"/>
      <c r="E31" s="2849">
        <v>0.8</v>
      </c>
      <c r="F31" s="2846" t="s">
        <v>2455</v>
      </c>
      <c r="G31" s="2846"/>
    </row>
    <row r="32" spans="1:13" ht="19.5" customHeight="1">
      <c r="A32" s="3561"/>
      <c r="B32" s="3564"/>
      <c r="C32" s="2847" t="s">
        <v>2456</v>
      </c>
      <c r="D32" s="2848"/>
      <c r="E32" s="2849">
        <v>0.8</v>
      </c>
      <c r="F32" s="2846" t="s">
        <v>2457</v>
      </c>
      <c r="G32" s="2846"/>
    </row>
    <row r="33" spans="1:7" ht="19.5" customHeight="1">
      <c r="A33" s="3561"/>
      <c r="B33" s="3564"/>
      <c r="C33" s="2847" t="s">
        <v>2458</v>
      </c>
      <c r="D33" s="2848"/>
      <c r="E33" s="2849">
        <v>0.8</v>
      </c>
      <c r="F33" s="2846" t="s">
        <v>2459</v>
      </c>
      <c r="G33" s="2846"/>
    </row>
    <row r="34" spans="1:7" ht="19.5" customHeight="1">
      <c r="A34" s="3561"/>
      <c r="B34" s="3564"/>
      <c r="C34" s="2847" t="s">
        <v>2460</v>
      </c>
      <c r="D34" s="2848"/>
      <c r="E34" s="2849">
        <v>0.7</v>
      </c>
      <c r="F34" s="2846" t="s">
        <v>2461</v>
      </c>
      <c r="G34" s="2846"/>
    </row>
    <row r="35" spans="1:7" ht="19.5" customHeight="1">
      <c r="A35" s="3561"/>
      <c r="B35" s="3564"/>
      <c r="C35" s="2847" t="s">
        <v>2462</v>
      </c>
      <c r="D35" s="2848"/>
      <c r="E35" s="2849">
        <v>0.8</v>
      </c>
      <c r="F35" s="2846" t="s">
        <v>2463</v>
      </c>
      <c r="G35" s="2846"/>
    </row>
    <row r="36" spans="1:7" ht="19.5" customHeight="1">
      <c r="A36" s="3561"/>
      <c r="B36" s="3564"/>
      <c r="C36" s="2847" t="s">
        <v>2464</v>
      </c>
      <c r="D36" s="2848"/>
      <c r="E36" s="2849">
        <v>0.6</v>
      </c>
      <c r="F36" s="2846" t="s">
        <v>2465</v>
      </c>
      <c r="G36" s="2846"/>
    </row>
    <row r="37" spans="1:7" ht="19.5" customHeight="1">
      <c r="A37" s="3561"/>
      <c r="B37" s="3564"/>
      <c r="C37" s="2847" t="s">
        <v>2466</v>
      </c>
      <c r="D37" s="2848"/>
      <c r="E37" s="2849">
        <v>0.2</v>
      </c>
      <c r="F37" s="2846" t="s">
        <v>2467</v>
      </c>
      <c r="G37" s="2846"/>
    </row>
    <row r="38" spans="1:7" ht="19.5" customHeight="1">
      <c r="A38" s="3561"/>
      <c r="B38" s="3564"/>
      <c r="C38" s="2847" t="s">
        <v>2468</v>
      </c>
      <c r="D38" s="2848"/>
      <c r="E38" s="2849">
        <v>0.2</v>
      </c>
      <c r="F38" s="2846" t="s">
        <v>2469</v>
      </c>
      <c r="G38" s="2846"/>
    </row>
    <row r="39" spans="1:7" ht="19.5" customHeight="1">
      <c r="A39" s="3561"/>
      <c r="B39" s="3565" t="s">
        <v>2630</v>
      </c>
      <c r="C39" s="2847" t="s">
        <v>2470</v>
      </c>
      <c r="D39" s="2848"/>
      <c r="E39" s="2849">
        <v>0.6</v>
      </c>
      <c r="F39" s="2846" t="s">
        <v>2471</v>
      </c>
      <c r="G39" s="2846"/>
    </row>
    <row r="40" spans="1:7" ht="19.5" customHeight="1">
      <c r="A40" s="3561"/>
      <c r="B40" s="3564"/>
      <c r="C40" s="2847" t="s">
        <v>2472</v>
      </c>
      <c r="D40" s="2848"/>
      <c r="E40" s="2849">
        <v>0.6</v>
      </c>
      <c r="F40" s="2846" t="s">
        <v>2473</v>
      </c>
      <c r="G40" s="2846"/>
    </row>
    <row r="41" spans="1:7" ht="19.5" customHeight="1" thickBot="1">
      <c r="A41" s="3562"/>
      <c r="B41" s="3566"/>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67" t="s">
        <v>2608</v>
      </c>
      <c r="B43" s="3563" t="s">
        <v>2632</v>
      </c>
      <c r="C43" s="2843" t="s">
        <v>2477</v>
      </c>
      <c r="D43" s="2844"/>
      <c r="E43" s="2845">
        <v>1</v>
      </c>
      <c r="F43" s="2846" t="s">
        <v>2478</v>
      </c>
      <c r="G43" s="2846"/>
    </row>
    <row r="44" spans="1:7" ht="19.5" customHeight="1">
      <c r="A44" s="3568"/>
      <c r="B44" s="3564"/>
      <c r="C44" s="2847" t="s">
        <v>2479</v>
      </c>
      <c r="D44" s="2848"/>
      <c r="E44" s="2849">
        <v>1</v>
      </c>
      <c r="F44" s="2846" t="s">
        <v>2480</v>
      </c>
      <c r="G44" s="2846"/>
    </row>
    <row r="45" spans="1:7" ht="19.5" customHeight="1">
      <c r="A45" s="3568"/>
      <c r="B45" s="3570"/>
      <c r="C45" s="2847" t="s">
        <v>2481</v>
      </c>
      <c r="D45" s="2848"/>
      <c r="E45" s="2849">
        <v>1.5</v>
      </c>
      <c r="F45" s="2846" t="s">
        <v>2482</v>
      </c>
      <c r="G45" s="2846"/>
    </row>
    <row r="46" spans="1:7" ht="19.5" customHeight="1">
      <c r="A46" s="3568"/>
      <c r="B46" s="2858" t="s">
        <v>2633</v>
      </c>
      <c r="C46" s="2847" t="s">
        <v>2634</v>
      </c>
      <c r="D46" s="2848"/>
      <c r="E46" s="2849">
        <v>2</v>
      </c>
      <c r="F46" s="2846" t="s">
        <v>2483</v>
      </c>
      <c r="G46" s="2846"/>
    </row>
    <row r="47" spans="1:7" ht="19.5" customHeight="1">
      <c r="A47" s="3568"/>
      <c r="B47" s="3565" t="s">
        <v>2635</v>
      </c>
      <c r="C47" s="2847" t="s">
        <v>2484</v>
      </c>
      <c r="D47" s="2848"/>
      <c r="E47" s="2849">
        <v>1</v>
      </c>
      <c r="F47" s="2846" t="s">
        <v>2485</v>
      </c>
      <c r="G47" s="2846"/>
    </row>
    <row r="48" spans="1:7" ht="19.5" customHeight="1">
      <c r="A48" s="3568"/>
      <c r="B48" s="3564"/>
      <c r="C48" s="2847" t="s">
        <v>2486</v>
      </c>
      <c r="D48" s="2848"/>
      <c r="E48" s="2849">
        <v>1</v>
      </c>
      <c r="F48" s="2846" t="s">
        <v>2487</v>
      </c>
      <c r="G48" s="2846"/>
    </row>
    <row r="49" spans="1:7" ht="19.5" customHeight="1">
      <c r="A49" s="3568"/>
      <c r="B49" s="3564"/>
      <c r="C49" s="2847" t="s">
        <v>2488</v>
      </c>
      <c r="D49" s="2848"/>
      <c r="E49" s="2849">
        <v>1</v>
      </c>
      <c r="F49" s="2846" t="s">
        <v>2489</v>
      </c>
      <c r="G49" s="2846"/>
    </row>
    <row r="50" spans="1:7" ht="19.5" customHeight="1">
      <c r="A50" s="3568"/>
      <c r="B50" s="3564"/>
      <c r="C50" s="2847" t="s">
        <v>2490</v>
      </c>
      <c r="D50" s="2848"/>
      <c r="E50" s="2849">
        <v>1</v>
      </c>
      <c r="F50" s="2846" t="s">
        <v>2491</v>
      </c>
      <c r="G50" s="2846"/>
    </row>
    <row r="51" spans="1:7" ht="19.5" customHeight="1">
      <c r="A51" s="3568"/>
      <c r="B51" s="3564"/>
      <c r="C51" s="2847" t="s">
        <v>2492</v>
      </c>
      <c r="D51" s="2848"/>
      <c r="E51" s="2849">
        <v>1</v>
      </c>
      <c r="F51" s="2846" t="s">
        <v>2493</v>
      </c>
      <c r="G51" s="2846"/>
    </row>
    <row r="52" spans="1:7" ht="19.5" customHeight="1">
      <c r="A52" s="3568"/>
      <c r="B52" s="3564"/>
      <c r="C52" s="2847" t="s">
        <v>2494</v>
      </c>
      <c r="D52" s="2848"/>
      <c r="E52" s="2849">
        <v>1</v>
      </c>
      <c r="F52" s="2846" t="s">
        <v>2495</v>
      </c>
      <c r="G52" s="2846"/>
    </row>
    <row r="53" spans="1:7" ht="19.5" customHeight="1" thickBot="1">
      <c r="A53" s="3569"/>
      <c r="B53" s="3566"/>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65" t="s">
        <v>2649</v>
      </c>
      <c r="C75" s="2832" t="s">
        <v>2650</v>
      </c>
      <c r="D75" s="2832" t="s">
        <v>2651</v>
      </c>
      <c r="E75" s="2858">
        <v>0.2</v>
      </c>
      <c r="F75" s="2858">
        <v>25</v>
      </c>
    </row>
    <row r="76" spans="1:7" ht="24">
      <c r="A76" s="2858">
        <v>2</v>
      </c>
      <c r="B76" s="3564"/>
      <c r="C76" s="2832" t="s">
        <v>2652</v>
      </c>
      <c r="D76" s="2832" t="s">
        <v>2653</v>
      </c>
      <c r="E76" s="2858">
        <v>0.2</v>
      </c>
      <c r="F76" s="2858">
        <v>25</v>
      </c>
    </row>
    <row r="77" spans="1:7" ht="24">
      <c r="A77" s="2858">
        <v>3</v>
      </c>
      <c r="B77" s="3564"/>
      <c r="C77" s="2832" t="s">
        <v>2654</v>
      </c>
      <c r="D77" s="2832" t="s">
        <v>2655</v>
      </c>
      <c r="E77" s="2858">
        <v>0.2</v>
      </c>
      <c r="F77" s="2858">
        <v>25</v>
      </c>
    </row>
    <row r="78" spans="1:7" ht="13.5">
      <c r="A78" s="2858">
        <v>4</v>
      </c>
      <c r="B78" s="3564"/>
      <c r="C78" s="2832" t="s">
        <v>2656</v>
      </c>
      <c r="D78" s="2832" t="s">
        <v>2657</v>
      </c>
      <c r="E78" s="2858">
        <v>0.15</v>
      </c>
      <c r="F78" s="2858">
        <v>20</v>
      </c>
    </row>
    <row r="79" spans="1:7" ht="24">
      <c r="A79" s="2858">
        <v>5</v>
      </c>
      <c r="B79" s="3564"/>
      <c r="C79" s="2832" t="s">
        <v>2658</v>
      </c>
      <c r="D79" s="2832" t="s">
        <v>2659</v>
      </c>
      <c r="E79" s="2858">
        <v>0.15</v>
      </c>
      <c r="F79" s="2858">
        <v>20</v>
      </c>
    </row>
    <row r="80" spans="1:7" ht="24">
      <c r="A80" s="2858">
        <v>6</v>
      </c>
      <c r="B80" s="3564"/>
      <c r="C80" s="2832" t="s">
        <v>2660</v>
      </c>
      <c r="D80" s="2832" t="s">
        <v>2661</v>
      </c>
      <c r="E80" s="2858">
        <v>0.15</v>
      </c>
      <c r="F80" s="2858">
        <v>20</v>
      </c>
    </row>
    <row r="81" spans="1:6" ht="24">
      <c r="A81" s="2858">
        <v>7</v>
      </c>
      <c r="B81" s="3564"/>
      <c r="C81" s="2832" t="s">
        <v>2662</v>
      </c>
      <c r="D81" s="2832" t="s">
        <v>2663</v>
      </c>
      <c r="E81" s="2858">
        <v>0.15</v>
      </c>
      <c r="F81" s="2858">
        <v>20</v>
      </c>
    </row>
    <row r="82" spans="1:6" ht="24">
      <c r="A82" s="2858">
        <v>8</v>
      </c>
      <c r="B82" s="3564"/>
      <c r="C82" s="2832" t="s">
        <v>2664</v>
      </c>
      <c r="D82" s="2832" t="s">
        <v>2665</v>
      </c>
      <c r="E82" s="2858">
        <v>0.1</v>
      </c>
      <c r="F82" s="2858">
        <v>15</v>
      </c>
    </row>
    <row r="83" spans="1:6" ht="24">
      <c r="A83" s="2858">
        <v>9</v>
      </c>
      <c r="B83" s="3564"/>
      <c r="C83" s="2832" t="s">
        <v>2666</v>
      </c>
      <c r="D83" s="2832" t="s">
        <v>2667</v>
      </c>
      <c r="E83" s="2858">
        <v>0.1</v>
      </c>
      <c r="F83" s="2858">
        <v>15</v>
      </c>
    </row>
    <row r="84" spans="1:6" ht="24">
      <c r="A84" s="2858">
        <v>10</v>
      </c>
      <c r="B84" s="3564"/>
      <c r="C84" s="2832" t="s">
        <v>2668</v>
      </c>
      <c r="D84" s="2832" t="s">
        <v>2669</v>
      </c>
      <c r="E84" s="2858">
        <v>0.1</v>
      </c>
      <c r="F84" s="2858">
        <v>15</v>
      </c>
    </row>
    <row r="85" spans="1:6" ht="24">
      <c r="A85" s="2858">
        <v>11</v>
      </c>
      <c r="B85" s="3564"/>
      <c r="C85" s="2832" t="s">
        <v>2670</v>
      </c>
      <c r="D85" s="2832" t="s">
        <v>2671</v>
      </c>
      <c r="E85" s="2858">
        <v>0.1</v>
      </c>
      <c r="F85" s="2858">
        <v>15</v>
      </c>
    </row>
    <row r="86" spans="1:6" ht="24">
      <c r="A86" s="2858">
        <v>12</v>
      </c>
      <c r="B86" s="3564"/>
      <c r="C86" s="2832" t="s">
        <v>2672</v>
      </c>
      <c r="D86" s="2832" t="s">
        <v>2673</v>
      </c>
      <c r="E86" s="2858">
        <v>0.1</v>
      </c>
      <c r="F86" s="2858">
        <v>15</v>
      </c>
    </row>
    <row r="87" spans="1:6" ht="13.5">
      <c r="A87" s="2858">
        <v>13</v>
      </c>
      <c r="B87" s="3564"/>
      <c r="C87" s="2832" t="s">
        <v>2674</v>
      </c>
      <c r="D87" s="2832" t="s">
        <v>2675</v>
      </c>
      <c r="E87" s="2858">
        <v>0.1</v>
      </c>
      <c r="F87" s="2858">
        <v>15</v>
      </c>
    </row>
    <row r="88" spans="1:6" ht="13.5">
      <c r="A88" s="2858">
        <v>14</v>
      </c>
      <c r="B88" s="3564"/>
      <c r="C88" s="2832" t="s">
        <v>2676</v>
      </c>
      <c r="D88" s="2832" t="s">
        <v>2677</v>
      </c>
      <c r="E88" s="2858">
        <v>0.1</v>
      </c>
      <c r="F88" s="2858">
        <v>15</v>
      </c>
    </row>
    <row r="89" spans="1:6" ht="13.5">
      <c r="A89" s="2858">
        <v>15</v>
      </c>
      <c r="B89" s="3564"/>
      <c r="C89" s="2832" t="s">
        <v>2678</v>
      </c>
      <c r="D89" s="2832" t="s">
        <v>2679</v>
      </c>
      <c r="E89" s="2858">
        <v>0.1</v>
      </c>
      <c r="F89" s="2858">
        <v>15</v>
      </c>
    </row>
    <row r="90" spans="1:6" ht="24">
      <c r="A90" s="2858">
        <v>16</v>
      </c>
      <c r="B90" s="3564"/>
      <c r="C90" s="2832" t="s">
        <v>2680</v>
      </c>
      <c r="D90" s="2832" t="s">
        <v>2681</v>
      </c>
      <c r="E90" s="2858">
        <v>0.1</v>
      </c>
      <c r="F90" s="2858">
        <v>15</v>
      </c>
    </row>
    <row r="91" spans="1:6" ht="24">
      <c r="A91" s="2858">
        <v>17</v>
      </c>
      <c r="B91" s="3570"/>
      <c r="C91" s="2832" t="s">
        <v>2682</v>
      </c>
      <c r="D91" s="2832" t="s">
        <v>2683</v>
      </c>
      <c r="E91" s="2858">
        <v>0.1</v>
      </c>
      <c r="F91" s="2858">
        <v>15</v>
      </c>
    </row>
    <row r="92" spans="1:6" ht="13.5">
      <c r="A92" s="2858">
        <v>18</v>
      </c>
      <c r="B92" s="3565" t="s">
        <v>2684</v>
      </c>
      <c r="C92" s="2832" t="s">
        <v>2685</v>
      </c>
      <c r="D92" s="2832" t="s">
        <v>2686</v>
      </c>
      <c r="E92" s="2858">
        <v>0.2</v>
      </c>
      <c r="F92" s="2858">
        <v>25</v>
      </c>
    </row>
    <row r="93" spans="1:6" ht="24">
      <c r="A93" s="2858">
        <v>19</v>
      </c>
      <c r="B93" s="3564"/>
      <c r="C93" s="2832" t="s">
        <v>2687</v>
      </c>
      <c r="D93" s="2832" t="s">
        <v>2688</v>
      </c>
      <c r="E93" s="2858">
        <v>0.2</v>
      </c>
      <c r="F93" s="2858">
        <v>25</v>
      </c>
    </row>
    <row r="94" spans="1:6" ht="13.5">
      <c r="A94" s="2858">
        <v>20</v>
      </c>
      <c r="B94" s="3564"/>
      <c r="C94" s="2832" t="s">
        <v>2689</v>
      </c>
      <c r="D94" s="2832" t="s">
        <v>2690</v>
      </c>
      <c r="E94" s="2858">
        <v>0.15</v>
      </c>
      <c r="F94" s="2858">
        <v>20</v>
      </c>
    </row>
    <row r="95" spans="1:6" ht="13.5">
      <c r="A95" s="2858">
        <v>21</v>
      </c>
      <c r="B95" s="3564"/>
      <c r="C95" s="2832" t="s">
        <v>2691</v>
      </c>
      <c r="D95" s="2832" t="s">
        <v>2692</v>
      </c>
      <c r="E95" s="2858">
        <v>0.15</v>
      </c>
      <c r="F95" s="2858">
        <v>20</v>
      </c>
    </row>
    <row r="96" spans="1:6" ht="13.5">
      <c r="A96" s="2858">
        <v>22</v>
      </c>
      <c r="B96" s="3564"/>
      <c r="C96" s="2832" t="s">
        <v>2693</v>
      </c>
      <c r="D96" s="2832" t="s">
        <v>2694</v>
      </c>
      <c r="E96" s="2858">
        <v>0.15</v>
      </c>
      <c r="F96" s="2858">
        <v>20</v>
      </c>
    </row>
    <row r="97" spans="1:6" ht="36">
      <c r="A97" s="2858">
        <v>23</v>
      </c>
      <c r="B97" s="3564"/>
      <c r="C97" s="2832" t="s">
        <v>2695</v>
      </c>
      <c r="D97" s="2832" t="s">
        <v>2696</v>
      </c>
      <c r="E97" s="2858">
        <v>0.15</v>
      </c>
      <c r="F97" s="2858">
        <v>20</v>
      </c>
    </row>
    <row r="98" spans="1:6" ht="13.5">
      <c r="A98" s="2858">
        <v>24</v>
      </c>
      <c r="B98" s="3564"/>
      <c r="C98" s="2832" t="s">
        <v>2697</v>
      </c>
      <c r="D98" s="2832" t="s">
        <v>2698</v>
      </c>
      <c r="E98" s="2858">
        <v>0.1</v>
      </c>
      <c r="F98" s="2858">
        <v>15</v>
      </c>
    </row>
    <row r="99" spans="1:6" ht="13.5">
      <c r="A99" s="2858">
        <v>25</v>
      </c>
      <c r="B99" s="3564"/>
      <c r="C99" s="2832" t="s">
        <v>2699</v>
      </c>
      <c r="D99" s="2832" t="s">
        <v>2700</v>
      </c>
      <c r="E99" s="2858">
        <v>0.1</v>
      </c>
      <c r="F99" s="2858">
        <v>15</v>
      </c>
    </row>
    <row r="100" spans="1:6" ht="24">
      <c r="A100" s="2858">
        <v>26</v>
      </c>
      <c r="B100" s="3564"/>
      <c r="C100" s="2832" t="s">
        <v>2701</v>
      </c>
      <c r="D100" s="2832" t="s">
        <v>2702</v>
      </c>
      <c r="E100" s="2858">
        <v>0.1</v>
      </c>
      <c r="F100" s="2858">
        <v>15</v>
      </c>
    </row>
    <row r="101" spans="1:6" ht="24">
      <c r="A101" s="2858">
        <v>27</v>
      </c>
      <c r="B101" s="3564"/>
      <c r="C101" s="2832" t="s">
        <v>2703</v>
      </c>
      <c r="D101" s="2832" t="s">
        <v>2704</v>
      </c>
      <c r="E101" s="2858">
        <v>0.1</v>
      </c>
      <c r="F101" s="2858">
        <v>15</v>
      </c>
    </row>
    <row r="102" spans="1:6" ht="13.5">
      <c r="A102" s="2858">
        <v>28</v>
      </c>
      <c r="B102" s="3564"/>
      <c r="C102" s="2832" t="s">
        <v>2705</v>
      </c>
      <c r="D102" s="2832" t="s">
        <v>2706</v>
      </c>
      <c r="E102" s="2858">
        <v>0.1</v>
      </c>
      <c r="F102" s="2858">
        <v>15</v>
      </c>
    </row>
    <row r="103" spans="1:6" ht="13.5">
      <c r="A103" s="2858">
        <v>29</v>
      </c>
      <c r="B103" s="3564"/>
      <c r="C103" s="2832" t="s">
        <v>2707</v>
      </c>
      <c r="D103" s="2832" t="s">
        <v>2708</v>
      </c>
      <c r="E103" s="2858">
        <v>0.1</v>
      </c>
      <c r="F103" s="2858">
        <v>15</v>
      </c>
    </row>
    <row r="104" spans="1:6" ht="13.5">
      <c r="A104" s="2858">
        <v>30</v>
      </c>
      <c r="B104" s="3564"/>
      <c r="C104" s="2832" t="s">
        <v>2709</v>
      </c>
      <c r="D104" s="2832" t="s">
        <v>2710</v>
      </c>
      <c r="E104" s="2858">
        <v>0.1</v>
      </c>
      <c r="F104" s="2858">
        <v>15</v>
      </c>
    </row>
    <row r="105" spans="1:6" ht="24">
      <c r="A105" s="2858">
        <v>31</v>
      </c>
      <c r="B105" s="3564"/>
      <c r="C105" s="2832" t="s">
        <v>2711</v>
      </c>
      <c r="D105" s="2832" t="s">
        <v>2712</v>
      </c>
      <c r="E105" s="2858">
        <v>0.1</v>
      </c>
      <c r="F105" s="2858">
        <v>15</v>
      </c>
    </row>
    <row r="106" spans="1:6" ht="24">
      <c r="A106" s="2858">
        <v>32</v>
      </c>
      <c r="B106" s="3564"/>
      <c r="C106" s="2832" t="s">
        <v>2713</v>
      </c>
      <c r="D106" s="2832" t="s">
        <v>2714</v>
      </c>
      <c r="E106" s="2858">
        <v>0.1</v>
      </c>
      <c r="F106" s="2858">
        <v>15</v>
      </c>
    </row>
    <row r="107" spans="1:6" ht="24">
      <c r="A107" s="2858">
        <v>33</v>
      </c>
      <c r="B107" s="3564"/>
      <c r="C107" s="2832" t="s">
        <v>2715</v>
      </c>
      <c r="D107" s="2832" t="s">
        <v>2716</v>
      </c>
      <c r="E107" s="2858">
        <v>0.1</v>
      </c>
      <c r="F107" s="2858">
        <v>15</v>
      </c>
    </row>
    <row r="108" spans="1:6" ht="24">
      <c r="A108" s="2858">
        <v>34</v>
      </c>
      <c r="B108" s="3570"/>
      <c r="C108" s="2832" t="s">
        <v>2717</v>
      </c>
      <c r="D108" s="2832" t="s">
        <v>2718</v>
      </c>
      <c r="E108" s="2858">
        <v>0.1</v>
      </c>
      <c r="F108" s="2858">
        <v>15</v>
      </c>
    </row>
    <row r="109" spans="1:6" ht="24">
      <c r="A109" s="2858">
        <v>35</v>
      </c>
      <c r="B109" s="3565" t="s">
        <v>2719</v>
      </c>
      <c r="C109" s="2858" t="s">
        <v>2720</v>
      </c>
      <c r="D109" s="2832" t="s">
        <v>2721</v>
      </c>
      <c r="E109" s="2858">
        <v>0.15</v>
      </c>
      <c r="F109" s="2858">
        <v>20</v>
      </c>
    </row>
    <row r="110" spans="1:6" ht="13.5">
      <c r="A110" s="2858">
        <v>36</v>
      </c>
      <c r="B110" s="3564"/>
      <c r="C110" s="2858" t="s">
        <v>2722</v>
      </c>
      <c r="D110" s="2832" t="s">
        <v>2723</v>
      </c>
      <c r="E110" s="2858">
        <v>0.15</v>
      </c>
      <c r="F110" s="2858">
        <v>20</v>
      </c>
    </row>
    <row r="111" spans="1:6" ht="13.5">
      <c r="A111" s="2858">
        <v>37</v>
      </c>
      <c r="B111" s="3564"/>
      <c r="C111" s="2858" t="s">
        <v>2724</v>
      </c>
      <c r="D111" s="2832" t="s">
        <v>2725</v>
      </c>
      <c r="E111" s="2858">
        <v>0.15</v>
      </c>
      <c r="F111" s="2858">
        <v>20</v>
      </c>
    </row>
    <row r="112" spans="1:6" ht="13.5">
      <c r="A112" s="2858">
        <v>38</v>
      </c>
      <c r="B112" s="3564"/>
      <c r="C112" s="2858" t="s">
        <v>2726</v>
      </c>
      <c r="D112" s="2832" t="s">
        <v>2727</v>
      </c>
      <c r="E112" s="2858">
        <v>0.1</v>
      </c>
      <c r="F112" s="2858">
        <v>15</v>
      </c>
    </row>
    <row r="113" spans="1:6" ht="24">
      <c r="A113" s="2858">
        <v>39</v>
      </c>
      <c r="B113" s="3564"/>
      <c r="C113" s="2858" t="s">
        <v>2728</v>
      </c>
      <c r="D113" s="2832" t="s">
        <v>2729</v>
      </c>
      <c r="E113" s="2858">
        <v>0.1</v>
      </c>
      <c r="F113" s="2858">
        <v>15</v>
      </c>
    </row>
    <row r="114" spans="1:6" ht="24">
      <c r="A114" s="2858">
        <v>40</v>
      </c>
      <c r="B114" s="3570"/>
      <c r="C114" s="2858" t="s">
        <v>2730</v>
      </c>
      <c r="D114" s="2832" t="s">
        <v>2731</v>
      </c>
      <c r="E114" s="2858">
        <v>0.1</v>
      </c>
      <c r="F114" s="2858">
        <v>15</v>
      </c>
    </row>
    <row r="115" spans="1:6" ht="13.5">
      <c r="A115" s="2858">
        <v>41</v>
      </c>
      <c r="B115" s="3558" t="s">
        <v>2732</v>
      </c>
      <c r="C115" s="2858" t="s">
        <v>2733</v>
      </c>
      <c r="D115" s="2832" t="s">
        <v>2734</v>
      </c>
      <c r="E115" s="2858">
        <v>0.1</v>
      </c>
      <c r="F115" s="2858">
        <v>15</v>
      </c>
    </row>
    <row r="116" spans="1:6" ht="13.5">
      <c r="A116" s="2858">
        <v>42</v>
      </c>
      <c r="B116" s="3558"/>
      <c r="C116" s="2858" t="s">
        <v>2735</v>
      </c>
      <c r="D116" s="2832" t="s">
        <v>2736</v>
      </c>
      <c r="E116" s="2858">
        <v>0.1</v>
      </c>
      <c r="F116" s="2858">
        <v>15</v>
      </c>
    </row>
    <row r="117" spans="1:6" ht="24">
      <c r="A117" s="2858">
        <v>43</v>
      </c>
      <c r="B117" s="3558"/>
      <c r="C117" s="2858" t="s">
        <v>2737</v>
      </c>
      <c r="D117" s="2832" t="s">
        <v>2738</v>
      </c>
      <c r="E117" s="2858">
        <v>0.1</v>
      </c>
      <c r="F117" s="2858">
        <v>15</v>
      </c>
    </row>
    <row r="118" spans="1:6" ht="13.5">
      <c r="A118" s="2858">
        <v>44</v>
      </c>
      <c r="B118" s="3565" t="s">
        <v>2739</v>
      </c>
      <c r="C118" s="2858" t="s">
        <v>2740</v>
      </c>
      <c r="D118" s="2832" t="s">
        <v>2741</v>
      </c>
      <c r="E118" s="2858">
        <v>0.1</v>
      </c>
      <c r="F118" s="2858">
        <v>15</v>
      </c>
    </row>
    <row r="119" spans="1:6" ht="24">
      <c r="A119" s="2858">
        <v>45</v>
      </c>
      <c r="B119" s="3570"/>
      <c r="C119" s="2832" t="s">
        <v>2742</v>
      </c>
      <c r="D119" s="2832" t="s">
        <v>2743</v>
      </c>
      <c r="E119" s="2858">
        <v>0.1</v>
      </c>
      <c r="F119" s="2858">
        <v>15</v>
      </c>
    </row>
    <row r="120" spans="1:6" ht="24">
      <c r="A120" s="2858">
        <v>46</v>
      </c>
      <c r="B120" s="3565" t="s">
        <v>2744</v>
      </c>
      <c r="C120" s="2858" t="s">
        <v>2745</v>
      </c>
      <c r="D120" s="2832" t="s">
        <v>2746</v>
      </c>
      <c r="E120" s="2858">
        <v>0.1</v>
      </c>
      <c r="F120" s="2858">
        <v>15</v>
      </c>
    </row>
    <row r="121" spans="1:6" ht="24">
      <c r="A121" s="2858">
        <v>47</v>
      </c>
      <c r="B121" s="3570"/>
      <c r="C121" s="2858" t="s">
        <v>2747</v>
      </c>
      <c r="D121" s="2832" t="s">
        <v>2748</v>
      </c>
      <c r="E121" s="2858">
        <v>0.1</v>
      </c>
      <c r="F121" s="2858">
        <v>15</v>
      </c>
    </row>
    <row r="122" spans="1:6" ht="13.5">
      <c r="A122" s="2858">
        <v>48</v>
      </c>
      <c r="B122" s="3565" t="s">
        <v>2749</v>
      </c>
      <c r="C122" s="2858" t="s">
        <v>2750</v>
      </c>
      <c r="D122" s="2832" t="s">
        <v>2751</v>
      </c>
      <c r="E122" s="2858">
        <v>0.1</v>
      </c>
      <c r="F122" s="2858">
        <v>15</v>
      </c>
    </row>
    <row r="123" spans="1:6" ht="13.5">
      <c r="A123" s="2858">
        <v>49</v>
      </c>
      <c r="B123" s="3570"/>
      <c r="C123" s="2858" t="s">
        <v>2752</v>
      </c>
      <c r="D123" s="2832" t="s">
        <v>2753</v>
      </c>
      <c r="E123" s="2858">
        <v>0.1</v>
      </c>
      <c r="F123" s="2858">
        <v>15</v>
      </c>
    </row>
    <row r="124" spans="1:6" ht="24">
      <c r="A124" s="2858">
        <v>50</v>
      </c>
      <c r="B124" s="3558" t="s">
        <v>2754</v>
      </c>
      <c r="C124" s="2858" t="s">
        <v>2755</v>
      </c>
      <c r="D124" s="2832" t="s">
        <v>2756</v>
      </c>
      <c r="E124" s="2858">
        <v>0.1</v>
      </c>
      <c r="F124" s="2858">
        <v>15</v>
      </c>
    </row>
    <row r="125" spans="1:6" ht="24">
      <c r="A125" s="2858">
        <v>51</v>
      </c>
      <c r="B125" s="3558"/>
      <c r="C125" s="2858" t="s">
        <v>2757</v>
      </c>
      <c r="D125" s="2832" t="s">
        <v>2758</v>
      </c>
      <c r="E125" s="2858">
        <v>0.1</v>
      </c>
      <c r="F125" s="2858">
        <v>15</v>
      </c>
    </row>
    <row r="126" spans="1:6" ht="24">
      <c r="A126" s="2858">
        <v>52</v>
      </c>
      <c r="B126" s="3558" t="s">
        <v>2759</v>
      </c>
      <c r="C126" s="2858" t="s">
        <v>2760</v>
      </c>
      <c r="D126" s="2832" t="s">
        <v>2761</v>
      </c>
      <c r="E126" s="2858">
        <v>0.1</v>
      </c>
      <c r="F126" s="2858">
        <v>15</v>
      </c>
    </row>
    <row r="127" spans="1:6" ht="24">
      <c r="A127" s="2858">
        <v>53</v>
      </c>
      <c r="B127" s="3558"/>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58" t="s">
        <v>2767</v>
      </c>
      <c r="C129" s="2858" t="s">
        <v>2768</v>
      </c>
      <c r="D129" s="2832" t="s">
        <v>2769</v>
      </c>
      <c r="E129" s="2858">
        <v>0.1</v>
      </c>
      <c r="F129" s="2858">
        <v>15</v>
      </c>
    </row>
    <row r="130" spans="1:6" ht="13.5">
      <c r="A130" s="2858">
        <v>56</v>
      </c>
      <c r="B130" s="3558"/>
      <c r="C130" s="2858" t="s">
        <v>2770</v>
      </c>
      <c r="D130" s="2832" t="s">
        <v>2771</v>
      </c>
      <c r="E130" s="2858">
        <v>0.1</v>
      </c>
      <c r="F130" s="2858">
        <v>15</v>
      </c>
    </row>
    <row r="131" spans="1:6" ht="24">
      <c r="A131" s="2858">
        <v>57</v>
      </c>
      <c r="B131" s="3558"/>
      <c r="C131" s="2858" t="s">
        <v>2772</v>
      </c>
      <c r="D131" s="2832" t="s">
        <v>2773</v>
      </c>
      <c r="E131" s="2858">
        <v>0.1</v>
      </c>
      <c r="F131" s="2858">
        <v>15</v>
      </c>
    </row>
    <row r="132" spans="1:6" ht="24">
      <c r="A132" s="2858">
        <v>58</v>
      </c>
      <c r="B132" s="3558" t="s">
        <v>2774</v>
      </c>
      <c r="C132" s="2858" t="s">
        <v>2775</v>
      </c>
      <c r="D132" s="2832" t="s">
        <v>2776</v>
      </c>
      <c r="E132" s="2858">
        <v>0.1</v>
      </c>
      <c r="F132" s="2858">
        <v>15</v>
      </c>
    </row>
    <row r="133" spans="1:6" ht="13.5">
      <c r="A133" s="2858">
        <v>59</v>
      </c>
      <c r="B133" s="3558"/>
      <c r="C133" s="2858" t="s">
        <v>2777</v>
      </c>
      <c r="D133" s="2832" t="s">
        <v>2778</v>
      </c>
      <c r="E133" s="2858">
        <v>0.1</v>
      </c>
      <c r="F133" s="2858">
        <v>15</v>
      </c>
    </row>
    <row r="134" spans="1:6" ht="13.5">
      <c r="A134" s="2858">
        <v>60</v>
      </c>
      <c r="B134" s="3565" t="s">
        <v>2779</v>
      </c>
      <c r="C134" s="2858" t="s">
        <v>2780</v>
      </c>
      <c r="D134" s="2832" t="s">
        <v>2781</v>
      </c>
      <c r="E134" s="2858">
        <v>0.1</v>
      </c>
      <c r="F134" s="2858">
        <v>15</v>
      </c>
    </row>
    <row r="135" spans="1:6" ht="13.5">
      <c r="A135" s="2858">
        <v>61</v>
      </c>
      <c r="B135" s="3570"/>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58" t="s">
        <v>2787</v>
      </c>
      <c r="C137" s="2858" t="s">
        <v>2788</v>
      </c>
      <c r="D137" s="2832" t="s">
        <v>2789</v>
      </c>
      <c r="E137" s="2858">
        <v>0.1</v>
      </c>
      <c r="F137" s="2858">
        <v>15</v>
      </c>
    </row>
    <row r="138" spans="1:6" ht="13.5">
      <c r="A138" s="2858">
        <v>64</v>
      </c>
      <c r="B138" s="3558"/>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30295</v>
      </c>
      <c r="C2" s="2" t="s">
        <v>106</v>
      </c>
      <c r="D2" s="191"/>
      <c r="E2" s="191"/>
      <c r="F2" s="191"/>
      <c r="G2" s="191"/>
    </row>
    <row r="3" spans="1:7" s="192" customFormat="1" ht="18" customHeight="1" thickBot="1">
      <c r="A3" s="195" t="s">
        <v>58</v>
      </c>
      <c r="B3" s="196">
        <f ca="1">ROUND(B2*10000/'数据-汇总表'!E3,0)</f>
        <v>25584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4039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3503</v>
      </c>
      <c r="D34" s="209"/>
      <c r="E34" s="212"/>
      <c r="F34" s="249">
        <f>IF('数据-取费表'!B24=0,1,'数据-取费表'!N16)</f>
        <v>1</v>
      </c>
      <c r="G34" s="211" t="s">
        <v>89</v>
      </c>
    </row>
    <row r="35" spans="1:7" ht="13.5" customHeight="1">
      <c r="A35" s="734" t="s">
        <v>351</v>
      </c>
      <c r="B35" s="207" t="s">
        <v>33</v>
      </c>
      <c r="C35" s="212">
        <f>ROUND(C34*F35,0)</f>
        <v>175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70</v>
      </c>
      <c r="D38" s="212"/>
      <c r="E38" s="212"/>
      <c r="F38" s="251">
        <f>'数据-取费表'!B36</f>
        <v>0.02</v>
      </c>
      <c r="G38" s="211" t="s">
        <v>90</v>
      </c>
    </row>
    <row r="39" spans="1:7" s="206" customFormat="1" ht="13.5" customHeight="1">
      <c r="A39" s="731" t="s">
        <v>338</v>
      </c>
      <c r="B39" s="202" t="s">
        <v>77</v>
      </c>
      <c r="C39" s="224">
        <f>ROUND(C33*F20,0)</f>
        <v>40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126</v>
      </c>
      <c r="D42" s="230"/>
      <c r="E42" s="230"/>
      <c r="F42" s="231"/>
      <c r="G42" s="3428" t="s">
        <v>94</v>
      </c>
    </row>
    <row r="43" spans="1:7" ht="13.5" customHeight="1">
      <c r="A43" s="734" t="s">
        <v>347</v>
      </c>
      <c r="B43" s="207" t="s">
        <v>426</v>
      </c>
      <c r="C43" s="230">
        <f ca="1">ROUND(IF('数据-取费表'!B22&lt;=1,C39*F22*'数据-取费表'!B21/2,C39*(POWER((1+F22),'数据-取费表'!B21/2)-1)),0)</f>
        <v>1</v>
      </c>
      <c r="D43" s="230"/>
      <c r="E43" s="230"/>
      <c r="F43" s="231"/>
      <c r="G43" s="3429"/>
    </row>
    <row r="44" spans="1:7" ht="13.5" customHeight="1">
      <c r="A44" s="734" t="s">
        <v>348</v>
      </c>
      <c r="B44" s="207" t="s">
        <v>428</v>
      </c>
      <c r="C44" s="230">
        <f ca="1">ROUND(IF('数据-取费表'!B22&lt;=1,C40*F22*'数据-取费表'!B21/2,C40*(POWER((1+F22),'数据-取费表'!B21/2)-1)),4)</f>
        <v>8.9999999999999998E-4</v>
      </c>
      <c r="D44" s="230"/>
      <c r="E44" s="230"/>
      <c r="F44" s="231"/>
      <c r="G44" s="3430"/>
    </row>
    <row r="45" spans="1:7" s="206" customFormat="1" ht="13.5" customHeight="1">
      <c r="A45" s="731" t="s">
        <v>341</v>
      </c>
      <c r="B45" s="236" t="s">
        <v>85</v>
      </c>
      <c r="C45" s="237">
        <f>C46</f>
        <v>286</v>
      </c>
      <c r="D45" s="227">
        <f>C47</f>
        <v>2.0999999999999999E-3</v>
      </c>
      <c r="E45" s="228" t="s">
        <v>102</v>
      </c>
      <c r="F45" s="238"/>
      <c r="G45" s="239" t="s">
        <v>434</v>
      </c>
    </row>
    <row r="46" spans="1:7" s="206" customFormat="1" ht="13.5" customHeight="1">
      <c r="A46" s="734" t="s">
        <v>349</v>
      </c>
      <c r="B46" s="240" t="s">
        <v>427</v>
      </c>
      <c r="C46" s="241">
        <f>ROUND((C33+C39)*F27,0)</f>
        <v>286</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4916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4179</v>
      </c>
      <c r="D51" s="224"/>
      <c r="E51" s="224"/>
      <c r="F51" s="256"/>
      <c r="G51" s="226" t="s">
        <v>37</v>
      </c>
    </row>
    <row r="52" spans="1:7" s="200" customFormat="1" ht="16.5" thickBot="1">
      <c r="A52" s="257" t="s">
        <v>38</v>
      </c>
      <c r="B52" s="258"/>
      <c r="C52" s="259">
        <f ca="1">C31+C51</f>
        <v>30295</v>
      </c>
      <c r="D52" s="258"/>
      <c r="E52" s="258"/>
      <c r="F52" s="258"/>
      <c r="G52" s="260"/>
    </row>
    <row r="55" spans="1:7" ht="15">
      <c r="B55" s="262" t="s">
        <v>39</v>
      </c>
      <c r="C55" s="263"/>
    </row>
    <row r="56" spans="1:7">
      <c r="B56" s="265" t="s">
        <v>40</v>
      </c>
      <c r="C56" s="266">
        <f ca="1">ROUND(C51/C52,3)</f>
        <v>0.13800000000000001</v>
      </c>
    </row>
    <row r="57" spans="1:7">
      <c r="B57" s="265" t="s">
        <v>41</v>
      </c>
      <c r="C57" s="267">
        <f ca="1">1-C56</f>
        <v>0.86199999999999999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71" t="s">
        <v>3179</v>
      </c>
      <c r="B1" s="3571"/>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72" t="s">
        <v>3230</v>
      </c>
      <c r="B1" s="3572"/>
      <c r="C1" s="3572"/>
      <c r="D1" s="3572"/>
      <c r="E1" s="3572"/>
      <c r="F1" s="3573"/>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74" t="s">
        <v>455</v>
      </c>
      <c r="S1" s="3575"/>
      <c r="T1" s="3575"/>
      <c r="U1" s="3575"/>
      <c r="V1" s="3575"/>
      <c r="W1" s="3575"/>
      <c r="X1" s="2897"/>
      <c r="Y1" s="3574" t="s">
        <v>456</v>
      </c>
      <c r="Z1" s="3575"/>
      <c r="AA1" s="3575"/>
      <c r="AB1" s="3575"/>
      <c r="AC1" s="3575"/>
      <c r="AD1" s="3575"/>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74" t="s">
        <v>2825</v>
      </c>
      <c r="S29" s="3575"/>
      <c r="T29" s="3575"/>
      <c r="U29" s="3575"/>
      <c r="V29" s="3575"/>
      <c r="W29" s="3575"/>
      <c r="X29" s="2897"/>
      <c r="Y29" s="3574" t="s">
        <v>2826</v>
      </c>
      <c r="Z29" s="3575"/>
      <c r="AA29" s="3575"/>
      <c r="AB29" s="3575"/>
      <c r="AC29" s="3575"/>
      <c r="AD29" s="3575"/>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79" t="s">
        <v>451</v>
      </c>
      <c r="C1" s="3579"/>
      <c r="D1" s="3579"/>
      <c r="E1" s="3579"/>
      <c r="F1" s="3579"/>
      <c r="G1" s="3575" t="s">
        <v>452</v>
      </c>
      <c r="H1" s="3575"/>
      <c r="I1" s="3575"/>
      <c r="J1" s="3575"/>
      <c r="K1" s="3575"/>
      <c r="L1" s="3575"/>
      <c r="N1" s="3575" t="s">
        <v>453</v>
      </c>
      <c r="O1" s="3575"/>
      <c r="P1" s="3575"/>
      <c r="Q1" s="3575"/>
      <c r="S1" s="3575" t="s">
        <v>454</v>
      </c>
      <c r="T1" s="3575"/>
      <c r="U1" s="3575"/>
      <c r="V1" s="3575"/>
      <c r="X1" s="3574" t="s">
        <v>455</v>
      </c>
      <c r="Y1" s="3575"/>
      <c r="Z1" s="3575"/>
      <c r="AA1" s="3575"/>
      <c r="AB1" s="3575"/>
      <c r="AD1" s="3574" t="s">
        <v>456</v>
      </c>
      <c r="AE1" s="3575"/>
      <c r="AF1" s="3575"/>
      <c r="AG1" s="3575"/>
      <c r="AH1" s="3575"/>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7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7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7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8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8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7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7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8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8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7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7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7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7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7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7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7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7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7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7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7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8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8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8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8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7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7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7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7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7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7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7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7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7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7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7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7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7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7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7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7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7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7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7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7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7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7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7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7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7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7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7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7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7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7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7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7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7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7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7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7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76">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77">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77">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78">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76">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77">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77">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7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87" t="s">
        <v>2837</v>
      </c>
      <c r="B1" s="3587"/>
      <c r="C1" s="3587"/>
      <c r="D1" s="3587"/>
      <c r="E1" s="3587"/>
      <c r="F1" s="3587"/>
      <c r="G1" s="3588"/>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85"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86"/>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6" t="s">
        <v>948</v>
      </c>
      <c r="B1" s="3266"/>
      <c r="C1" s="3266"/>
      <c r="D1" s="3266"/>
    </row>
    <row r="2" spans="1:4" ht="18">
      <c r="A2" s="3267" t="s">
        <v>932</v>
      </c>
      <c r="B2" s="3267"/>
      <c r="C2" s="3267"/>
      <c r="D2" s="3267"/>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67" t="s">
        <v>938</v>
      </c>
      <c r="B6" s="3267"/>
      <c r="C6" s="3267"/>
      <c r="D6" s="3267"/>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68" t="s">
        <v>941</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0"/>
      <c r="C12" s="3270"/>
      <c r="D12" s="3270"/>
    </row>
    <row r="13" spans="1:4" ht="30" customHeight="1">
      <c r="A13" s="3269" t="str">
        <f>IF(项目基本情况!B8="抵押","3.抵押双方在办理抵押登记手续时，应使用本公司出具的正式《房地产评估报告》，特提醒报告使用者注意。","——")</f>
        <v>——</v>
      </c>
      <c r="B13" s="3270"/>
      <c r="C13" s="3270"/>
      <c r="D13" s="3270"/>
    </row>
    <row r="14" spans="1:4" ht="15.75" customHeight="1">
      <c r="A14" s="3269" t="str">
        <f>IF(项目基本情况!B8="抵押","4.本次评估估价师所知悉的法定优先受偿款情况说明如下：","——")</f>
        <v>——</v>
      </c>
      <c r="B14" s="3270"/>
      <c r="C14" s="3270"/>
      <c r="D14" s="3270"/>
    </row>
    <row r="15" spans="1:4" ht="42" customHeight="1">
      <c r="A15" s="3269" t="str">
        <f>IF(项目基本情况!B8="抵押","（1）"&amp;CONCATENATE(项目基本情况!L20,项目基本情况!L21,项目基本情况!L22),"——")</f>
        <v>——</v>
      </c>
      <c r="B15" s="3269"/>
      <c r="C15" s="3269"/>
      <c r="D15" s="3269"/>
    </row>
    <row r="16" spans="1:4" ht="30" customHeight="1">
      <c r="A16" s="3272" t="s">
        <v>942</v>
      </c>
      <c r="B16" s="3272"/>
      <c r="C16" s="3272"/>
      <c r="D16" s="3272"/>
    </row>
    <row r="17" spans="1:4" ht="144" customHeight="1">
      <c r="A17" s="3272" t="s">
        <v>943</v>
      </c>
      <c r="B17" s="3272"/>
      <c r="C17" s="3272"/>
      <c r="D17" s="3272"/>
    </row>
    <row r="18" spans="1:4" ht="15.75" customHeight="1">
      <c r="A18" s="3269" t="str">
        <f>IF(项目基本情况!B8="抵押",'结果表-2号楼1层商业'!K120,"——")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-2号楼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-2号楼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944</v>
      </c>
      <c r="B22" s="3274"/>
      <c r="C22" s="3274"/>
      <c r="D22" s="3274"/>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80" t="s">
        <v>955</v>
      </c>
      <c r="B15" s="3275" t="s">
        <v>109</v>
      </c>
      <c r="C15" s="3276"/>
    </row>
    <row r="16" spans="1:7" ht="13.5">
      <c r="A16" s="3281"/>
      <c r="B16" s="3275" t="s">
        <v>42</v>
      </c>
      <c r="C16" s="3276"/>
    </row>
    <row r="17" spans="1:3" ht="13.5">
      <c r="A17" s="3281"/>
      <c r="B17" s="3278" t="s">
        <v>956</v>
      </c>
      <c r="C17" s="1429" t="s">
        <v>955</v>
      </c>
    </row>
    <row r="18" spans="1:3" ht="13.5">
      <c r="A18" s="3281"/>
      <c r="B18" s="3278"/>
      <c r="C18" s="1429" t="s">
        <v>957</v>
      </c>
    </row>
    <row r="19" spans="1:3" ht="13.5">
      <c r="A19" s="3281"/>
      <c r="B19" s="3278"/>
      <c r="C19" s="1429" t="s">
        <v>958</v>
      </c>
    </row>
    <row r="20" spans="1:3" ht="13.5">
      <c r="A20" s="3282"/>
      <c r="B20" s="3277" t="s">
        <v>959</v>
      </c>
      <c r="C20" s="3276"/>
    </row>
    <row r="21" spans="1:3" ht="13.5">
      <c r="A21" s="1430" t="s">
        <v>960</v>
      </c>
      <c r="B21" s="1431"/>
      <c r="C21" s="1432"/>
    </row>
    <row r="22" spans="1:3" ht="13.5">
      <c r="A22" s="3279" t="s">
        <v>961</v>
      </c>
      <c r="B22" s="3277" t="s">
        <v>962</v>
      </c>
      <c r="C22" s="3276"/>
    </row>
    <row r="23" spans="1:3" ht="13.5">
      <c r="A23" s="3279"/>
      <c r="B23" s="3277" t="s">
        <v>963</v>
      </c>
      <c r="C23" s="3276"/>
    </row>
    <row r="24" spans="1:3" ht="13.5">
      <c r="A24" s="3279"/>
      <c r="B24" s="3277" t="s">
        <v>964</v>
      </c>
      <c r="C24" s="3276"/>
    </row>
    <row r="25" spans="1:3" ht="13.5">
      <c r="A25" s="3279"/>
      <c r="B25" s="3278" t="s">
        <v>965</v>
      </c>
      <c r="C25" s="1429" t="s">
        <v>966</v>
      </c>
    </row>
    <row r="26" spans="1:3" ht="13.5">
      <c r="A26" s="3279"/>
      <c r="B26" s="3278"/>
      <c r="C26" s="1429" t="s">
        <v>967</v>
      </c>
    </row>
    <row r="27" spans="1:3" ht="13.5">
      <c r="A27" s="3279"/>
      <c r="B27" s="3278"/>
      <c r="C27" s="1429" t="s">
        <v>968</v>
      </c>
    </row>
    <row r="28" spans="1:3" ht="13.5">
      <c r="A28" s="3279"/>
      <c r="B28" s="3278"/>
      <c r="C28" s="1429" t="s">
        <v>969</v>
      </c>
    </row>
    <row r="29" spans="1:3" ht="13.5">
      <c r="A29" s="3279"/>
      <c r="B29" s="3278"/>
      <c r="C29" s="1429" t="s">
        <v>970</v>
      </c>
    </row>
    <row r="30" spans="1:3" ht="13.5">
      <c r="A30" s="3279"/>
      <c r="B30" s="3278"/>
      <c r="C30" s="1429" t="s">
        <v>971</v>
      </c>
    </row>
    <row r="31" spans="1:3" ht="13.5">
      <c r="A31" s="3279"/>
      <c r="B31" s="3278"/>
      <c r="C31" s="1429" t="s">
        <v>972</v>
      </c>
    </row>
    <row r="32" spans="1:3" ht="13.5">
      <c r="A32" s="3279"/>
      <c r="B32" s="3278"/>
      <c r="C32" s="1429" t="s">
        <v>973</v>
      </c>
    </row>
    <row r="33" spans="1:3" ht="13.5">
      <c r="A33" s="3279"/>
      <c r="B33" s="3278"/>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46035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3" t="s">
        <v>2158</v>
      </c>
      <c r="B17" s="3283"/>
      <c r="C17" s="3283"/>
      <c r="D17" s="3283"/>
      <c r="E17" s="3283"/>
      <c r="F17" s="3283"/>
      <c r="G17" s="3283"/>
      <c r="H17" s="3283"/>
    </row>
    <row r="18" spans="1:8" ht="24" customHeight="1">
      <c r="A18" s="3284" t="s">
        <v>2159</v>
      </c>
      <c r="B18" s="3284"/>
      <c r="C18" s="3284"/>
      <c r="D18" s="2160"/>
      <c r="E18" s="3285" t="s">
        <v>2160</v>
      </c>
      <c r="F18" s="3284"/>
      <c r="G18" s="3284"/>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分套结果</vt:lpstr>
      <vt:lpstr>结果表</vt:lpstr>
      <vt:lpstr>结果表-2号楼1层商业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最终结果</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'结果表-2号楼1层商业'!Print_Area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2026-01-13T03:01:42Z</dcterms:modified>
</cp:coreProperties>
</file>