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结果表" sheetId="9" r:id="rId16"/>
    <sheet name="估价对象房地状况" sheetId="20" r:id="rId17"/>
    <sheet name="系统读取表" sheetId="74"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5">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7" i="9" l="1"/>
  <c r="N6" i="1" l="1"/>
  <c r="C14" i="74" l="1"/>
  <c r="B14" i="74"/>
  <c r="D40" i="43"/>
  <c r="G84" i="43"/>
  <c r="G85" i="43"/>
  <c r="G86" i="43"/>
  <c r="G87" i="43"/>
  <c r="G88" i="43"/>
  <c r="G89" i="43"/>
  <c r="G90" i="43"/>
  <c r="G83" i="43"/>
  <c r="F19" i="6" l="1"/>
  <c r="G19" i="6"/>
  <c r="I13" i="3"/>
  <c r="K13" i="3"/>
  <c r="J52" i="15" l="1"/>
  <c r="Y6" i="1"/>
  <c r="D33" i="43"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E13" i="76"/>
  <c r="F7" i="67"/>
  <c r="M24" i="67"/>
  <c r="D7" i="73"/>
  <c r="F4" i="73"/>
  <c r="L47" i="67"/>
  <c r="B8" i="76"/>
  <c r="E10" i="76"/>
  <c r="E12" i="76"/>
  <c r="F37" i="67"/>
  <c r="L47" i="15"/>
  <c r="F8" i="15"/>
  <c r="F40" i="15"/>
  <c r="F6" i="15"/>
  <c r="M22" i="67"/>
  <c r="F26" i="67"/>
  <c r="M23" i="15"/>
  <c r="F26" i="15"/>
  <c r="D4" i="73"/>
  <c r="B13" i="76"/>
  <c r="F8" i="67"/>
  <c r="L48" i="15"/>
  <c r="B7" i="76"/>
  <c r="F16" i="67"/>
  <c r="M29" i="67"/>
  <c r="F40" i="67"/>
  <c r="F42" i="67"/>
  <c r="J15" i="67"/>
  <c r="F36" i="67"/>
  <c r="D34" i="9"/>
  <c r="E7" i="76"/>
  <c r="E9" i="76"/>
  <c r="F9" i="15"/>
  <c r="L48" i="67"/>
  <c r="F13" i="67"/>
  <c r="F43" i="67"/>
  <c r="M28" i="67"/>
  <c r="F42" i="15"/>
  <c r="M23" i="67"/>
  <c r="F3" i="73"/>
  <c r="B10" i="76"/>
  <c r="M8" i="67"/>
  <c r="M28" i="15"/>
  <c r="M26" i="15"/>
  <c r="M9" i="15"/>
  <c r="M26" i="67"/>
  <c r="F5" i="73"/>
  <c r="E8" i="76"/>
  <c r="M29" i="15"/>
  <c r="M22" i="15"/>
  <c r="F43" i="15"/>
  <c r="M6" i="67"/>
  <c r="D3" i="73"/>
  <c r="F36" i="15"/>
  <c r="F13" i="15"/>
  <c r="AO13" i="1"/>
  <c r="D6" i="73"/>
  <c r="E2" i="68"/>
  <c r="M8" i="15"/>
  <c r="C76" i="67"/>
  <c r="D5" i="73"/>
  <c r="D35" i="9"/>
  <c r="B9" i="76"/>
  <c r="F7" i="73"/>
  <c r="F20" i="31"/>
  <c r="E2" i="69"/>
  <c r="F6" i="67"/>
  <c r="M6" i="15"/>
  <c r="E11" i="76"/>
  <c r="F16" i="15"/>
  <c r="M9" i="67"/>
  <c r="F37" i="15"/>
  <c r="F9" i="67"/>
  <c r="B12" i="76"/>
  <c r="F6" i="73"/>
  <c r="F38" i="67"/>
  <c r="M24" i="15"/>
  <c r="C76" i="15"/>
  <c r="J15" i="15"/>
  <c r="B11" i="76"/>
  <c r="F38" i="15"/>
  <c r="H69" i="43" l="1"/>
  <c r="H5" i="3"/>
  <c r="G13" i="3"/>
  <c r="G5" i="3" s="1"/>
  <c r="B3" i="3" s="1"/>
  <c r="Z6" i="3" s="1"/>
  <c r="BA5" i="3"/>
  <c r="BL5" i="3"/>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76" i="3"/>
  <c r="AG6" i="3"/>
  <c r="E448" i="3"/>
  <c r="P6" i="3"/>
  <c r="E443" i="3"/>
  <c r="E558" i="3"/>
  <c r="E581" i="3"/>
  <c r="E444" i="3"/>
  <c r="E404" i="3"/>
  <c r="E88" i="3"/>
  <c r="E121" i="3"/>
  <c r="E166" i="3"/>
  <c r="E211" i="3"/>
  <c r="E295" i="3"/>
  <c r="E273" i="3"/>
  <c r="E316" i="3"/>
  <c r="E377" i="3"/>
  <c r="E334" i="3"/>
  <c r="E572" i="3"/>
  <c r="E30" i="3"/>
  <c r="E109" i="3"/>
  <c r="E480"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441" i="3" l="1"/>
  <c r="E29" i="3"/>
  <c r="E44" i="3"/>
  <c r="AM6" i="3"/>
  <c r="E384" i="3"/>
  <c r="E317" i="3"/>
  <c r="E331" i="3"/>
  <c r="E291" i="3"/>
  <c r="E210" i="3"/>
  <c r="E272" i="3"/>
  <c r="E186" i="3"/>
  <c r="E182" i="3"/>
  <c r="E70" i="3"/>
  <c r="E28" i="3"/>
  <c r="E489" i="3"/>
  <c r="E531" i="3"/>
  <c r="E557" i="3"/>
  <c r="E345" i="3"/>
  <c r="E400" i="3"/>
  <c r="E485" i="3"/>
  <c r="AO6" i="3"/>
  <c r="E13" i="3"/>
  <c r="E460" i="3"/>
  <c r="E582" i="3"/>
  <c r="E566" i="3"/>
  <c r="E459" i="3"/>
  <c r="E398" i="3"/>
  <c r="E464" i="3"/>
  <c r="E552" i="3"/>
  <c r="AD6" i="3"/>
  <c r="E141" i="3"/>
  <c r="E149" i="3"/>
  <c r="E165" i="3"/>
  <c r="E77" i="3"/>
  <c r="E568" i="3"/>
  <c r="E181" i="3"/>
  <c r="E545" i="3"/>
  <c r="AK6"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413" i="3"/>
  <c r="E500" i="3"/>
  <c r="E374" i="3"/>
  <c r="E416" i="3"/>
  <c r="E487" i="3"/>
  <c r="E421" i="3"/>
  <c r="E542" i="3"/>
  <c r="E312" i="3"/>
  <c r="E167" i="3"/>
  <c r="E244" i="3"/>
  <c r="E156" i="3"/>
  <c r="E238" i="3"/>
  <c r="E434" i="3"/>
  <c r="E128" i="3"/>
  <c r="E262"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99" i="3"/>
  <c r="E306" i="3"/>
  <c r="E511" i="3"/>
  <c r="E352" i="3"/>
  <c r="E314" i="3"/>
  <c r="E136" i="3"/>
  <c r="E85" i="3"/>
  <c r="E461" i="3"/>
  <c r="E453" i="3"/>
  <c r="E122" i="3"/>
  <c r="E253" i="3"/>
  <c r="E539" i="3"/>
  <c r="E536" i="3"/>
  <c r="E148" i="3"/>
  <c r="E212" i="3"/>
  <c r="E199" i="3"/>
  <c r="E286" i="3"/>
  <c r="E575" i="3"/>
  <c r="E499" i="3"/>
  <c r="R6" i="3"/>
  <c r="E502" i="3"/>
  <c r="E442" i="3"/>
  <c r="E466" i="3"/>
  <c r="E541" i="3"/>
  <c r="E430" i="3"/>
  <c r="E449" i="3"/>
  <c r="E255" i="3"/>
  <c r="I3" i="6"/>
  <c r="AP6" i="3"/>
  <c r="E554" i="3"/>
  <c r="E517" i="3"/>
  <c r="E435" i="3"/>
  <c r="E510" i="3"/>
  <c r="E205" i="3"/>
  <c r="E296" i="3"/>
  <c r="E140" i="3"/>
  <c r="E197" i="3"/>
  <c r="E173" i="3"/>
  <c r="E369" i="3"/>
  <c r="E525" i="3"/>
  <c r="E534" i="3"/>
  <c r="T6" i="3"/>
  <c r="E405" i="3"/>
  <c r="E456" i="3"/>
  <c r="E469" i="3"/>
  <c r="E512" i="3"/>
  <c r="E408" i="3"/>
  <c r="E451" i="3"/>
  <c r="E360" i="3"/>
  <c r="E556" i="3"/>
  <c r="E497" i="3"/>
  <c r="E494" i="3"/>
  <c r="E452"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16" i="3"/>
  <c r="E223" i="3"/>
  <c r="E105" i="3"/>
  <c r="E493" i="3"/>
  <c r="E543" i="3"/>
  <c r="E486" i="3"/>
  <c r="E422" i="3"/>
  <c r="E490" i="3"/>
  <c r="AH6" i="3"/>
  <c r="E498"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67" i="3"/>
  <c r="E33" i="3"/>
  <c r="E144" i="3"/>
  <c r="E184" i="3"/>
  <c r="E233" i="3"/>
  <c r="E355" i="3"/>
  <c r="E341" i="3"/>
  <c r="Y6" i="3"/>
  <c r="E51" i="3"/>
  <c r="E19" i="3"/>
  <c r="E81" i="3"/>
  <c r="E118" i="3"/>
  <c r="E264" i="3"/>
  <c r="E283" i="3"/>
  <c r="E309" i="3"/>
  <c r="E513" i="3"/>
  <c r="E21" i="3"/>
  <c r="E329" i="3"/>
  <c r="E188" i="3"/>
  <c r="E116" i="3"/>
  <c r="E393" i="3"/>
  <c r="E564" i="3"/>
  <c r="E427" i="3"/>
  <c r="E507" i="3"/>
  <c r="E440" i="3"/>
  <c r="E376" i="3"/>
  <c r="J6" i="3"/>
  <c r="E419"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10" i="3"/>
  <c r="E354" i="3"/>
  <c r="E492" i="3"/>
  <c r="E584" i="3"/>
  <c r="E23" i="3"/>
  <c r="E84" i="3"/>
  <c r="E24" i="3"/>
  <c r="E48" i="3"/>
  <c r="E87" i="3"/>
  <c r="E127" i="3"/>
  <c r="E250" i="3"/>
  <c r="E284" i="3"/>
  <c r="E381" i="3"/>
  <c r="E68" i="3"/>
  <c r="E63" i="3"/>
  <c r="E154" i="3"/>
  <c r="E179" i="3"/>
  <c r="E222" i="3"/>
  <c r="E323" i="3"/>
  <c r="E373" i="3"/>
  <c r="E8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25" i="11" l="1"/>
  <c r="C7" i="68"/>
  <c r="C6" i="68"/>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C5" i="68"/>
  <c r="C23" i="68"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9" i="1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6"/>
  <c r="D2" i="35"/>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19" i="9"/>
  <c r="AO9" i="1"/>
  <c r="AO12" i="1"/>
  <c r="AO10" i="1"/>
  <c r="AO7" i="1"/>
  <c r="AO11" i="1"/>
  <c r="AO8" i="1"/>
  <c r="D102" i="9" l="1"/>
  <c r="D21" i="9"/>
  <c r="D22" i="9"/>
  <c r="G19" i="9"/>
  <c r="D28"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l="1"/>
  <c r="N61" i="9"/>
  <c r="N60" i="9"/>
  <c r="P57" i="9"/>
  <c r="N59" i="9"/>
  <c r="N58" i="9"/>
  <c r="D52" i="9"/>
  <c r="D53" i="9"/>
  <c r="C104" i="9"/>
  <c r="H4" i="52"/>
  <c r="I4" i="52"/>
  <c r="C105" i="9"/>
  <c r="E97" i="9"/>
  <c r="B51" i="72"/>
  <c r="N57" i="9"/>
  <c r="M55" i="9"/>
  <c r="D8" i="52"/>
  <c r="E81" i="9"/>
  <c r="C5" i="74"/>
  <c r="C93" i="9"/>
  <c r="C86" i="9"/>
  <c r="B31" i="72"/>
  <c r="M54" i="9"/>
  <c r="D54" i="9"/>
  <c r="C81" i="9"/>
  <c r="B30" i="72"/>
  <c r="B20" i="72"/>
  <c r="B52" i="72"/>
  <c r="G4" i="52"/>
  <c r="D59" i="9"/>
  <c r="C67" i="9"/>
  <c r="C68" i="9"/>
  <c r="B48" i="72"/>
  <c r="C78" i="9"/>
  <c r="C73" i="9"/>
  <c r="D4" i="52"/>
  <c r="B47" i="72"/>
  <c r="D14" i="53"/>
  <c r="B32" i="72"/>
  <c r="E96" i="9"/>
  <c r="H102" i="9"/>
  <c r="D7" i="53"/>
  <c r="B21" i="72"/>
  <c r="C80" i="9"/>
  <c r="E80" i="9"/>
  <c r="D55" i="9"/>
  <c r="M53" i="9"/>
  <c r="D13" i="53"/>
  <c r="D122" i="9"/>
  <c r="D123" i="9"/>
  <c r="D9" i="52"/>
  <c r="D15" i="53"/>
  <c r="H108" i="9"/>
  <c r="C6" i="74"/>
  <c r="H107" i="9"/>
  <c r="M48" i="9"/>
  <c r="B49" i="72"/>
  <c r="C96" i="9"/>
  <c r="D56" i="9"/>
  <c r="F4" i="52"/>
  <c r="B53" i="72"/>
  <c r="D5" i="53"/>
  <c r="D6" i="53"/>
  <c r="B22" i="72"/>
  <c r="C97" i="9"/>
  <c r="D58" i="9"/>
  <c r="E4" i="52"/>
  <c r="H119" i="9"/>
  <c r="H5" i="52"/>
  <c r="C64" i="9"/>
  <c r="C63" i="9"/>
  <c r="G118" i="9"/>
  <c r="F118" i="9"/>
  <c r="F119" i="9"/>
  <c r="F5" i="52"/>
  <c r="C85" i="9"/>
  <c r="C95" i="9"/>
  <c r="H101" i="9"/>
  <c r="D45" i="9"/>
  <c r="C72" i="9"/>
  <c r="C79"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<sst xmlns="http://schemas.openxmlformats.org/spreadsheetml/2006/main" count="7815" uniqueCount="3411">
  <si>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</si>
  <si>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</si>
  <si>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</si>
  <si>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</si>
  <si>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</si>
  <si>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</si>
  <si>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</si>
  <si>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</si>
  <si>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</si>
  <si>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</si>
  <si>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</si>
  <si>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</si>
  <si>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</si>
  <si>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</si>
  <si>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</si>
  <si>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</si>
  <si>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</si>
  <si>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</si>
  <si>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</si>
  <si>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</si>
  <si>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</si>
  <si>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</si>
  <si>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</si>
  <si>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</si>
  <si>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</si>
  <si>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</si>
  <si>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</si>
  <si>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</si>
  <si>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</si>
  <si>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</si>
  <si>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</si>
  <si>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</si>
  <si>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</si>
  <si>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</si>
  <si>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</si>
  <si>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</si>
  <si>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</si>
  <si>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</si>
  <si>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</si>
  <si>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</si>
  <si>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</si>
  <si>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</si>
  <si>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</si>
  <si>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</si>
  <si>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</si>
  <si>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</si>
  <si>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</si>
  <si>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</si>
  <si>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</si>
  <si>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</si>
  <si>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</si>
  <si>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</si>
  <si>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</si>
  <si>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</si>
  <si>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</si>
  <si>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</si>
  <si>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</si>
  <si>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</si>
  <si>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</si>
  <si>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</si>
  <si>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</si>
  <si>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</si>
  <si>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</si>
  <si>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</si>
  <si>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</si>
  <si>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</si>
  <si>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</si>
  <si>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</si>
  <si>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</si>
  <si>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</si>
  <si>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</si>
  <si>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</si>
  <si>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</si>
  <si>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</si>
  <si>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</si>
  <si>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</si>
  <si>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</si>
  <si>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</si>
  <si>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</si>
  <si>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</si>
  <si>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</si>
  <si>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</si>
  <si>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</si>
  <si>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</si>
  <si>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</si>
  <si>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</si>
  <si>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</si>
  <si>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</si>
  <si>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</si>
  <si>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</si>
  <si>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</si>
  <si>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</si>
  <si>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</si>
  <si>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</si>
  <si>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</si>
  <si>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</si>
  <si>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</si>
  <si>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</si>
  <si>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</si>
  <si>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</si>
  <si>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</si>
  <si>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</si>
  <si>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</si>
  <si>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</si>
  <si>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</si>
  <si>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</si>
  <si>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</si>
  <si>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</si>
  <si>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</si>
  <si>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</si>
  <si>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</si>
  <si>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</si>
  <si>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</si>
  <si>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</si>
  <si>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</si>
  <si>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</si>
  <si>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</si>
  <si>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</si>
  <si>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</si>
  <si>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</si>
  <si>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</si>
  <si>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</si>
  <si>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</si>
  <si>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</si>
  <si>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</si>
  <si>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</si>
  <si>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</si>
  <si>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</si>
  <si>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</si>
  <si>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</si>
  <si>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</si>
  <si>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</si>
  <si>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</si>
  <si>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</si>
  <si>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</si>
  <si>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</si>
  <si>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</si>
  <si>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</si>
  <si>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</si>
  <si>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</si>
  <si>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</si>
  <si>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</si>
  <si>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</si>
  <si>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</si>
  <si>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</si>
  <si>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</si>
  <si>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</si>
  <si>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</si>
  <si>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</si>
  <si>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</si>
  <si>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</si>
  <si>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</si>
  <si>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</si>
  <si>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</si>
  <si>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</si>
  <si>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</si>
  <si>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</si>
  <si>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</si>
  <si>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</si>
  <si>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</si>
  <si>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</si>
  <si>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</si>
  <si>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</si>
  <si>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</si>
  <si>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</si>
  <si>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</si>
  <si>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</si>
  <si>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</si>
  <si>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</si>
  <si>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</si>
  <si>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</si>
  <si>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</si>
  <si>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</si>
  <si>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</si>
  <si>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</si>
  <si>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</si>
  <si>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</si>
  <si>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</si>
  <si>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</si>
  <si>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</si>
  <si>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</si>
  <si>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</si>
  <si>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</si>
  <si>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</si>
  <si>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</si>
  <si>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</si>
  <si>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</si>
  <si>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</si>
  <si>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</si>
  <si>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</si>
  <si>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</si>
  <si>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</si>
  <si>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</si>
  <si>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</si>
  <si>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</si>
  <si>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</si>
  <si>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</si>
  <si>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</si>
  <si>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</si>
  <si>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</si>
  <si>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</si>
  <si>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</si>
  <si>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</si>
  <si>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</si>
  <si>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</si>
  <si>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</si>
  <si>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</si>
  <si>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</si>
  <si>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</si>
  <si>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</si>
  <si>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</si>
  <si>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</si>
  <si>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</si>
  <si>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</si>
  <si>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</si>
  <si>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</si>
  <si>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</si>
  <si>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</si>
  <si>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</si>
  <si>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</si>
  <si>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</si>
  <si>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</si>
  <si>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</si>
  <si>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</si>
  <si>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</si>
  <si>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</si>
  <si>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</si>
  <si>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</si>
  <si>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</si>
  <si>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</si>
  <si>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</si>
  <si>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</si>
  <si>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</si>
  <si>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</si>
  <si>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</si>
  <si>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</si>
  <si>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</si>
  <si>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</si>
  <si>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</si>
  <si>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</si>
  <si>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</si>
  <si>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</si>
  <si>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</si>
  <si>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</si>
  <si>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</si>
  <si>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</si>
  <si>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</si>
  <si>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</si>
  <si>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</si>
  <si>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</si>
  <si>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</si>
  <si>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</si>
  <si>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</si>
  <si>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</si>
  <si>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</si>
  <si>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</si>
  <si>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</si>
  <si>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</si>
  <si>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</si>
  <si>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</si>
  <si>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</si>
  <si>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</si>
  <si>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</si>
  <si>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</si>
  <si>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</si>
  <si>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</si>
  <si>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</si>
  <si>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</si>
  <si>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</si>
  <si>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</si>
  <si>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</si>
  <si>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</si>
  <si>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</si>
  <si>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</si>
  <si>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</si>
  <si>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</si>
  <si>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</si>
  <si>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</si>
  <si>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</si>
  <si>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</si>
  <si>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</si>
  <si>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</si>
  <si>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</si>
  <si>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</si>
  <si>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</si>
  <si>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</si>
  <si>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</si>
  <si>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</si>
  <si>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</si>
  <si>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</si>
  <si>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</si>
  <si>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</si>
  <si>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</si>
  <si>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</si>
  <si>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</si>
  <si>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</si>
  <si>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</si>
  <si>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</si>
  <si>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</si>
  <si>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</si>
  <si>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</si>
  <si>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</si>
  <si>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</si>
  <si>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</si>
  <si>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</si>
  <si>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</si>
  <si>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</si>
  <si>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</si>
  <si>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</si>
  <si>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</si>
  <si>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</si>
  <si>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</si>
  <si>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</si>
  <si>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</si>
  <si>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</si>
  <si>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</si>
  <si>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</si>
  <si>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</si>
  <si>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</si>
  <si>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</si>
  <si>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</si>
  <si>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</si>
  <si>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</si>
  <si>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</si>
  <si>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</si>
  <si>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</si>
  <si>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</si>
  <si>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</si>
  <si>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</si>
  <si>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</si>
  <si>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</si>
  <si>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</si>
  <si>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</si>
  <si>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</si>
  <si>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</si>
  <si>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</si>
  <si>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</si>
  <si>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</si>
  <si>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</si>
  <si>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</si>
  <si>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</si>
  <si>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</si>
  <si>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</si>
  <si>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</si>
  <si>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</si>
  <si>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</si>
  <si>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</si>
  <si>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</si>
  <si>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</si>
  <si>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</si>
  <si>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</si>
  <si>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</si>
  <si>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</si>
  <si>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</si>
  <si>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</si>
  <si>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</si>
  <si>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</si>
  <si>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</si>
  <si>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</si>
  <si>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</si>
  <si>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</si>
  <si>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</si>
  <si>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</si>
  <si>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</si>
  <si>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</si>
  <si>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</si>
  <si>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</si>
  <si>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</si>
  <si>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</si>
  <si>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</si>
  <si>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</si>
  <si>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</si>
  <si>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</si>
  <si>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</si>
  <si>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</si>
  <si>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</si>
  <si>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</si>
  <si>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</si>
  <si>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</si>
  <si>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</si>
  <si>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</si>
  <si>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</si>
  <si>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</si>
  <si>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</si>
  <si>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</si>
  <si>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</si>
  <si>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</si>
  <si>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</si>
  <si>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</si>
  <si>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</si>
  <si>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</si>
  <si>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</si>
  <si>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</si>
  <si>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</si>
  <si>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</si>
  <si>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</si>
  <si>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</si>
  <si>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</si>
  <si>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</si>
  <si>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</si>
  <si>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</si>
  <si>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</si>
  <si>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</si>
  <si>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</si>
  <si>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</si>
  <si>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</si>
  <si>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</si>
  <si>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</si>
  <si>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</si>
  <si>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</si>
  <si>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</si>
  <si>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</si>
  <si>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</si>
  <si>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</si>
  <si>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</si>
  <si>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</si>
  <si>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</si>
  <si>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</si>
  <si>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</si>
  <si>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</si>
  <si>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</si>
  <si>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</si>
  <si>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</si>
  <si>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</si>
  <si>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</si>
  <si>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</si>
  <si>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</si>
  <si>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</si>
  <si>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</si>
  <si>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</si>
  <si>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</si>
  <si>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</si>
  <si>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</si>
  <si>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</si>
  <si>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</si>
  <si>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</si>
  <si>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</si>
  <si>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</si>
  <si>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</si>
  <si>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</si>
  <si>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</si>
  <si>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</si>
  <si>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</si>
  <si>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</si>
  <si>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</si>
  <si>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</si>
  <si>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</si>
  <si>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</si>
  <si>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</si>
  <si>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</si>
  <si>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</si>
  <si>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</si>
  <si>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</si>
  <si>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</si>
  <si>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</si>
  <si>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</si>
  <si>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</si>
  <si>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</si>
  <si>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</si>
  <si>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</si>
  <si>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</si>
  <si>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</si>
  <si>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</si>
  <si>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</si>
  <si>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</si>
  <si>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</si>
  <si>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</si>
  <si>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</si>
  <si>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</si>
  <si>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</si>
  <si>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</si>
  <si>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</si>
  <si>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</si>
  <si>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</si>
  <si>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</si>
  <si>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</si>
  <si>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</si>
  <si>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</si>
  <si>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</si>
  <si>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</si>
  <si>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</si>
  <si>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</si>
  <si>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</si>
  <si>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</si>
  <si>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</si>
  <si>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</si>
  <si>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</si>
  <si>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</si>
  <si>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</si>
  <si>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</si>
  <si>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</si>
  <si>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</si>
  <si>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</si>
  <si>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</si>
  <si>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</si>
  <si>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</si>
  <si>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</si>
  <si>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</si>
  <si>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</si>
  <si>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</si>
  <si>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</si>
  <si>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</si>
  <si>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</si>
  <si>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</si>
  <si>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</si>
  <si>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</si>
  <si>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</si>
  <si>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</si>
  <si>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</si>
  <si>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</si>
  <si>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</si>
  <si>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</si>
  <si>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</si>
  <si>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</si>
  <si>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</si>
  <si>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</si>
  <si>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</si>
  <si>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</si>
  <si>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</si>
  <si>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</si>
  <si>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</si>
  <si>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</si>
  <si>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</si>
  <si>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</si>
  <si>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</si>
  <si>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</si>
  <si>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</si>
  <si>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</si>
  <si>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</si>
  <si>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</si>
  <si>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</si>
  <si>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</si>
  <si>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</si>
  <si>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</si>
  <si>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</si>
  <si>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</si>
  <si>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</si>
  <si>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</si>
  <si>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</si>
  <si>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</si>
  <si>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</si>
  <si>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</si>
  <si>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</si>
  <si>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</si>
  <si>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</si>
  <si>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</si>
  <si>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</si>
  <si>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</si>
  <si>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</si>
  <si>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</si>
  <si>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</si>
  <si>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</si>
  <si>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</si>
  <si>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</si>
  <si>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</si>
  <si>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</si>
  <si>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</si>
  <si>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</si>
  <si>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</si>
  <si>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</si>
  <si>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</si>
  <si>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</si>
  <si>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</si>
  <si>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</si>
  <si>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</si>
  <si>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</si>
  <si>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</si>
  <si>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</si>
  <si>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</si>
  <si>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</si>
  <si>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</si>
  <si>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</si>
  <si>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</si>
  <si>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</si>
  <si>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</si>
  <si>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</si>
  <si>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</si>
  <si>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</si>
  <si>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</si>
  <si>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</si>
  <si>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</si>
  <si>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</si>
  <si>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</si>
  <si>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</si>
  <si>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</si>
  <si>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</si>
  <si>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</si>
  <si>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</si>
  <si>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</si>
  <si>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</si>
  <si>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</si>
  <si>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</si>
  <si>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</si>
  <si>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</si>
  <si>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</si>
  <si>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</si>
  <si>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</si>
  <si>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</si>
  <si>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</si>
  <si>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</si>
  <si>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</si>
  <si>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</si>
  <si>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</si>
  <si>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</si>
  <si>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</si>
  <si>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</si>
  <si>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</si>
  <si>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</si>
  <si>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</si>
  <si>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</si>
  <si>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</si>
  <si>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</si>
  <si>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</si>
  <si>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</si>
  <si>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</si>
  <si>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</si>
  <si>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</si>
  <si>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</si>
  <si>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</si>
  <si>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</si>
  <si>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</si>
  <si>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</si>
  <si>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</si>
  <si>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</si>
  <si>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</si>
  <si>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</si>
  <si>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</si>
  <si>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</si>
  <si>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</si>
  <si>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</si>
  <si>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</si>
  <si>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</si>
  <si>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</si>
  <si>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</si>
  <si>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</si>
  <si>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</si>
  <si>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</si>
  <si>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</si>
  <si>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</si>
  <si>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</si>
  <si>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</si>
  <si>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</si>
  <si>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</si>
  <si>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</si>
  <si>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</si>
  <si>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</si>
  <si>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</si>
  <si>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</si>
  <si>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</si>
  <si>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</si>
  <si>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</si>
  <si>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</si>
  <si>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</si>
  <si>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</si>
  <si>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</si>
  <si>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</si>
  <si>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</si>
  <si>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</si>
  <si>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</si>
  <si>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</si>
  <si>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</si>
  <si>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</si>
  <si>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</si>
  <si>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</si>
  <si>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</si>
  <si>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</si>
  <si>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</si>
  <si>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</si>
  <si>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</si>
  <si>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</si>
  <si>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</si>
  <si>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</si>
  <si>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</si>
  <si>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</si>
  <si>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</si>
  <si>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</si>
  <si>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</si>
  <si>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</si>
  <si>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</si>
  <si>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</si>
  <si>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</si>
  <si>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</si>
  <si>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</si>
  <si>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</si>
  <si>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</si>
  <si>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</si>
  <si>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</si>
  <si>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</si>
  <si>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</si>
  <si>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</si>
  <si>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</si>
  <si>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</si>
  <si>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</si>
  <si>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</si>
  <si>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</si>
  <si>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</si>
  <si>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</si>
  <si>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</si>
  <si>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</si>
  <si>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</si>
  <si>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</si>
  <si>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</si>
  <si>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</si>
  <si>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</si>
  <si>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</si>
  <si>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</si>
  <si>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</si>
  <si>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</si>
  <si>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</si>
  <si>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</si>
  <si>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</si>
  <si>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</si>
  <si>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</si>
  <si>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</si>
  <si>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</si>
  <si>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</si>
  <si>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</si>
  <si>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</si>
  <si>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</si>
  <si>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</si>
  <si>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</si>
  <si>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</si>
  <si>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</si>
  <si>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</si>
  <si>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</si>
  <si>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</si>
  <si>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</si>
  <si>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</si>
  <si>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</si>
  <si>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</si>
  <si>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</si>
  <si>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</si>
  <si>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</si>
  <si>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</si>
  <si>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</si>
  <si>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</si>
  <si>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</si>
  <si>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</si>
  <si>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</si>
  <si>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</si>
  <si>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</si>
  <si>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</si>
  <si>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</si>
  <si>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</si>
  <si>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</si>
  <si>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</si>
  <si>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</si>
  <si>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</si>
  <si>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</si>
  <si>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</si>
  <si>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</si>
  <si>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</si>
  <si>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</si>
  <si>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</si>
  <si>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</si>
  <si>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</si>
  <si>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</si>
  <si>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</si>
  <si>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</si>
  <si>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</si>
  <si>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</si>
  <si>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</si>
  <si>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</si>
  <si>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</si>
  <si>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</si>
  <si>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</si>
  <si>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</si>
  <si>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</si>
  <si>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</si>
  <si>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</si>
  <si>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</si>
  <si>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</si>
  <si>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</si>
  <si>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</si>
  <si>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</si>
  <si>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</si>
  <si>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</si>
  <si>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</si>
  <si>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</si>
  <si>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</si>
  <si>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</si>
  <si>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</si>
  <si>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</si>
  <si>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</si>
  <si>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</si>
  <si>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</si>
  <si>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</si>
  <si>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</si>
  <si>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</si>
  <si>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</si>
  <si>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</si>
  <si>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</si>
  <si>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</si>
  <si>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</si>
  <si>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</si>
  <si>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</si>
  <si>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</si>
  <si>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</si>
  <si>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</si>
  <si>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</si>
  <si>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</si>
  <si>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</si>
  <si>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</si>
  <si>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</si>
  <si>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</si>
  <si>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</si>
  <si>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</si>
  <si>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</si>
  <si>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</si>
  <si>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</si>
  <si>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</si>
  <si>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</si>
  <si>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</si>
  <si>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</si>
  <si>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</si>
  <si>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</si>
  <si>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</si>
  <si>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</si>
  <si>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</si>
  <si>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</si>
  <si>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</si>
  <si>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</si>
  <si>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</si>
  <si>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</si>
  <si>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</si>
  <si>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</si>
  <si>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</si>
  <si>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</si>
  <si>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</si>
  <si>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</si>
  <si>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</si>
  <si>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</si>
  <si>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</si>
  <si>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</si>
  <si>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</si>
  <si>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</si>
  <si>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</si>
  <si>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</si>
  <si>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</si>
  <si>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</si>
  <si>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</si>
  <si>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</si>
  <si>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</si>
  <si>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</si>
  <si>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</si>
  <si>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</si>
  <si>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</si>
  <si>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</si>
  <si>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</si>
  <si>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</si>
  <si>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</si>
  <si>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</si>
  <si>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</si>
  <si>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</si>
  <si>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</si>
  <si>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</si>
  <si>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</si>
  <si>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</si>
  <si>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</si>
  <si>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</si>
  <si>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</si>
  <si>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</si>
  <si>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</si>
  <si>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</si>
  <si>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</si>
  <si>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</si>
  <si>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</si>
  <si>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</si>
  <si>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</si>
  <si>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</si>
  <si>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</si>
  <si>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</si>
  <si>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</si>
  <si>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</si>
  <si>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</si>
  <si>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</si>
  <si>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</si>
  <si>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</si>
  <si>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</si>
  <si>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</si>
  <si>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</si>
  <si>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</si>
  <si>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</si>
  <si>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</si>
  <si>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</si>
  <si>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</si>
  <si>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</si>
  <si>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</si>
  <si>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</si>
  <si>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</si>
  <si>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</si>
  <si>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</si>
  <si>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</si>
  <si>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</si>
  <si>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</si>
  <si>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</si>
  <si>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</si>
  <si>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</si>
  <si>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</si>
  <si>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</si>
  <si>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</si>
  <si>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</si>
  <si>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</si>
  <si>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</si>
  <si>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</si>
  <si>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</si>
  <si>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</si>
  <si>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</si>
  <si>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</si>
  <si>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</si>
  <si>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</si>
  <si>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</si>
  <si>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</si>
  <si>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</si>
  <si>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</si>
  <si>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</si>
  <si>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</si>
  <si>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</si>
  <si>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</si>
  <si>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</si>
  <si>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</si>
  <si>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</si>
  <si>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</si>
  <si>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</si>
  <si>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</si>
  <si>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</si>
  <si>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</si>
  <si>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</si>
  <si>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</si>
  <si>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</si>
  <si>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</si>
  <si>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</si>
  <si>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</si>
  <si>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</si>
  <si>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</si>
  <si>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</si>
  <si>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</si>
  <si>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</si>
  <si>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</si>
  <si>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</si>
  <si>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</si>
  <si>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</si>
  <si>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</si>
  <si>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</si>
  <si>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</si>
  <si>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</si>
  <si>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</si>
  <si>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</si>
  <si>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</si>
  <si>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</si>
  <si>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</si>
  <si>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</si>
  <si>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</si>
  <si>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</si>
  <si>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</si>
  <si>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</si>
  <si>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</si>
  <si>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</si>
  <si>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</si>
  <si>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</si>
  <si>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</si>
  <si>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</si>
  <si>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</si>
  <si>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</si>
  <si>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</si>
  <si>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</si>
  <si>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</si>
  <si>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</si>
  <si>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</si>
  <si>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</si>
  <si>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</si>
  <si>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</si>
  <si>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</si>
  <si>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</si>
  <si>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</si>
  <si>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</si>
  <si>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</si>
  <si>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</si>
  <si>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</si>
  <si>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</si>
  <si>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</si>
  <si>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</si>
  <si>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</si>
  <si>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</si>
  <si>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</si>
  <si>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</si>
  <si>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</si>
  <si>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</si>
  <si>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</si>
  <si>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</si>
  <si>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</si>
  <si>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</si>
  <si>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</si>
  <si>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</si>
  <si>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</si>
  <si>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</si>
  <si>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</si>
  <si>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</si>
  <si>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</si>
  <si>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</si>
  <si>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</si>
  <si>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</si>
  <si>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</si>
  <si>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</si>
  <si>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</si>
  <si>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</si>
  <si>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</si>
  <si>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</si>
  <si>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</si>
  <si>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</si>
  <si>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</si>
  <si>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</si>
  <si>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</si>
  <si>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</si>
  <si>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</si>
  <si>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</si>
  <si>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</si>
  <si>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</si>
  <si>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</si>
  <si>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</si>
  <si>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</si>
  <si>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</si>
  <si>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</si>
  <si>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</si>
  <si>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</si>
  <si>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</si>
  <si>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</si>
  <si>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</si>
  <si>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</si>
  <si>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</si>
  <si>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</si>
  <si>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</si>
  <si>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</si>
  <si>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</si>
  <si>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</si>
  <si>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</si>
  <si>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</si>
  <si>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</si>
  <si>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</si>
  <si>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</si>
  <si>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</si>
  <si>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</si>
  <si>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</si>
  <si>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</si>
  <si>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</si>
  <si>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</si>
  <si>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</si>
  <si>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</si>
  <si>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</si>
  <si>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</si>
  <si>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</si>
  <si>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</si>
  <si>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</si>
  <si>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</si>
  <si>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</si>
  <si>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</si>
  <si>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</si>
  <si>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</si>
  <si>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</si>
  <si>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</si>
  <si>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</si>
  <si>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</si>
  <si>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</si>
  <si>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</si>
  <si>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</si>
  <si>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</si>
  <si>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</si>
  <si>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</si>
  <si>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</si>
  <si>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</si>
  <si>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</si>
  <si>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</si>
  <si>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</si>
  <si>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</si>
  <si>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</si>
  <si>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</si>
  <si>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</si>
  <si>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</si>
  <si>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</si>
  <si>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</si>
  <si>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</si>
  <si>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</si>
  <si>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</si>
  <si>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</si>
  <si>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</si>
  <si>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</si>
  <si>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</si>
  <si>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</si>
  <si>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</si>
  <si>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</si>
  <si>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</si>
  <si>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</si>
  <si>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</si>
  <si>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</si>
  <si>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</si>
  <si>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</si>
  <si>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</si>
  <si>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</si>
  <si>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</si>
  <si>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</si>
  <si>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</si>
  <si>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</si>
  <si>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</si>
  <si>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</si>
  <si>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</si>
  <si>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</si>
  <si>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</si>
  <si>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</si>
  <si>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</si>
  <si>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</si>
  <si>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</si>
  <si>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</si>
  <si>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</si>
  <si>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</si>
  <si>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</si>
  <si>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</si>
  <si>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</si>
  <si>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</si>
  <si>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</si>
  <si>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</si>
  <si>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</si>
  <si>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</si>
  <si>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</si>
  <si>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</si>
  <si>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</si>
  <si>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</si>
  <si>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</si>
  <si>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</si>
  <si>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</si>
  <si>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</si>
  <si>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</si>
  <si>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</si>
  <si>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</si>
  <si>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</si>
  <si>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</si>
  <si>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</si>
  <si>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</si>
  <si>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</si>
  <si>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</si>
  <si>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</si>
  <si>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</si>
  <si>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</si>
  <si>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</si>
  <si>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</si>
  <si>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</si>
  <si>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</si>
  <si>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</si>
  <si>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</si>
  <si>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</si>
  <si>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</si>
  <si>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</si>
  <si>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</si>
  <si>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</si>
  <si>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</si>
  <si>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</si>
  <si>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</si>
  <si>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</si>
  <si>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</si>
  <si>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</si>
  <si>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</si>
  <si>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</si>
  <si>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</si>
  <si>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</si>
  <si>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</si>
  <si>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</si>
  <si>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</si>
  <si>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</si>
  <si>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</si>
  <si>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</si>
  <si>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</si>
  <si>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</si>
  <si>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</si>
  <si>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</si>
  <si>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</si>
  <si>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</si>
  <si>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</si>
  <si>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</si>
  <si>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</si>
  <si>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</si>
  <si>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</si>
  <si>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</si>
  <si>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</si>
  <si>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</si>
  <si>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</si>
  <si>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</si>
  <si>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</si>
  <si>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</si>
  <si>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</si>
  <si>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</si>
  <si>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</si>
  <si>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</si>
  <si>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</si>
  <si>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</si>
  <si>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</si>
  <si>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</si>
  <si>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</si>
  <si>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</si>
  <si>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</si>
  <si>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</si>
  <si>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</si>
  <si>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</si>
  <si>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</si>
  <si>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</si>
  <si>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</si>
  <si>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</si>
  <si>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</si>
  <si>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</si>
  <si>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</si>
  <si>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</si>
  <si>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</si>
  <si>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</si>
  <si>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</si>
  <si>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</si>
  <si>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</si>
  <si>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</si>
  <si>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</si>
  <si>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</si>
  <si>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</si>
  <si>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</si>
  <si>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</si>
  <si>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</si>
  <si>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</si>
  <si>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</si>
  <si>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</si>
  <si>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</si>
  <si>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</si>
  <si>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</si>
  <si>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</si>
  <si>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</si>
  <si>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</si>
  <si>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</si>
  <si>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</si>
  <si>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</si>
  <si>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</si>
  <si>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</si>
  <si>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</si>
  <si>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</si>
  <si>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</si>
  <si>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</si>
  <si>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</si>
  <si>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</si>
  <si>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</si>
  <si>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</si>
  <si>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</si>
  <si>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</si>
  <si>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</si>
  <si>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</si>
  <si>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</si>
  <si>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</si>
  <si>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</si>
  <si>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</si>
  <si>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</si>
  <si>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</si>
  <si>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</si>
  <si>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</si>
  <si>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</si>
  <si>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</si>
  <si>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</si>
  <si>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</si>
  <si>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</si>
  <si>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</si>
  <si>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</si>
  <si>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</si>
  <si>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</si>
  <si>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</si>
  <si>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</si>
  <si>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</si>
  <si>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</si>
  <si>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</si>
  <si>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</si>
  <si>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</si>
  <si>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</si>
  <si>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</si>
  <si>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</si>
  <si>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</si>
  <si>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</si>
  <si>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</si>
  <si>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</si>
  <si>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</si>
  <si>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</si>
  <si>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</si>
  <si>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</si>
  <si>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</si>
  <si>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</si>
  <si>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</si>
  <si>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</si>
  <si>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</si>
  <si>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</si>
  <si>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</si>
  <si>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</si>
  <si>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</si>
  <si>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</si>
  <si>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</si>
  <si>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</si>
  <si>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</si>
  <si>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</si>
  <si>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</si>
  <si>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</si>
  <si>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</si>
  <si>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</si>
  <si>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</si>
  <si>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</si>
  <si>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</si>
  <si>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</si>
  <si>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</si>
  <si>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</si>
  <si>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</si>
  <si>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</si>
  <si>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</si>
  <si>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</si>
  <si>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</si>
  <si>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</si>
  <si>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</si>
  <si>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</si>
  <si>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</si>
  <si>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</si>
  <si>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</si>
  <si>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</si>
  <si>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</si>
  <si>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</si>
  <si>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</si>
  <si>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</si>
  <si>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</si>
  <si>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</si>
  <si>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</si>
  <si>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</si>
  <si>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</si>
  <si>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</si>
  <si>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</si>
  <si>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</si>
  <si>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</si>
  <si>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</si>
  <si>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</si>
  <si>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</si>
  <si>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</si>
  <si>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</si>
  <si>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</si>
  <si>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</si>
  <si>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</si>
  <si>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</si>
  <si>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</si>
  <si>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</si>
  <si>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</si>
  <si>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</si>
  <si>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</si>
  <si>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</si>
  <si>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</si>
  <si>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</si>
  <si>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</si>
  <si>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</si>
  <si>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</si>
  <si>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</si>
  <si>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</si>
  <si>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</si>
  <si>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</si>
  <si>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</si>
  <si>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</si>
  <si>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</si>
  <si>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</si>
  <si>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</si>
  <si>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</si>
  <si>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</si>
  <si>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</si>
  <si>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</si>
  <si>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</si>
  <si>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</si>
  <si>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</si>
  <si>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</si>
  <si>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</si>
  <si>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</si>
  <si>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</si>
  <si>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</si>
  <si>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</si>
  <si>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</si>
  <si>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</si>
  <si>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</si>
  <si>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</si>
  <si>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</si>
  <si>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</si>
  <si>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</si>
  <si>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</si>
  <si>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</si>
  <si>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</si>
  <si>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</si>
  <si>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</si>
  <si>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</si>
  <si>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</si>
  <si>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</si>
  <si>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</si>
  <si>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</si>
  <si>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</si>
  <si>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</si>
  <si>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</si>
  <si>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</si>
  <si>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</si>
  <si>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</si>
  <si>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</si>
  <si>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</si>
  <si>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</si>
  <si>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</si>
  <si>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</si>
  <si>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</si>
  <si>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</si>
  <si>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</si>
  <si>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</si>
  <si>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</si>
  <si>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</si>
  <si>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</si>
  <si>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</si>
  <si>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</si>
  <si>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</si>
  <si>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</si>
  <si>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</si>
  <si>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</si>
  <si>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</si>
  <si>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</si>
  <si>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</si>
  <si>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</si>
  <si>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</si>
  <si>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</si>
  <si>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</si>
  <si>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</si>
  <si>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</si>
  <si>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</si>
  <si>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</si>
  <si>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</si>
  <si>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</si>
  <si>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</si>
  <si>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</si>
  <si>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</si>
  <si>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</si>
  <si>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</si>
  <si>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</si>
  <si>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</si>
  <si>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</si>
  <si>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</si>
  <si>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</si>
  <si>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</si>
  <si>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</si>
  <si>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</si>
  <si>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</si>
  <si>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</si>
  <si>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</si>
  <si>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</si>
  <si>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</si>
  <si>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</si>
  <si>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</si>
  <si>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</si>
  <si>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</si>
  <si>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</si>
  <si>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</si>
  <si>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</si>
  <si>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</si>
  <si>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</si>
  <si>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</si>
  <si>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</si>
  <si>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</si>
  <si>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</si>
  <si>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</si>
  <si>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</si>
  <si>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</si>
  <si>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</si>
  <si>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</si>
  <si>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</si>
  <si>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</si>
  <si>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</si>
  <si>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</si>
  <si>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</si>
  <si>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</si>
  <si>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</si>
  <si>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</si>
  <si>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</si>
  <si>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</si>
  <si>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</si>
  <si>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</si>
  <si>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</si>
  <si>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</si>
  <si>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</si>
  <si>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</si>
  <si>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</si>
  <si>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</si>
  <si>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</si>
  <si>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</si>
  <si>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</si>
  <si>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</si>
  <si>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</si>
  <si>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</si>
  <si>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</si>
  <si>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</si>
  <si>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</si>
  <si>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</si>
  <si>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</si>
  <si>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</si>
  <si>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</si>
  <si>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</si>
  <si>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</si>
  <si>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</si>
  <si>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</si>
  <si>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</si>
  <si>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</si>
  <si>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</si>
  <si>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</si>
  <si>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</si>
  <si>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</si>
  <si>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</si>
  <si>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</si>
  <si>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</si>
  <si>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</si>
  <si>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</si>
  <si>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</si>
  <si>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</si>
  <si>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</si>
  <si>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</si>
  <si>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</si>
  <si>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</si>
  <si>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</si>
  <si>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</si>
  <si>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</si>
  <si>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</si>
  <si>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</si>
  <si>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</si>
  <si>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</si>
  <si>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</si>
  <si>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</si>
  <si>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</si>
  <si>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</si>
  <si>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</si>
  <si>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</si>
  <si>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</si>
  <si>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</si>
  <si>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</si>
  <si>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</si>
  <si>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</si>
  <si>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</si>
  <si>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</si>
  <si>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</si>
  <si>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</si>
  <si>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</si>
  <si>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</si>
  <si>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</si>
  <si>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</si>
  <si>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</si>
  <si>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</si>
  <si>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</si>
  <si>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</si>
  <si>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</si>
  <si>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</si>
  <si>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</si>
  <si>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</si>
  <si>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</si>
  <si>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</si>
  <si>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</si>
  <si>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</si>
  <si>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</si>
  <si>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</si>
  <si>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</si>
  <si>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</si>
  <si>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</si>
  <si>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</si>
  <si>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</si>
  <si>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</si>
  <si>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</si>
  <si>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</si>
  <si>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</si>
  <si>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</si>
  <si>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</si>
  <si>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</si>
  <si>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</si>
  <si>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</si>
  <si>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</si>
  <si>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</si>
  <si>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</si>
  <si>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</si>
  <si>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</si>
  <si>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</si>
  <si>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</si>
  <si>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</si>
  <si>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</si>
  <si>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</si>
  <si>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</si>
  <si>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</si>
  <si>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</si>
  <si>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</si>
  <si>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</si>
  <si>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</si>
  <si>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</si>
  <si>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</si>
  <si>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</si>
  <si>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</si>
  <si>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</si>
  <si>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</si>
  <si>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</si>
  <si>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</si>
  <si>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</si>
  <si>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</si>
  <si>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</si>
  <si>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</si>
  <si>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</si>
  <si>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</si>
  <si>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</si>
  <si>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</si>
  <si>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</si>
  <si>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</si>
  <si>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</si>
  <si>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</si>
  <si>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</si>
  <si>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</si>
  <si>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</si>
  <si>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</si>
  <si>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</si>
  <si>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</si>
  <si>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</si>
  <si>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</si>
  <si>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</si>
  <si>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</si>
  <si>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</si>
  <si>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</si>
  <si>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</si>
  <si>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</si>
  <si>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</si>
  <si>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</si>
  <si>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</si>
  <si>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</si>
  <si>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</si>
  <si>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</si>
  <si>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</si>
  <si>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</si>
  <si>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</si>
  <si>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</si>
  <si>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</si>
  <si>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</si>
  <si>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</si>
  <si>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</si>
  <si>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</si>
  <si>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</si>
  <si>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</si>
  <si>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</si>
  <si>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</si>
  <si>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</si>
  <si>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</si>
  <si>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</si>
  <si>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</si>
  <si>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</si>
  <si>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</si>
  <si>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</si>
  <si>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</si>
  <si>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</si>
  <si>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</si>
  <si>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</si>
  <si>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</si>
  <si>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</si>
  <si>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</si>
  <si>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</si>
  <si>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</si>
  <si>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</si>
  <si>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</si>
  <si>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</si>
  <si>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</si>
  <si>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</si>
  <si>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</si>
  <si>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</si>
  <si>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</si>
  <si>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</si>
  <si>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</si>
  <si>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</si>
  <si>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</si>
  <si>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</si>
  <si>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</si>
  <si>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</si>
  <si>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</si>
  <si>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</si>
  <si>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</si>
  <si>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</si>
  <si>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</si>
  <si>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</si>
  <si>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</si>
  <si>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</si>
  <si>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</si>
  <si>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</si>
  <si>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</si>
  <si>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</si>
  <si>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</si>
  <si>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</si>
  <si>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</si>
  <si>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</si>
  <si>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</si>
  <si>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</si>
  <si>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</si>
  <si>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</si>
  <si>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</si>
  <si>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</si>
  <si>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</si>
  <si>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</si>
  <si>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</si>
  <si>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</si>
  <si>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</si>
  <si>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</si>
  <si>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</si>
  <si>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</si>
  <si>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</si>
  <si>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</si>
  <si>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</si>
  <si>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</si>
  <si>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</si>
  <si>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</si>
  <si>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</si>
  <si>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</si>
  <si>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</si>
  <si>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</si>
  <si>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</si>
  <si>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</si>
  <si>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</si>
  <si>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</si>
  <si>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</si>
  <si>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</si>
  <si>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</si>
  <si>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</si>
  <si>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</si>
  <si>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</si>
  <si>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</si>
  <si>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</si>
  <si>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</si>
  <si>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</si>
  <si>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</si>
  <si>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</si>
  <si>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</si>
  <si>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</si>
  <si>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</si>
  <si>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</si>
  <si>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</si>
  <si>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</si>
  <si>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</si>
  <si>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</si>
  <si>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</si>
  <si>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</si>
  <si>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</si>
  <si>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</si>
  <si>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</si>
  <si>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</si>
  <si>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</si>
  <si>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</si>
  <si>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</si>
  <si>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</si>
  <si>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</si>
  <si>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</si>
  <si>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</si>
  <si>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</si>
  <si>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</si>
  <si>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</si>
  <si>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</si>
  <si>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</si>
  <si>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</si>
  <si>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</si>
  <si>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</si>
  <si>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</si>
  <si>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</si>
  <si>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</si>
  <si>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</si>
  <si>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</si>
  <si>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</si>
  <si>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</si>
  <si>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</si>
  <si>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</si>
  <si>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</si>
  <si>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</si>
  <si>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</si>
  <si>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</si>
  <si>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</si>
  <si>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</si>
  <si>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</si>
  <si>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</si>
  <si>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</si>
  <si>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</si>
  <si>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</si>
  <si>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</si>
  <si>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</si>
  <si>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</si>
  <si>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</si>
  <si>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</si>
  <si>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</si>
  <si>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</si>
  <si>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</si>
  <si>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</si>
  <si>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</si>
  <si>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</si>
  <si>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</si>
  <si>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</si>
  <si>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</si>
  <si>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</si>
  <si>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</si>
  <si>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</si>
  <si>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</si>
  <si>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</si>
  <si>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</si>
  <si>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</si>
  <si>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</si>
  <si>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</si>
  <si>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</si>
  <si>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</si>
  <si>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</si>
  <si>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</si>
  <si>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</si>
  <si>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</si>
  <si>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</si>
  <si>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</si>
  <si>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</si>
  <si>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</si>
  <si>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</si>
  <si>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</si>
  <si>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</si>
  <si>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</si>
  <si>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</si>
  <si>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</si>
  <si>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</si>
  <si>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</si>
  <si>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</si>
  <si>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</si>
  <si>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</si>
  <si>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</si>
  <si>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</si>
  <si>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</si>
  <si>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</si>
  <si>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</si>
  <si>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</si>
  <si>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</si>
  <si>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</si>
  <si>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</si>
  <si>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</si>
  <si>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</si>
  <si>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</si>
  <si>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</si>
  <si>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</si>
  <si>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</si>
  <si>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</si>
  <si>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</si>
  <si>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</si>
  <si>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</si>
  <si>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</si>
  <si>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</si>
  <si>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</si>
  <si>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</si>
  <si>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</si>
  <si>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</si>
  <si>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</si>
  <si>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</si>
  <si>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</si>
  <si>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</si>
  <si>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</si>
  <si>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</si>
  <si>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</si>
  <si>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</si>
  <si>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</si>
  <si>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</si>
  <si>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</si>
  <si>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</si>
  <si>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</si>
  <si>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</si>
  <si>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</si>
  <si>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</si>
  <si>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</si>
  <si>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</si>
  <si>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</si>
  <si>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</si>
  <si>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</si>
  <si>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</si>
  <si>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</si>
  <si>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</si>
  <si>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</si>
  <si>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</si>
  <si>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</si>
  <si>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</si>
  <si>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</si>
  <si>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</si>
  <si>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</si>
  <si>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</si>
  <si>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</si>
  <si>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</si>
  <si>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</si>
  <si>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</si>
  <si>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</si>
  <si>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</si>
  <si>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</si>
  <si>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</si>
  <si>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</si>
  <si>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</si>
  <si>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</si>
  <si>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</si>
  <si>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</si>
  <si>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</si>
  <si>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</si>
  <si>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</si>
  <si>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</si>
  <si>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</si>
  <si>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</si>
  <si>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</si>
  <si>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</si>
  <si>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</si>
  <si>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</si>
  <si>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</si>
  <si>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</si>
  <si>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</si>
  <si>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</si>
  <si>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</si>
  <si>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</si>
  <si>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</si>
  <si>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</si>
  <si>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</si>
  <si>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</si>
  <si>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</si>
  <si>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</si>
  <si>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</si>
  <si>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</si>
  <si>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</si>
  <si>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</si>
  <si>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</si>
  <si>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</si>
  <si>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</si>
  <si>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</si>
  <si>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</si>
  <si>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</si>
  <si>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</si>
  <si>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</si>
  <si>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</si>
  <si>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</si>
  <si>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</si>
  <si>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</si>
  <si>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</si>
  <si>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</si>
  <si>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</si>
  <si>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</si>
  <si>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</si>
  <si>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</si>
  <si>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</si>
  <si>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</si>
  <si>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</si>
  <si>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</si>
  <si>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</si>
  <si>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</si>
  <si>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</si>
  <si>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</si>
  <si>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</si>
  <si>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</si>
  <si>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</si>
  <si>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</si>
  <si>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</si>
  <si>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</si>
  <si>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</si>
  <si>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</si>
  <si>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</si>
  <si>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</si>
  <si>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</si>
  <si>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</si>
  <si>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</si>
  <si>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</si>
  <si>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</si>
  <si>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</si>
  <si>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</si>
  <si>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</si>
  <si>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</si>
  <si>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</si>
  <si>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</si>
  <si>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</si>
  <si>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</si>
  <si>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</si>
  <si>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</si>
  <si>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</si>
  <si>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</si>
  <si>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</si>
  <si>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</si>
  <si>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</si>
  <si>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</si>
  <si>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</si>
  <si>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</si>
  <si>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</si>
  <si>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</si>
  <si>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</si>
  <si>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</si>
  <si>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</si>
  <si>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</si>
  <si>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</si>
  <si>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</si>
  <si>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</si>
  <si>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</si>
  <si>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</si>
  <si>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</si>
  <si>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</si>
  <si>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</si>
  <si>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</si>
  <si>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</si>
  <si>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</si>
  <si>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</si>
  <si>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</si>
  <si>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</si>
  <si>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</si>
  <si>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</si>
  <si>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</si>
  <si>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</si>
  <si>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</si>
  <si>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</si>
  <si>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</si>
  <si>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</si>
  <si>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</si>
  <si>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</si>
  <si>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</si>
  <si>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</si>
  <si>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</si>
  <si>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</si>
  <si>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</si>
  <si>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</si>
  <si>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</si>
  <si>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</si>
  <si>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</si>
  <si>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</si>
  <si>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</si>
  <si>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</si>
  <si>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</si>
  <si>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</si>
  <si>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</si>
  <si>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</si>
  <si>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</si>
  <si>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</si>
  <si>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</si>
  <si>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</si>
  <si>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</si>
  <si>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</si>
  <si>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</si>
  <si>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</si>
  <si>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</si>
  <si>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</si>
  <si>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</si>
  <si>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</si>
  <si>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</si>
  <si>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</si>
  <si>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</si>
  <si>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</si>
  <si>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</si>
  <si>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</si>
  <si>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</si>
  <si>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</si>
  <si>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</si>
  <si>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</si>
  <si>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</si>
  <si>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</si>
  <si>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</si>
  <si>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</si>
  <si>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</si>
  <si>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</si>
  <si>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</si>
  <si>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</si>
  <si>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</si>
  <si>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</si>
  <si>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</si>
  <si>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</si>
  <si>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</si>
  <si>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</si>
  <si>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</si>
  <si>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</si>
  <si>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</si>
  <si>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</si>
  <si>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</si>
  <si>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</si>
  <si>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</si>
  <si>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</si>
  <si>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</si>
  <si>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</si>
  <si>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</si>
  <si>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</si>
  <si>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</si>
  <si>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</si>
  <si>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</si>
  <si>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</si>
  <si>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</si>
  <si>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</si>
  <si>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</si>
  <si>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</si>
  <si>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</si>
  <si>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</si>
  <si>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</si>
  <si>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</si>
  <si>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</si>
  <si>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</si>
  <si>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</si>
  <si>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</si>
  <si>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</si>
  <si>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</si>
  <si>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</si>
  <si>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</si>
  <si>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</si>
  <si>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</si>
  <si>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</si>
  <si>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</si>
  <si>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</si>
  <si>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</si>
  <si>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</si>
  <si>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</si>
  <si>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</si>
  <si>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</si>
  <si>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</si>
  <si>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</si>
  <si>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</si>
  <si>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</si>
  <si>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</si>
  <si>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</si>
  <si>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</si>
  <si>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</si>
  <si>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</si>
  <si>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</si>
  <si>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</si>
  <si>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</si>
  <si>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</si>
  <si>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</si>
  <si>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</si>
  <si>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</si>
  <si>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</si>
  <si>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</si>
  <si>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</si>
  <si>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</si>
  <si>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</si>
  <si>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</si>
  <si>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</si>
  <si>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</si>
  <si>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</si>
  <si>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</si>
  <si>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</si>
  <si>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</si>
  <si>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</si>
  <si>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</si>
  <si>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</si>
  <si>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</si>
  <si>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</si>
  <si>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</si>
  <si>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</si>
  <si>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</si>
  <si>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</si>
  <si>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</si>
  <si>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</si>
  <si>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</si>
  <si>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</si>
  <si>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</si>
  <si>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</si>
  <si>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</si>
  <si>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</si>
  <si>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</si>
  <si>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</si>
  <si>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</si>
  <si>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</si>
  <si>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</si>
  <si>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</si>
  <si>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</si>
  <si>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</si>
  <si>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</si>
  <si>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</si>
  <si>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</si>
  <si>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</si>
  <si>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</si>
  <si>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</si>
  <si>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</si>
  <si>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</si>
  <si>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</si>
  <si>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</si>
  <si>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</si>
  <si>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</si>
  <si>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</si>
  <si>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</si>
  <si>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</si>
  <si>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</si>
  <si>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</si>
  <si>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</si>
  <si>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</si>
  <si>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</si>
  <si>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</si>
  <si>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</si>
  <si>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</si>
  <si>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</si>
  <si>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</si>
  <si>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</si>
  <si>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</si>
  <si>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</si>
  <si>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</si>
  <si>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</si>
  <si>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</si>
  <si>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</si>
  <si>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</si>
  <si>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</si>
  <si>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</si>
  <si>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</si>
  <si>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</si>
  <si>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</si>
  <si>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</si>
  <si>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</si>
  <si>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</si>
  <si>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</si>
  <si>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</si>
  <si>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</si>
  <si>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</si>
  <si>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</si>
  <si>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</si>
  <si>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</si>
  <si>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</si>
  <si>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</si>
  <si>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</si>
  <si>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</si>
  <si>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</si>
  <si>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</si>
  <si>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</si>
  <si>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</si>
  <si>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</si>
  <si>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</si>
  <si>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</si>
  <si>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</si>
  <si>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</si>
  <si>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</si>
  <si>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</si>
  <si>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</si>
  <si>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</si>
  <si>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</si>
  <si>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</si>
  <si>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</si>
  <si>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</si>
  <si>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</si>
  <si>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</si>
  <si>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</si>
  <si>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</si>
  <si>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</si>
  <si>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</si>
  <si>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</si>
  <si>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</si>
  <si>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</si>
  <si>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</si>
  <si>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</si>
  <si>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</si>
  <si>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</si>
  <si>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</si>
  <si>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</si>
  <si>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</si>
  <si>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</si>
  <si>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</si>
  <si>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</si>
  <si>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</si>
  <si>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</si>
  <si>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</si>
  <si>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</si>
  <si>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</si>
  <si>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</si>
  <si>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</si>
  <si>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</si>
  <si>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</si>
  <si>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</si>
  <si>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</si>
  <si>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</si>
  <si>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</si>
  <si>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</si>
  <si>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</si>
  <si>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</si>
  <si>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</si>
  <si>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</si>
  <si>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</si>
  <si>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</si>
  <si>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</si>
  <si>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</si>
  <si>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</si>
  <si>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</si>
  <si>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</si>
  <si>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</si>
  <si>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</si>
  <si>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</si>
  <si>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</si>
  <si>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</si>
  <si>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</si>
  <si>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</si>
  <si>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</si>
  <si>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</si>
  <si>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</si>
  <si>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</si>
  <si>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</si>
  <si>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</si>
  <si>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</si>
  <si>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</si>
  <si>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</si>
  <si>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</si>
  <si>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</si>
  <si>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</si>
  <si>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</si>
  <si>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</si>
  <si>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</si>
  <si>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</si>
  <si>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</si>
  <si>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</si>
  <si>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</si>
  <si>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</si>
  <si>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</si>
  <si>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</si>
  <si>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</si>
  <si>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</si>
  <si>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</si>
  <si>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</si>
  <si>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</si>
  <si>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</si>
  <si>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</si>
  <si>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</si>
  <si>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</si>
  <si>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</si>
  <si>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</si>
  <si>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</si>
  <si>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</si>
  <si>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</si>
  <si>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</si>
  <si>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</si>
  <si>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</si>
  <si>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</si>
  <si>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</si>
  <si>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</si>
  <si>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</si>
  <si>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</si>
  <si>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</si>
  <si>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</si>
  <si>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</si>
  <si>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</si>
  <si>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</si>
  <si>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</si>
  <si>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</si>
  <si>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</si>
  <si>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</si>
  <si>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</si>
  <si>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</si>
  <si>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</si>
  <si>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</si>
  <si>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</si>
  <si>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</si>
  <si>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</si>
  <si>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</si>
  <si>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</si>
  <si>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</si>
  <si>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</si>
  <si>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</si>
  <si>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</si>
  <si>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</si>
  <si>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</si>
  <si>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</si>
  <si>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</si>
  <si>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</si>
  <si>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</si>
  <si>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</si>
  <si>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</si>
  <si>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</si>
  <si>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</si>
  <si>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</si>
  <si>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</si>
  <si>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</si>
  <si>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</si>
  <si>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</si>
  <si>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</si>
  <si>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</si>
  <si>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</si>
  <si>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</si>
  <si>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</si>
  <si>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</si>
  <si>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</si>
  <si>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</si>
  <si>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</si>
  <si>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</si>
  <si>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</si>
  <si>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</si>
  <si>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</si>
  <si>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</si>
  <si>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</si>
  <si>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</si>
  <si>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</si>
  <si>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</si>
  <si>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</si>
  <si>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</si>
  <si>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</si>
  <si>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</si>
  <si>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</si>
  <si>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</si>
  <si>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</si>
  <si>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</si>
  <si>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</si>
  <si>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</si>
  <si>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</si>
  <si>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</si>
  <si>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</si>
  <si>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</si>
  <si>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</si>
  <si>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</si>
  <si>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</si>
  <si>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</si>
  <si>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</si>
  <si>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</si>
  <si>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</si>
  <si>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</si>
  <si>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</si>
  <si>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</si>
  <si>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</si>
  <si>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</si>
  <si>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</si>
  <si>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</si>
  <si>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</si>
  <si>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</si>
  <si>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</si>
  <si>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</si>
  <si>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</si>
  <si>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</si>
  <si>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</si>
  <si>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</si>
  <si>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</si>
  <si>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</si>
  <si>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</si>
  <si>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</si>
  <si>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</si>
  <si>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</si>
  <si>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</si>
  <si>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</si>
  <si>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</si>
  <si>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</si>
  <si>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</si>
  <si>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</si>
  <si>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</si>
  <si>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</si>
  <si>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</si>
  <si>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</si>
  <si>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</si>
  <si>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</si>
  <si>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</si>
  <si>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</si>
  <si>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</si>
  <si>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</si>
  <si>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</si>
  <si>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</si>
  <si>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</si>
  <si>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</si>
  <si>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</si>
  <si>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</si>
  <si>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</si>
  <si>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</si>
  <si>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</si>
  <si>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</si>
  <si>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</si>
  <si>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</si>
  <si>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</si>
  <si>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</si>
  <si>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</si>
  <si>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</si>
  <si>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</si>
  <si>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</si>
  <si>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</si>
  <si>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</si>
  <si>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</si>
  <si>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</si>
  <si>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</si>
  <si>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</si>
  <si>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</si>
  <si>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</si>
  <si>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</si>
  <si>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</si>
  <si>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</si>
  <si>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</si>
  <si>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</si>
  <si>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</si>
  <si>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</si>
  <si>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</si>
  <si>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</si>
  <si>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</si>
  <si>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</si>
  <si>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</si>
  <si>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</si>
  <si>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</si>
  <si>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</si>
  <si>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</si>
  <si>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</si>
  <si>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</si>
  <si>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</si>
  <si>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</si>
  <si>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</si>
  <si>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</si>
  <si>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</si>
  <si>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</si>
  <si>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</si>
  <si>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</si>
  <si>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</si>
  <si>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</si>
  <si>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</si>
  <si>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</si>
  <si>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</si>
  <si>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</si>
  <si>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</si>
  <si>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</si>
  <si>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</si>
  <si>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</si>
  <si>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</si>
  <si>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</si>
  <si>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</si>
  <si>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</si>
  <si>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</si>
  <si>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</si>
  <si>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</si>
  <si>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</si>
  <si>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</si>
  <si>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</si>
  <si>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</si>
  <si>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</si>
  <si>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</si>
  <si>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</si>
  <si>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</si>
  <si>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</si>
  <si>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</si>
  <si>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</si>
  <si>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</si>
  <si>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</si>
  <si>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</si>
  <si>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</si>
  <si>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</si>
  <si>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</si>
  <si>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</si>
  <si>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</si>
  <si>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</si>
  <si>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</si>
  <si>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</si>
  <si>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</si>
  <si>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</si>
  <si>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</si>
  <si>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</si>
  <si>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</si>
  <si>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</si>
  <si>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</si>
  <si>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</si>
  <si>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</si>
  <si>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</si>
  <si>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</si>
  <si>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</si>
  <si>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</si>
  <si>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</si>
  <si>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</si>
  <si>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</si>
  <si>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</si>
  <si>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</si>
  <si>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</si>
  <si>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</si>
  <si>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</si>
  <si>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</si>
  <si>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</si>
  <si>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</si>
  <si>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</si>
  <si>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</si>
  <si>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</si>
  <si>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</si>
  <si>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</si>
  <si>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</si>
  <si>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</si>
  <si>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</si>
  <si>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</si>
  <si>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</si>
  <si>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</si>
  <si>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</si>
  <si>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</si>
  <si>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</si>
  <si>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</si>
  <si>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</si>
  <si>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</si>
  <si>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</si>
  <si>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</si>
  <si>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</si>
  <si>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</si>
  <si>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</si>
  <si>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</si>
  <si>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</si>
  <si>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</si>
  <si>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</si>
  <si>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</si>
  <si>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</si>
  <si>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</si>
  <si>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</si>
  <si>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</si>
  <si>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</si>
  <si>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</si>
  <si>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</si>
  <si>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</si>
  <si>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</si>
  <si>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</si>
  <si>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</si>
  <si>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</si>
  <si>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</si>
  <si>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</si>
  <si>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</si>
  <si>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</si>
  <si>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</si>
  <si>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</si>
  <si>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</si>
  <si>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</si>
  <si>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</si>
  <si>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</si>
  <si>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</si>
  <si>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</si>
  <si>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</si>
  <si>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</si>
  <si>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</si>
  <si>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</si>
  <si>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</si>
  <si>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</si>
  <si>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</si>
  <si>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</si>
  <si>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</si>
  <si>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</si>
  <si>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</si>
  <si>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</si>
  <si>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</si>
  <si>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</si>
  <si>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</si>
  <si>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</si>
  <si>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</si>
  <si>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</si>
  <si>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</si>
  <si>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</si>
  <si>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</si>
  <si>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</si>
  <si>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</si>
  <si>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</si>
  <si>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</si>
  <si>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</si>
  <si>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</si>
  <si>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</si>
  <si>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</si>
  <si>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</si>
  <si>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</si>
  <si>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</si>
  <si>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</si>
  <si>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</si>
  <si>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</si>
  <si>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</si>
  <si>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</si>
  <si>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</si>
  <si>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</si>
  <si>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</si>
  <si>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</si>
  <si>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</si>
  <si>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</si>
  <si>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</si>
  <si>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</si>
  <si>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</si>
  <si>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</si>
  <si>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</si>
  <si>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</si>
  <si>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</si>
  <si>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</si>
  <si>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</si>
  <si>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</si>
  <si>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</si>
  <si>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</si>
  <si>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</si>
  <si>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</si>
  <si>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</si>
  <si>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</si>
  <si>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</si>
  <si>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</si>
  <si>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</si>
  <si>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</si>
  <si>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</si>
  <si>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</si>
  <si>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</si>
  <si>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</si>
  <si>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</si>
  <si>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</si>
  <si>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</si>
  <si>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</si>
  <si>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</si>
  <si>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</si>
  <si>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</si>
  <si>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</si>
  <si>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</si>
  <si>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</si>
  <si>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</si>
  <si>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</si>
  <si>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</si>
  <si>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</si>
  <si>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</si>
  <si>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</si>
  <si>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</si>
  <si>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</si>
  <si>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</si>
  <si>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</si>
  <si>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</si>
  <si>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</si>
  <si>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</si>
  <si>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</si>
  <si>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</si>
  <si>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</si>
  <si>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</si>
  <si>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</si>
  <si>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</si>
  <si>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</si>
  <si>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</si>
  <si>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</si>
  <si>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</si>
  <si>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</si>
  <si>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</si>
  <si>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</si>
  <si>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</si>
  <si>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</si>
  <si>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</si>
  <si>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</si>
  <si>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</si>
  <si>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</si>
  <si>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</si>
  <si>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</si>
  <si>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</si>
  <si>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</si>
  <si>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</si>
  <si>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</si>
  <si>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</si>
  <si>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</si>
  <si>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</si>
  <si>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</si>
  <si>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</si>
  <si>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</si>
  <si>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</si>
  <si>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</si>
  <si>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</si>
  <si>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</si>
  <si>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</si>
  <si>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</si>
  <si>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</si>
  <si>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</si>
  <si>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</si>
  <si>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</si>
  <si>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</si>
  <si>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</si>
  <si>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</si>
  <si>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</si>
  <si>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</si>
  <si>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</si>
  <si>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</si>
  <si>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</si>
  <si>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</si>
  <si>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</si>
  <si>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</si>
  <si>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</si>
  <si>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</si>
  <si>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</si>
  <si>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</si>
  <si>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</si>
  <si>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</si>
  <si>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</si>
  <si>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</si>
  <si>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</si>
  <si>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</si>
  <si>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</si>
  <si>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</si>
  <si>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</si>
  <si>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</si>
  <si>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</si>
  <si>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</si>
  <si>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</si>
  <si>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</si>
  <si>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</si>
  <si>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</si>
  <si>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</si>
  <si>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</si>
  <si>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</si>
  <si>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</si>
  <si>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</si>
  <si>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</si>
  <si>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</si>
  <si>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</si>
  <si>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</si>
  <si>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</si>
  <si>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</si>
  <si>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</si>
  <si>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</si>
  <si>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</si>
  <si>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</si>
  <si>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</si>
  <si>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</si>
  <si>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</si>
  <si>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</si>
  <si>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</si>
  <si>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</si>
  <si>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</si>
  <si>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</si>
  <si>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</si>
  <si>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</si>
  <si>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</si>
  <si>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</si>
  <si>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</si>
  <si>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</si>
  <si>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</si>
  <si>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</si>
  <si>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</si>
  <si>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</si>
  <si>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</si>
  <si>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</si>
  <si>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</si>
  <si>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</si>
  <si>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</si>
  <si>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</si>
  <si>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</si>
  <si>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</si>
  <si>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</si>
  <si>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</si>
  <si>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</si>
  <si>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</si>
  <si>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</si>
  <si>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</si>
  <si>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</si>
  <si>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</si>
  <si>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</si>
  <si>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</si>
  <si>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</si>
  <si>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</si>
  <si>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</si>
  <si>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</si>
  <si>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</si>
  <si>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</si>
  <si>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</si>
  <si>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</si>
  <si>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</si>
  <si>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</si>
  <si>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</si>
  <si>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</si>
  <si>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</si>
  <si>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</si>
  <si>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</si>
  <si>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</si>
  <si>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</si>
  <si>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</si>
  <si>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</si>
  <si>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</si>
  <si>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</si>
  <si>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</si>
  <si>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</si>
  <si>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</si>
  <si>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</si>
  <si>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</si>
  <si>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</si>
  <si>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</si>
  <si>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</si>
  <si>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</si>
  <si>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</si>
  <si>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</si>
  <si>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</si>
  <si>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</si>
  <si>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</si>
  <si>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</si>
  <si>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</si>
  <si>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</si>
  <si>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</si>
  <si>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</si>
  <si>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</si>
  <si>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</si>
  <si>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</si>
  <si>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</si>
  <si>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</si>
  <si>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</si>
  <si>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</si>
  <si>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</si>
  <si>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</si>
  <si>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</si>
  <si>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</si>
  <si>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</si>
  <si>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</si>
  <si>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</si>
  <si>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</si>
  <si>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</si>
  <si>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</si>
  <si>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</si>
  <si>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</si>
  <si>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</si>
  <si>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</si>
  <si>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</si>
  <si>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</si>
  <si>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</si>
  <si>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</si>
  <si>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</si>
  <si>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</si>
  <si>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</si>
  <si>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</si>
  <si>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</si>
  <si>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</si>
  <si>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</si>
  <si>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</si>
  <si>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</si>
  <si>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</si>
  <si>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</si>
  <si>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</si>
  <si>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</si>
  <si>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</si>
  <si>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</si>
  <si>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</si>
  <si>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</si>
  <si>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</si>
  <si>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</si>
  <si>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</si>
  <si>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</si>
  <si>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</si>
  <si>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</si>
  <si>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</si>
  <si>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</si>
  <si>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</si>
  <si>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</si>
  <si>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</si>
  <si>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</si>
  <si>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</si>
  <si>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</si>
  <si>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</si>
  <si>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</si>
  <si>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</si>
  <si>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</si>
  <si>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</si>
  <si>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</si>
  <si>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</si>
  <si>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</si>
  <si>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</si>
  <si>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</si>
  <si>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</si>
  <si>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</si>
  <si>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</si>
  <si>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</si>
  <si>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</si>
  <si>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</si>
  <si>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</si>
  <si>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</si>
  <si>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</si>
  <si>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</si>
  <si>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</si>
  <si>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</si>
  <si>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</si>
  <si>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</si>
  <si>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</si>
  <si>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</si>
  <si>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</si>
  <si>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</si>
  <si>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</si>
  <si>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</si>
  <si>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</si>
  <si>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</si>
  <si>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</si>
  <si>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</si>
  <si>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</si>
  <si>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</si>
  <si>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</si>
  <si>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</si>
  <si>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</si>
  <si>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</si>
  <si>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</si>
  <si>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</si>
  <si>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</si>
  <si>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</si>
  <si>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</si>
  <si>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</si>
  <si>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</si>
  <si>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</si>
  <si>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</si>
  <si>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</si>
  <si>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</si>
  <si>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</si>
  <si>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</si>
  <si>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</si>
  <si>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</si>
  <si>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</si>
  <si>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</si>
  <si>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</si>
  <si>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</si>
  <si>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</si>
  <si>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</si>
  <si>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</si>
  <si>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</si>
  <si>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</si>
  <si>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</si>
  <si>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</si>
  <si>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</si>
  <si>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</si>
  <si>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</si>
  <si>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</si>
  <si>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</si>
  <si>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</si>
  <si>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</si>
  <si>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</si>
  <si>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</si>
  <si>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</si>
  <si>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</si>
  <si>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</si>
  <si>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</si>
  <si>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</si>
  <si>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</si>
  <si>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</si>
  <si>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</si>
  <si>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</si>
  <si>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</si>
  <si>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</si>
  <si>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</si>
  <si>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</si>
  <si>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</si>
  <si>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</si>
  <si>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</si>
  <si>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</si>
  <si>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</si>
  <si>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</si>
  <si>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</si>
  <si>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</si>
  <si>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</si>
  <si>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</si>
  <si>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</si>
  <si>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</si>
  <si>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</si>
  <si>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</si>
  <si>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</si>
  <si>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</si>
  <si>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</si>
  <si>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</si>
  <si>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</si>
  <si>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</si>
  <si>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</si>
  <si>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</si>
  <si>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</si>
  <si>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</si>
  <si>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</si>
  <si>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</si>
  <si>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</si>
  <si>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</si>
  <si>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</si>
  <si>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</si>
  <si>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</si>
  <si>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</si>
  <si>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</si>
  <si>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</si>
  <si>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</si>
  <si>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</si>
  <si>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</si>
  <si>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</si>
  <si>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</si>
  <si>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</si>
  <si>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</si>
  <si>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</si>
  <si>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</si>
  <si>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</si>
  <si>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</si>
  <si>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</si>
  <si>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</si>
  <si>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</si>
  <si>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</si>
  <si>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</si>
  <si>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</si>
  <si>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</si>
  <si>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</si>
  <si>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</si>
  <si>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</si>
  <si>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</si>
  <si>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</si>
  <si>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</si>
  <si>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</si>
  <si>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</si>
  <si>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</si>
  <si>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</si>
  <si>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</si>
  <si>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</si>
  <si>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</si>
  <si>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</si>
  <si>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</si>
  <si>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</si>
  <si>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</si>
  <si>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</si>
  <si>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</si>
  <si>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</si>
  <si>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</si>
  <si>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</si>
  <si>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</si>
  <si>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</si>
  <si>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</si>
  <si>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</si>
  <si>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</si>
  <si>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</si>
  <si>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</si>
  <si>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</si>
  <si>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</si>
  <si>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</si>
  <si>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</si>
  <si>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</si>
  <si>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</si>
  <si>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</si>
  <si>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</si>
  <si>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</si>
  <si>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</si>
  <si>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</si>
  <si>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</si>
  <si>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</si>
  <si>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</si>
  <si>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</si>
  <si>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</si>
  <si>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</si>
  <si>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</si>
  <si>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</si>
  <si>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</si>
  <si>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</si>
  <si>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</si>
  <si>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</si>
  <si>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</si>
  <si>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</si>
  <si>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</si>
  <si>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</si>
  <si>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</si>
  <si>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</si>
  <si>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</si>
  <si>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</si>
  <si>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</si>
  <si>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</si>
  <si>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</si>
  <si>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</si>
  <si>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</si>
  <si>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</si>
  <si>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</si>
  <si>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</si>
  <si>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</si>
  <si>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</si>
  <si>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</si>
  <si>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</si>
  <si>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</si>
  <si>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</si>
  <si>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</si>
  <si>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</si>
  <si>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</si>
  <si>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</si>
  <si>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</si>
  <si>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</si>
  <si>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</si>
  <si>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</si>
  <si>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</si>
  <si>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</si>
  <si>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</si>
  <si>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</si>
  <si>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</si>
  <si>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</si>
  <si>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</si>
  <si>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</si>
  <si>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</si>
  <si>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</si>
  <si>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</si>
  <si>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</si>
  <si>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</si>
  <si>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</si>
  <si>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</si>
  <si>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</si>
  <si>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</si>
  <si>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</si>
  <si>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</si>
  <si>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</si>
  <si>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</si>
  <si>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</si>
  <si>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</si>
  <si>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</si>
  <si>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</si>
  <si>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</si>
  <si>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</si>
  <si>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</si>
  <si>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</si>
  <si>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</si>
  <si>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</si>
  <si>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</si>
  <si>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</si>
  <si>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</si>
  <si>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</si>
  <si>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</si>
  <si>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</si>
  <si>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</si>
  <si>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</si>
  <si>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</si>
  <si>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</si>
  <si>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</si>
  <si>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</si>
  <si>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</si>
  <si>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</si>
  <si>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</si>
  <si>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</si>
  <si>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</si>
  <si>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</si>
  <si>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</si>
  <si>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</si>
  <si>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</si>
  <si>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</si>
  <si>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</si>
  <si>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</si>
  <si>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</si>
  <si>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</si>
  <si>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</si>
  <si>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</si>
  <si>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</si>
  <si>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</si>
  <si>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</si>
  <si>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</si>
  <si>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</si>
  <si>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</si>
  <si>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</si>
  <si>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</si>
  <si>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</si>
  <si>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</si>
  <si>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</si>
  <si>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</si>
  <si>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</si>
  <si>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</si>
  <si>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</si>
  <si>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</si>
  <si>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</si>
  <si>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</si>
  <si>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</si>
  <si>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</si>
  <si>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</si>
  <si>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</si>
  <si>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</si>
  <si>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</si>
  <si>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</si>
  <si>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</si>
  <si>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</si>
  <si>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</si>
  <si>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</si>
  <si>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</si>
  <si>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</si>
  <si>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</si>
  <si>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</si>
  <si>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</si>
  <si>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</si>
  <si>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</si>
  <si>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</si>
  <si>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</si>
  <si>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</si>
  <si>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</si>
  <si>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</si>
  <si>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</si>
  <si>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</si>
  <si>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</si>
  <si>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</si>
  <si>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</si>
  <si>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</si>
  <si>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</si>
  <si>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</si>
  <si>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</si>
  <si>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</si>
  <si>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</si>
  <si>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</si>
  <si>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</si>
  <si>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</si>
  <si>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</si>
  <si>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</si>
  <si>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</si>
  <si>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</si>
  <si>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</si>
  <si>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</si>
  <si>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</si>
  <si>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</si>
  <si>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</si>
  <si>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</si>
  <si>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</si>
  <si>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</si>
  <si>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</si>
  <si>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</si>
  <si>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</si>
  <si>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</si>
  <si>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</si>
  <si>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</si>
  <si>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</si>
  <si>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</si>
  <si>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</si>
  <si>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</si>
  <si>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</si>
  <si>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</si>
  <si>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</si>
  <si>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</si>
  <si>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</si>
  <si>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</si>
  <si>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</si>
  <si>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</si>
  <si>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</si>
  <si>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</si>
  <si>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</si>
  <si>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</si>
  <si>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</si>
  <si>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</si>
  <si>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</si>
  <si>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</si>
  <si>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</si>
  <si>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</si>
  <si>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</si>
  <si>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</si>
  <si>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</si>
  <si>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</si>
  <si>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</si>
  <si>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</si>
  <si>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</si>
  <si>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</si>
  <si>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</si>
  <si>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</si>
  <si>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</si>
  <si>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</si>
  <si>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</si>
  <si>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</si>
  <si>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</si>
  <si>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</si>
  <si>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</si>
  <si>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</si>
  <si>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</si>
  <si>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</si>
  <si>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</si>
  <si>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</si>
  <si>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</si>
  <si>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</si>
  <si>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</si>
  <si>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</si>
  <si>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</si>
  <si>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</si>
  <si>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</si>
  <si>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</si>
  <si>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</si>
  <si>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</si>
  <si>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</si>
  <si>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</si>
  <si>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</si>
  <si>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</si>
  <si>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</si>
  <si>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</si>
  <si>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</si>
  <si>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</si>
  <si>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</si>
  <si>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</si>
  <si>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</si>
  <si>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</si>
  <si>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</si>
  <si>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</si>
  <si>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</si>
  <si>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</si>
  <si>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</si>
  <si>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</si>
  <si>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</si>
  <si>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</si>
  <si>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</si>
  <si>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</si>
  <si>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</si>
  <si>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</si>
  <si>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</si>
  <si>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</si>
  <si>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</si>
  <si>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</si>
  <si>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</si>
  <si>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</si>
  <si>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</si>
  <si>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</si>
  <si>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</si>
  <si>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</si>
  <si>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</si>
  <si>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</si>
  <si>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</si>
  <si>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</si>
  <si>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</si>
  <si>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</si>
  <si>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</si>
  <si>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</si>
  <si>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</si>
  <si>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</si>
  <si>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</si>
  <si>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</si>
  <si>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</si>
  <si>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</si>
  <si>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</si>
  <si>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</si>
  <si>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</si>
  <si>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</si>
  <si>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</si>
  <si>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</si>
  <si>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</si>
  <si>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</si>
  <si>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</si>
  <si>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</si>
  <si>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</si>
  <si>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</si>
  <si>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</si>
  <si>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</si>
  <si>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</si>
  <si>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</si>
  <si>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</si>
  <si>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</si>
  <si>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</si>
  <si>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</si>
  <si>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</si>
  <si>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是</t>
  </si>
  <si>
    <t>Ⅶ-昌1</t>
  </si>
  <si>
    <t>地下</t>
  </si>
  <si>
    <t>成新度</t>
  </si>
  <si>
    <t>收益法</t>
  </si>
  <si>
    <t>利息：取LPR加浮动点数</t>
  </si>
  <si>
    <t>宗地容积率</t>
  </si>
  <si>
    <t>不临65条商业街</t>
  </si>
  <si>
    <t>与级别开发程度一致</t>
  </si>
  <si>
    <t>未包含在土地购买价格中</t>
  </si>
  <si>
    <t>已包含在土地取得成本中</t>
  </si>
  <si>
    <t>成本法</t>
  </si>
  <si>
    <t>押一</t>
  </si>
  <si>
    <t>钢混</t>
  </si>
  <si>
    <t>非生产用房</t>
  </si>
  <si>
    <r>
      <t>1</t>
    </r>
    <r>
      <rPr>
        <sz val="10"/>
        <color indexed="8"/>
        <rFont val="宋体"/>
        <family val="3"/>
        <charset val="134"/>
      </rPr>
      <t>层及地下室</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</si>
  <si>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</si>
  <si>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</si>
  <si>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</si>
  <si>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</si>
  <si>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6</t>
    </r>
    <r>
      <rPr>
        <sz val="11"/>
        <color indexed="8"/>
        <rFont val="宋体"/>
        <family val="3"/>
        <charset val="134"/>
      </rPr>
      <t>层</t>
    </r>
    <phoneticPr fontId="3" type="noConversion"/>
  </si>
  <si>
    <r>
      <t>7</t>
    </r>
    <r>
      <rPr>
        <sz val="11"/>
        <color indexed="8"/>
        <rFont val="宋体"/>
        <family val="3"/>
        <charset val="134"/>
      </rPr>
      <t>、</t>
    </r>
    <r>
      <rPr>
        <sz val="11"/>
        <color indexed="8"/>
        <rFont val="Arial"/>
        <family val="2"/>
      </rPr>
      <t>8</t>
    </r>
    <r>
      <rPr>
        <sz val="11"/>
        <color indexed="8"/>
        <rFont val="宋体"/>
        <family val="3"/>
        <charset val="134"/>
      </rPr>
      <t>层</t>
    </r>
    <phoneticPr fontId="3" type="noConversion"/>
  </si>
  <si>
    <t>工业（办公）</t>
  </si>
  <si>
    <t>工业（办公）</t>
    <phoneticPr fontId="7" type="noConversion"/>
  </si>
  <si>
    <r>
      <t xml:space="preserve"> 0- </t>
    </r>
    <r>
      <rPr>
        <sz val="11"/>
        <color indexed="8"/>
        <rFont val="宋体"/>
        <family val="3"/>
        <charset val="134"/>
      </rPr>
      <t>炒菜</t>
    </r>
    <phoneticPr fontId="3" type="noConversion"/>
  </si>
  <si>
    <t>Ⅴ-上地核心</t>
  </si>
  <si>
    <t>较好</t>
  </si>
  <si>
    <t>一般</t>
  </si>
  <si>
    <t>抵押</t>
  </si>
  <si>
    <t>房地产抵押价值</t>
  </si>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</sst>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36</xdr:row>
      <xdr:rowOff>117576</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6118326"/>
        </a:xfrm>
        <a:prstGeom prst="rect">
          <a:avLst/>
        </a:prstGeom>
      </xdr:spPr>
    </xdr:pic>
    <xdr:clientData/>
  </xdr:twoCellAnchor>
  <xdr:twoCellAnchor editAs="oneCell">
    <xdr:from>
      <xdr:col>0</xdr:col>
      <xdr:colOff>0</xdr:colOff>
      <xdr:row>40</xdr:row>
      <xdr:rowOff>0</xdr:rowOff>
    </xdr:from>
    <xdr:to>
      <xdr:col>13</xdr:col>
      <xdr:colOff>665553</xdr:colOff>
      <xdr:row>73</xdr:row>
      <xdr:rowOff>104055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6858000"/>
          <a:ext cx="9580953" cy="5761905"/>
        </a:xfrm>
        <a:prstGeom prst="rect">
          <a:avLst/>
        </a:prstGeom>
      </xdr:spPr>
    </xdr:pic>
    <xdr:clientData/>
  </xdr:twoCellAnchor>
  <xdr:twoCellAnchor editAs="oneCell">
    <xdr:from>
      <xdr:col>0</xdr:col>
      <xdr:colOff>0</xdr:colOff>
      <xdr:row>75</xdr:row>
      <xdr:rowOff>0</xdr:rowOff>
    </xdr:from>
    <xdr:to>
      <xdr:col>9</xdr:col>
      <xdr:colOff>418277</xdr:colOff>
      <xdr:row>122</xdr:row>
      <xdr:rowOff>65660</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2858750"/>
          <a:ext cx="6590477" cy="8123810"/>
        </a:xfrm>
        <a:prstGeom prst="rect">
          <a:avLst/>
        </a:prstGeom>
      </xdr:spPr>
    </xdr:pic>
    <xdr:clientData/>
  </xdr:twoCellAnchor>
  <xdr:twoCellAnchor editAs="oneCell">
    <xdr:from>
      <xdr:col>10</xdr:col>
      <xdr:colOff>0</xdr:colOff>
      <xdr:row>74</xdr:row>
      <xdr:rowOff>0</xdr:rowOff>
    </xdr:from>
    <xdr:to>
      <xdr:col>19</xdr:col>
      <xdr:colOff>142086</xdr:colOff>
      <xdr:row>116</xdr:row>
      <xdr:rowOff>8624</xdr:rowOff>
    </xdr:to>
    <xdr:pic>
      <xdr:nvPicPr>
        <xdr:cNvPr id="9" name="图片 8"/>
        <xdr:cNvPicPr>
          <a:picLocks noChangeAspect="1"/>
        </xdr:cNvPicPr>
      </xdr:nvPicPr>
      <xdr:blipFill>
        <a:blip xmlns:r="http://schemas.openxmlformats.org/officeDocument/2006/relationships" r:embed="rId4"/>
        <a:stretch>
          <a:fillRect/>
        </a:stretch>
      </xdr:blipFill>
      <xdr:spPr>
        <a:xfrm>
          <a:off x="6858000" y="12687300"/>
          <a:ext cx="6314286" cy="7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估价对象为北京市房地产，为所有。根据《国有土地使用证》[]，估价对象（分摊）出让国有建设用地使用权面积为11220.06平方米，建筑面积为14815.5平方米。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估价对象为北京市房地产,属开发建设的，该项目尚在开发建设中。根据《国有土地使用证》[]，估价对象（分摊）出让国有建设用地使用权面积为11220.06平方米，规划建筑面积为14815.5平方米。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2023年6月14日（评估专业人员实地查勘之日）</v>
      </c>
    </row>
    <row r="13" spans="1:2" s="1203" customFormat="1">
      <c r="A13" s="1201" t="s">
        <v>529</v>
      </c>
      <c r="B13" s="1202"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14815.499999999998</v>
      </c>
    </row>
    <row r="44" spans="1:2" s="1203" customFormat="1">
      <c r="A44" s="1201" t="s">
        <v>575</v>
      </c>
      <c r="B44" s="1202" t="str">
        <f>'预评函-3'!C2</f>
        <v>(分摊)土地面积</v>
      </c>
    </row>
    <row r="45" spans="1:2" s="1203" customFormat="1">
      <c r="A45" s="1201" t="s">
        <v>547</v>
      </c>
      <c r="B45" s="1202">
        <f>'预评函-3'!C4</f>
        <v>11220.06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49" sqref="C49"/>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6" sqref="H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45091</v>
      </c>
      <c r="C3" s="2374" t="s">
        <v>2171</v>
      </c>
      <c r="D3" s="2373">
        <f>B3</f>
        <v>45091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3407</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3408</v>
      </c>
      <c r="C9" s="2395"/>
      <c r="D9" s="3504"/>
      <c r="E9" s="2394"/>
      <c r="F9" s="2396"/>
      <c r="G9" s="2665"/>
      <c r="H9" s="2665"/>
      <c r="I9" s="2665"/>
      <c r="J9" s="2439"/>
      <c r="K9" s="2616"/>
      <c r="L9" s="2613"/>
      <c r="M9" s="2613"/>
      <c r="N9" s="2439"/>
      <c r="O9" s="2450"/>
      <c r="P9" s="2439"/>
      <c r="Q9" s="2439"/>
      <c r="R9" s="2439"/>
    </row>
    <row r="10" spans="1:30" ht="13.5" thickTop="1">
      <c r="A10" s="2397" t="s">
        <v>2179</v>
      </c>
      <c r="B10" s="2398" t="s">
        <v>3409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51994</v>
      </c>
      <c r="E13" s="856"/>
      <c r="F13" s="856"/>
      <c r="G13" s="856"/>
      <c r="H13" s="856">
        <v>51994</v>
      </c>
      <c r="I13" s="856"/>
      <c r="J13" s="3062"/>
      <c r="K13" s="2613"/>
      <c r="L13" s="2613"/>
      <c r="M13" s="2439"/>
      <c r="N13" s="2450"/>
      <c r="O13" s="2439"/>
      <c r="P13" s="2439"/>
      <c r="Q13" s="2439"/>
      <c r="AD13" s="1745"/>
    </row>
    <row r="14" spans="1:30">
      <c r="A14" s="1081"/>
      <c r="B14" s="2407" t="s">
        <v>2191</v>
      </c>
      <c r="C14" s="2408"/>
      <c r="D14" s="2408">
        <v>40</v>
      </c>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18.91</v>
      </c>
      <c r="E15" s="2410" t="str">
        <f>IF(A13="出让",IF(E13="","",ROUNDDOWN(MIN((E13-$D$3)/365,E14),2)),E14)</f>
        <v/>
      </c>
      <c r="F15" s="2410" t="str">
        <f>IF(A13="出让",IF(F13="","",ROUNDDOWN(MIN((F13-$D$3)/365,F14),2)),F14)</f>
        <v/>
      </c>
      <c r="G15" s="2410" t="str">
        <f>IF(A13="出让",IF(G13="","",ROUNDDOWN(MIN((G13-$D$3)/365,G14),2)),G14)</f>
        <v/>
      </c>
      <c r="H15" s="2410">
        <f>IF(A13="出让",IF(H13="","",ROUNDDOWN(MIN((H13-$D$3)/365,H14),2)),H14)</f>
        <v>18.91</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14815.499999999998</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11220.06</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t="s">
        <v>303</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3380</v>
      </c>
      <c r="C38" s="2432"/>
      <c r="D38" s="2432"/>
      <c r="E38" s="2432" t="s">
        <v>3404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11220.06</v>
      </c>
      <c r="B3" s="11">
        <f>IF(C3="否",G5-AT5,G5)</f>
        <v>14815.499999999998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14815.499999999998</v>
      </c>
      <c r="H5" s="13">
        <f t="shared" ref="H5:AT5" si="0">SUM(H13:H656)</f>
        <v>14815.499999999998</v>
      </c>
      <c r="I5" s="13">
        <f t="shared" si="0"/>
        <v>12210.099999999999</v>
      </c>
      <c r="J5" s="13">
        <f t="shared" si="0"/>
        <v>0</v>
      </c>
      <c r="K5" s="13">
        <f t="shared" si="0"/>
        <v>2605.4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14815.499999999998</v>
      </c>
      <c r="BA5" s="15">
        <f t="shared" si="1"/>
        <v>14815.499999999998</v>
      </c>
      <c r="BB5" s="15">
        <f t="shared" si="1"/>
        <v>12210.099999999999</v>
      </c>
      <c r="BC5" s="15">
        <f t="shared" si="1"/>
        <v>2605.4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11220.060000000001</v>
      </c>
      <c r="F6" s="13" t="s">
        <v>0</v>
      </c>
      <c r="G6" s="13" t="s">
        <v>1</v>
      </c>
      <c r="H6" s="17">
        <f>SUMIF(I$12:AB$12,"总值",I6:AB6)</f>
        <v>11220.060000000001</v>
      </c>
      <c r="I6" s="13">
        <f t="shared" ref="I6:AB6" si="2">ROUND($A$3*I5/$B$3,2)</f>
        <v>9246.94</v>
      </c>
      <c r="J6" s="13">
        <f t="shared" si="2"/>
        <v>0</v>
      </c>
      <c r="K6" s="13">
        <f t="shared" si="2"/>
        <v>1973.12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11220.06</v>
      </c>
      <c r="AZ6" s="13" t="s">
        <v>2</v>
      </c>
      <c r="BA6" s="13">
        <f>ROUND($AY$6*BA5/$AZ$5,2)</f>
        <v>11220.06</v>
      </c>
      <c r="BB6" s="13">
        <f>ROUND($AY$6*BB5/$AZ$5,2)</f>
        <v>9246.94</v>
      </c>
      <c r="BC6" s="13">
        <f t="shared" ref="BC6:BH6" si="4">ROUND($AY$6*BC5/$AZ$5,2)</f>
        <v>1973.12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3"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3394</v>
      </c>
      <c r="D13" s="1625" t="s">
        <v>3379</v>
      </c>
      <c r="E13" s="13">
        <f>IF($C$3="是",ROUND($A$3*G13/$B$3,2),ROUND($A$3*(G13-AT13)/$B$3,2))</f>
        <v>3557.28</v>
      </c>
      <c r="F13" s="29"/>
      <c r="G13" s="30">
        <f>H13+AC13+AT13</f>
        <v>4697.2</v>
      </c>
      <c r="H13" s="17">
        <f>SUMIF(I$12:AB$12,"总值",I13:AB13)</f>
        <v>4697.2</v>
      </c>
      <c r="I13" s="1626">
        <f>4697.2-K13</f>
        <v>2091.7999999999997</v>
      </c>
      <c r="J13" s="1626"/>
      <c r="K13" s="1626">
        <f>2605.4</f>
        <v>2605.4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1层及地下室</v>
      </c>
      <c r="AY13" s="1349">
        <f>ROUND($AY$6*AZ13/$AZ$5,2)</f>
        <v>3557.28</v>
      </c>
      <c r="AZ13" s="13">
        <f>BA13+BL13</f>
        <v>4697.2</v>
      </c>
      <c r="BA13" s="13">
        <f>SUM(BB13:BK13)</f>
        <v>4697.2</v>
      </c>
      <c r="BB13" s="13">
        <f>IF($D13="是",I13-J13,0)</f>
        <v>2091.7999999999997</v>
      </c>
      <c r="BC13" s="13">
        <f>IF($D13="是",K13-L13,0)</f>
        <v>2605.4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3395</v>
      </c>
      <c r="D14" s="1625" t="s">
        <v>3379</v>
      </c>
      <c r="E14" s="13">
        <f>IF($C$3="是",ROUND($A$3*G14/$B$3,2),ROUND($A$3*(G14-AT14)/$B$3,2))</f>
        <v>1926.32</v>
      </c>
      <c r="F14" s="29"/>
      <c r="G14" s="30">
        <f>H14+AC14+AT14</f>
        <v>2543.6</v>
      </c>
      <c r="H14" s="17">
        <f>SUMIF(I$12:AB$12,"总值",I14:AB14)</f>
        <v>2543.6</v>
      </c>
      <c r="I14" s="1626">
        <v>2543.6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1926.32</v>
      </c>
      <c r="AZ14" s="13">
        <f>BA14+BL14</f>
        <v>2543.6</v>
      </c>
      <c r="BA14" s="13">
        <f>SUM(BB14:BK14)</f>
        <v>2543.6</v>
      </c>
      <c r="BB14" s="13">
        <f>IF($D14="是",I14-J14,0)</f>
        <v>2543.6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3396</v>
      </c>
      <c r="D15" s="1625" t="s">
        <v>3379</v>
      </c>
      <c r="E15" s="13">
        <f>IF($C$3="是",ROUND($A$3*G15/$B$3,2),ROUND($A$3*(G15-AT15)/$B$3,2))</f>
        <v>1624.37</v>
      </c>
      <c r="F15" s="29"/>
      <c r="G15" s="30">
        <f>H15+AC15+AT15</f>
        <v>2144.9</v>
      </c>
      <c r="H15" s="17">
        <f>SUMIF(I$12:AB$12,"总值",I15:AB15)</f>
        <v>2144.9</v>
      </c>
      <c r="I15" s="1626">
        <v>2144.9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1624.37</v>
      </c>
      <c r="AZ15" s="13">
        <f>BA15+BL15</f>
        <v>2144.9</v>
      </c>
      <c r="BA15" s="13">
        <f>SUM(BB15:BK15)</f>
        <v>2144.9</v>
      </c>
      <c r="BB15" s="13">
        <f>IF($D15="是",I15-J15,0)</f>
        <v>2144.9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3397</v>
      </c>
      <c r="D16" s="1625" t="s">
        <v>3379</v>
      </c>
      <c r="E16" s="13">
        <f>IF($C$3="是",ROUND($A$3*G16/$B$3,2),ROUND($A$3*(G16-AT16)/$B$3,2))</f>
        <v>1619.91</v>
      </c>
      <c r="F16" s="29"/>
      <c r="G16" s="30">
        <f>H16+AC16+AT16</f>
        <v>2139</v>
      </c>
      <c r="H16" s="17">
        <f>SUMIF(I$12:AB$12,"总值",I16:AB16)</f>
        <v>2139</v>
      </c>
      <c r="I16" s="1626">
        <v>2139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1619.91</v>
      </c>
      <c r="AZ16" s="13">
        <f>BA16+BL16</f>
        <v>2139</v>
      </c>
      <c r="BA16" s="13">
        <f>SUM(BB16:BK16)</f>
        <v>2139</v>
      </c>
      <c r="BB16" s="13">
        <f>IF($D16="是",I16-J16,0)</f>
        <v>2139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3398</v>
      </c>
      <c r="D17" s="1625" t="s">
        <v>3379</v>
      </c>
      <c r="E17" s="13">
        <f>IF($C$3="是",ROUND($A$3*G17/$B$3,2),ROUND($A$3*(G17-AT17)/$B$3,2))</f>
        <v>1515.7</v>
      </c>
      <c r="F17" s="29"/>
      <c r="G17" s="30">
        <f>H17+AC17+AT17</f>
        <v>2001.4</v>
      </c>
      <c r="H17" s="17">
        <f>SUMIF(I$12:AB$12,"总值",I17:AB17)</f>
        <v>2001.4</v>
      </c>
      <c r="I17" s="1626">
        <v>2001.4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5层</v>
      </c>
      <c r="AY17" s="1349">
        <f>ROUND($AY$6*AZ17/$AZ$5,2)</f>
        <v>1515.7</v>
      </c>
      <c r="AZ17" s="13">
        <f>BA17+BL17</f>
        <v>2001.4</v>
      </c>
      <c r="BA17" s="13">
        <f>SUM(BB17:BK17)</f>
        <v>2001.4</v>
      </c>
      <c r="BB17" s="13">
        <f>IF($D17="是",I17-J17,0)</f>
        <v>2001.4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3399</v>
      </c>
      <c r="D18" s="1625" t="s">
        <v>3379</v>
      </c>
      <c r="E18" s="32">
        <f t="shared" ref="E18:E112" si="7">IF($C$3="是",ROUND($A$3*G18/$B$3,2),ROUND($A$3*(G18-AT18)/$B$3,2))</f>
        <v>754.67</v>
      </c>
      <c r="F18" s="33"/>
      <c r="G18" s="34">
        <f t="shared" ref="G18:G109" si="8">H18+AC18+AT18</f>
        <v>996.5</v>
      </c>
      <c r="H18" s="35">
        <f t="shared" ref="H18:H109" si="9">SUMIF(I$12:AB$12,"总值",I18:AB18)</f>
        <v>996.5</v>
      </c>
      <c r="I18" s="36">
        <v>996.5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6层</v>
      </c>
      <c r="AY18" s="39">
        <f t="shared" ref="AY18:AY109" si="14">ROUND($AY$6*AZ18/$AZ$5,2)</f>
        <v>754.67</v>
      </c>
      <c r="AZ18" s="32">
        <f t="shared" ref="AZ18:AZ109" si="15">BA18+BL18</f>
        <v>996.5</v>
      </c>
      <c r="BA18" s="32">
        <f t="shared" ref="BA18:BA109" si="16">SUM(BB18:BK18)</f>
        <v>996.5</v>
      </c>
      <c r="BB18" s="32">
        <f t="shared" ref="BB18:BB109" si="17">IF($D18="是",I18-J18,0)</f>
        <v>996.5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3400</v>
      </c>
      <c r="D19" s="1625" t="s">
        <v>3379</v>
      </c>
      <c r="E19" s="32">
        <f t="shared" si="7"/>
        <v>221.82</v>
      </c>
      <c r="F19" s="33"/>
      <c r="G19" s="34">
        <f t="shared" si="8"/>
        <v>292.89999999999998</v>
      </c>
      <c r="H19" s="35">
        <f t="shared" si="9"/>
        <v>292.89999999999998</v>
      </c>
      <c r="I19" s="36">
        <v>292.89999999999998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7、8层</v>
      </c>
      <c r="AY19" s="39">
        <f t="shared" si="14"/>
        <v>221.82</v>
      </c>
      <c r="AZ19" s="32">
        <f t="shared" si="15"/>
        <v>292.89999999999998</v>
      </c>
      <c r="BA19" s="32">
        <f t="shared" si="16"/>
        <v>292.89999999999998</v>
      </c>
      <c r="BB19" s="32">
        <f t="shared" si="17"/>
        <v>292.89999999999998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7" sqref="M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11220.06</v>
      </c>
      <c r="E3" s="43">
        <f>'数据-基础表'!AZ5</f>
        <v>14815.499999999998</v>
      </c>
      <c r="F3" s="2659"/>
      <c r="G3" s="1145"/>
      <c r="H3" s="1026" t="s">
        <v>1106</v>
      </c>
      <c r="I3" s="855">
        <f>ROUND('数据-基础表'!B3/'数据-基础表'!A3,2)</f>
        <v>1.32</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1.0900000000000001</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1.32</v>
      </c>
      <c r="J5" s="2659"/>
      <c r="K5" s="2659"/>
      <c r="L5" s="2659"/>
      <c r="M5" s="2659"/>
      <c r="N5" s="2659"/>
      <c r="O5" s="2659"/>
      <c r="P5" s="2659"/>
    </row>
    <row r="6" spans="1:16" ht="15" thickBot="1">
      <c r="A6" s="1644"/>
      <c r="B6" s="3536" t="s">
        <v>1111</v>
      </c>
      <c r="C6" s="3536"/>
      <c r="D6" s="45">
        <f>ROUND($D$3*E6/$E$3,2)</f>
        <v>11220.06</v>
      </c>
      <c r="E6" s="46">
        <f>E3-E5</f>
        <v>14815.499999999998</v>
      </c>
      <c r="F6" s="2659"/>
      <c r="G6" s="2653" t="s">
        <v>1112</v>
      </c>
      <c r="H6" s="1146" t="s">
        <v>1113</v>
      </c>
      <c r="I6" s="2654">
        <f>ROUND(F31/D31,2)</f>
        <v>1.0900000000000001</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9246.94</v>
      </c>
      <c r="E8" s="48">
        <f>SUMIF('数据-基础表'!BB10:BK10,"地上",'数据-基础表'!BB5:BK5)</f>
        <v>12210.099999999999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9246.94</v>
      </c>
      <c r="E16" s="50">
        <f>SUM(E8:E15)</f>
        <v>12210.099999999999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11220.06</v>
      </c>
      <c r="E19" s="53">
        <f t="shared" ref="E19:E26" si="1">SUM(F19:G19)</f>
        <v>14815.499999999998</v>
      </c>
      <c r="F19" s="2795">
        <f>'数据-基础表'!I5</f>
        <v>12210.099999999999</v>
      </c>
      <c r="G19" s="2796">
        <f>'数据-基础表'!K5</f>
        <v>2605.4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11220.06</v>
      </c>
      <c r="S19" s="1027">
        <f t="shared" si="5"/>
        <v>14815.499999999998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11220.06</v>
      </c>
      <c r="E27" s="1141">
        <f>IF(SUM(E19:E26)='数据-基础表'!BA5,SUM(E19:E26),IF(F27="地上面积有误","面积有误","地下面积有误"))</f>
        <v>14815.499999999998</v>
      </c>
      <c r="F27" s="1140">
        <f>IF(SUM(F19:F26)=E8,SUM(F19:F26),"地上面积有误")</f>
        <v>12210.099999999999</v>
      </c>
      <c r="G27" s="1142">
        <f>SUM(G19:G26)</f>
        <v>2605.4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11220.06</v>
      </c>
      <c r="S27" s="1026">
        <f>IF(SUM(S19:S26)=$E$3,SUM(S19:S26),SUM(S19:S26)&amp;"误差"&amp;ROUND(SUM(S19:S26)-E3,2))</f>
        <v>14815.499999999998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11220.06</v>
      </c>
      <c r="E31" s="676">
        <f>E27+E30</f>
        <v>14815.499999999998</v>
      </c>
      <c r="F31" s="677">
        <f>F27+F30</f>
        <v>12210.099999999999</v>
      </c>
      <c r="G31" s="678">
        <f>G27+G30</f>
        <v>2605.4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D20" sqref="AD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工业（办公）</v>
      </c>
      <c r="B6" s="1713" t="str">
        <f>IF(A6=0,"","经营性")</f>
        <v>经营性</v>
      </c>
      <c r="C6" s="1714" t="s">
        <v>3</v>
      </c>
      <c r="D6" s="858">
        <f>SUMIF(项目基本情况!C$12:I$12,C6,项目基本情况!C$14:I$14)</f>
        <v>50</v>
      </c>
      <c r="E6" s="857">
        <f>IF(B6="","",SUMIF(项目基本情况!C$12:I$12,C6,项目基本情况!C$13:I$13))</f>
        <v>51994</v>
      </c>
      <c r="F6" s="64">
        <f>SUMIF(项目基本情况!C$12:I$12,C6,项目基本情况!C$15:I$15)</f>
        <v>18.91</v>
      </c>
      <c r="G6" s="65">
        <f>IF(ISERROR(ROUND(POWER(1+H6,D6-F6)*(POWER(1+H6,F6)-1)/(POWER(1+H6,D6)-1),3)),0,ROUND(POWER(1+H6,D6-F6)*(POWER(1+H6,F6)-1)/(POWER(1+H6,D6)-1),3))</f>
        <v>0.66</v>
      </c>
      <c r="H6" s="732">
        <v>0.05</v>
      </c>
      <c r="I6" s="732">
        <v>0.05</v>
      </c>
      <c r="J6" s="66">
        <v>7.4999999999999997E-2</v>
      </c>
      <c r="K6" s="1030">
        <f>SUMIF('数据-汇总表'!C$19:C$33,A6,'数据-汇总表'!E$19:E$33)</f>
        <v>14815.499999999998</v>
      </c>
      <c r="L6" s="733">
        <v>4000</v>
      </c>
      <c r="M6" s="67">
        <f t="shared" ref="M6:M14" si="0">ROUND(K6*L6/10000,0)</f>
        <v>5926</v>
      </c>
      <c r="N6" s="731">
        <f>1-(2023-2000)/60</f>
        <v>0.6166666666666667</v>
      </c>
      <c r="O6" s="67" t="str">
        <f>IF($N$5="成新度","——",ROUND(M6*N6,0))</f>
        <v>——</v>
      </c>
      <c r="P6" s="68" t="str">
        <f>IF($N$5="成新度","——",M6-O6)</f>
        <v>——</v>
      </c>
      <c r="Q6" s="734">
        <v>0.15</v>
      </c>
      <c r="R6" s="69">
        <f ca="1">SUMIF('数据-汇总表'!C$19:C$33,A6,'数据-汇总表'!R$19:R$27)</f>
        <v>11220.06</v>
      </c>
      <c r="S6" s="51">
        <f>IF('数据-汇总表'!$I$17="按面积比例",SUMIF('数据-汇总表'!C$19:C$33,A6,'数据-汇总表'!K$19:K$33),SUMIF('数据-汇总表'!C$19:C$33,A6,'数据-汇总表'!N$19:N$33))</f>
        <v>0</v>
      </c>
      <c r="T6" s="1172">
        <f>ROUND($L$14*S6/10000,0)</f>
        <v>0</v>
      </c>
      <c r="U6" s="3428">
        <v>4.5</v>
      </c>
      <c r="V6" s="70">
        <v>0.03</v>
      </c>
      <c r="W6" s="70">
        <v>0.1</v>
      </c>
      <c r="X6" s="1040"/>
      <c r="Y6" s="71">
        <f>N6</f>
        <v>0.6166666666666667</v>
      </c>
      <c r="Z6" s="72"/>
      <c r="AA6" s="66"/>
      <c r="AB6" s="66"/>
      <c r="AC6" s="1040"/>
      <c r="AD6" s="73"/>
      <c r="AE6" s="1041">
        <f ca="1">IF(AN6="",0,SUMIF(INDIRECT("'"&amp;AN6&amp;"'"&amp;"!E:E"),$AE$5,INDIRECT("'"&amp;AN6&amp;"'"&amp;"!F:F")))</f>
        <v>18.91</v>
      </c>
      <c r="AF6" s="1348"/>
      <c r="AG6" s="138">
        <f>IF(AF6="",0,AE6-AF6)</f>
        <v>0</v>
      </c>
      <c r="AH6" s="74"/>
      <c r="AI6" s="76">
        <v>365</v>
      </c>
      <c r="AJ6" s="77"/>
      <c r="AK6" s="78">
        <v>5.0000000000000001E-3</v>
      </c>
      <c r="AL6" s="79">
        <v>1E-3</v>
      </c>
      <c r="AM6" s="80">
        <v>5.0000000000000001E-3</v>
      </c>
      <c r="AN6" s="1715" t="s">
        <v>3383</v>
      </c>
      <c r="AO6" s="52">
        <f ca="1">SUMIF(INDIRECT("'"&amp;AN6&amp;"'"&amp;"!A:A"),"总价",INDIRECT("'"&amp;AN6&amp;"'"&amp;"!B:B"))</f>
        <v>26921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v>
      </c>
      <c r="H16" s="90">
        <f>ROUND(SUMPRODUCT(H6:H13,K6:K13)/SUMPRODUCT((H6:H13&gt;0)*(K6:K13)),3)</f>
        <v>0.05</v>
      </c>
      <c r="I16" s="91"/>
      <c r="J16" s="91"/>
      <c r="K16" s="92">
        <f>SUM(K6:K15)</f>
        <v>14815.499999999998</v>
      </c>
      <c r="L16" s="93">
        <f>ROUND(M16*10000/SUM(K6:K14),0)</f>
        <v>4000</v>
      </c>
      <c r="M16" s="93">
        <f>SUM(M6:M14)</f>
        <v>5926</v>
      </c>
      <c r="N16" s="94">
        <f>ROUND(SUMPRODUCT(M6:M14,N6:N14)/M16,3)</f>
        <v>0.61699999999999999</v>
      </c>
      <c r="O16" s="93">
        <f>SUM(O6:O14)</f>
        <v>0</v>
      </c>
      <c r="P16" s="93">
        <f>SUM(P6:P14)</f>
        <v>0</v>
      </c>
      <c r="Q16" s="95">
        <f>ROUND(SUMPRODUCT(Q6:Q13,K6:K13)/SUMPRODUCT((Q6:Q13&gt;0)*(K6:K13)),2)</f>
        <v>0.15</v>
      </c>
      <c r="R16" s="1034">
        <f ca="1">SUM(R6:R13)</f>
        <v>11220.06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168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t="s">
        <v>3403</v>
      </c>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23" sqref="M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1" t="str">
        <f>项目基本情况!S2</f>
        <v>北京市房地产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3390</v>
      </c>
      <c r="D4" s="1756" t="s">
        <v>3383</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v>3</v>
      </c>
      <c r="D14" s="3574">
        <v>7</v>
      </c>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1" t="s">
        <v>2131</v>
      </c>
      <c r="F18" s="3562"/>
      <c r="G18" s="3562"/>
      <c r="H18" s="3562"/>
      <c r="I18" s="3562"/>
      <c r="K18" s="302" t="s">
        <v>1289</v>
      </c>
      <c r="L18" s="302">
        <f>IF(C1="",'数据-汇总表'!E3,SUMIF(项目类型,C1,'数据-汇总表'!E17:E26)+SUMIF(项目类型,C1,'数据-汇总表'!I17:I26))</f>
        <v>14815.499999999998</v>
      </c>
      <c r="M18" s="302">
        <f>IF(C1="",'数据-汇总表'!E3,SUMIF(项目类型,C1,'数据-汇总表'!E17:E26))</f>
        <v>14815.499999999998</v>
      </c>
    </row>
    <row r="19" spans="1:36" ht="15">
      <c r="A19" s="1761" t="s">
        <v>1290</v>
      </c>
      <c r="B19" s="1762" t="s">
        <v>1291</v>
      </c>
      <c r="C19" s="134">
        <f ca="1">SUMIF(INDIRECT("'"&amp;C4&amp;"'"&amp;"!A:A"),结果表!B19,INDIRECT("'"&amp;C4&amp;"'"&amp;"!B:B"))</f>
        <v>10578</v>
      </c>
      <c r="D19" s="135">
        <f ca="1">SUMIF(INDIRECT("'"&amp;D4&amp;"'"&amp;"!A:A"),结果表!B19,INDIRECT("'"&amp;D4&amp;"'"&amp;"!B:B"))</f>
        <v>26921</v>
      </c>
      <c r="E19" s="1761" t="s">
        <v>1292</v>
      </c>
      <c r="F19" s="1762" t="s">
        <v>1291</v>
      </c>
      <c r="G19" s="136">
        <f ca="1">ROUND(C19*$C$18+D19*$D$18,0)</f>
        <v>22018</v>
      </c>
      <c r="H19" s="1763" t="s">
        <v>1293</v>
      </c>
      <c r="I19" s="129"/>
      <c r="K19" s="302" t="s">
        <v>1294</v>
      </c>
      <c r="L19" s="302">
        <f>IF(C1="",'数据-汇总表'!D3,SUMIF(项目类型,C1,'数据-汇总表'!D17:D26)+SUMIF(项目类型,C1,'数据-汇总表'!H17:H27))</f>
        <v>11220.06</v>
      </c>
      <c r="M19" s="302">
        <f>IF(C1="",'数据-汇总表'!D3,SUMIF(项目类型,C1,'数据-汇总表'!D17:D26))</f>
        <v>11220.06</v>
      </c>
    </row>
    <row r="20" spans="1:36" ht="15">
      <c r="A20" s="1764"/>
      <c r="B20" s="1026" t="s">
        <v>1295</v>
      </c>
      <c r="C20" s="137">
        <f ca="1">SUMIF(INDIRECT("'"&amp;C4&amp;"'"&amp;"!A:A"),结果表!B20,INDIRECT("'"&amp;C4&amp;"'"&amp;"!B:B"))</f>
        <v>7140</v>
      </c>
      <c r="D20" s="138">
        <f ca="1">SUMIF(INDIRECT("'"&amp;D4&amp;"'"&amp;"!A:A"),结果表!B20,INDIRECT("'"&amp;D4&amp;"'"&amp;"!B:B"))</f>
        <v>18171</v>
      </c>
      <c r="E20" s="1764"/>
      <c r="F20" s="1026" t="s">
        <v>1295</v>
      </c>
      <c r="G20" s="139">
        <f ca="1">ROUND(C20*$C$18+D20*$D$18,0)</f>
        <v>14862</v>
      </c>
      <c r="H20" s="808" t="s">
        <v>1296</v>
      </c>
      <c r="I20" s="129"/>
    </row>
    <row r="21" spans="1:36" ht="15" customHeight="1" thickBot="1">
      <c r="A21" s="828"/>
      <c r="B21" s="1765" t="s">
        <v>1297</v>
      </c>
      <c r="C21" s="719">
        <f ca="1">ROUND(C19*10000/L19,0)</f>
        <v>9428</v>
      </c>
      <c r="D21" s="720">
        <f ca="1">ROUND(D19*10000/L19,0)</f>
        <v>23994</v>
      </c>
      <c r="E21" s="828"/>
      <c r="F21" s="1765" t="s">
        <v>1297</v>
      </c>
      <c r="G21" s="140">
        <f ca="1">ROUND(G19*10000/L19,0)</f>
        <v>19624</v>
      </c>
      <c r="H21" s="1766" t="s">
        <v>1296</v>
      </c>
      <c r="I21" s="129"/>
    </row>
    <row r="22" spans="1:36" ht="15" thickBot="1">
      <c r="A22" s="1688" t="s">
        <v>1298</v>
      </c>
      <c r="B22" s="1767"/>
      <c r="C22" s="1768"/>
      <c r="D22" s="721">
        <f ca="1">IF(C19&lt;D19,D19/C19-1,C19/D19-1)</f>
        <v>1.5449990546417092</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5000*'数据-汇总表'!G19/10000</f>
        <v>1302.7</v>
      </c>
      <c r="E27" s="129"/>
      <c r="F27" s="129"/>
      <c r="G27" s="129"/>
      <c r="H27" s="129"/>
      <c r="I27" s="129"/>
    </row>
    <row r="28" spans="1:36" ht="14.25">
      <c r="A28" s="1771"/>
      <c r="B28" s="142"/>
      <c r="C28" s="142"/>
      <c r="D28" s="143">
        <f ca="1">(G19-D27)/'数据-汇总表'!F19</f>
        <v>1.6965708716554329</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14862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t="e">
        <f ca="1">ROUND(H101*F45,0)</f>
        <v>#REF!</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3">
        <v>1</v>
      </c>
      <c r="K46" s="3601" t="s">
        <v>1331</v>
      </c>
      <c r="L46" s="3601"/>
      <c r="M46" s="3621"/>
      <c r="N46" s="3621"/>
      <c r="O46" s="3621"/>
    </row>
    <row r="47" spans="1:15" ht="12" customHeight="1">
      <c r="A47" s="160" t="s">
        <v>1332</v>
      </c>
      <c r="B47" s="161"/>
      <c r="C47" s="162"/>
      <c r="D47" s="1087" t="s">
        <v>1333</v>
      </c>
      <c r="E47" s="302" t="s">
        <v>1334</v>
      </c>
      <c r="F47" s="163" t="s">
        <v>1335</v>
      </c>
      <c r="G47" s="2546" t="s">
        <v>1336</v>
      </c>
      <c r="H47" s="2547"/>
      <c r="I47" s="159"/>
      <c r="J47" s="2523">
        <v>2</v>
      </c>
      <c r="K47" s="3601" t="s">
        <v>1337</v>
      </c>
      <c r="L47" s="3601"/>
      <c r="M47" s="3622">
        <f>'数据-取费表'!B2</f>
        <v>45091</v>
      </c>
      <c r="N47" s="3622"/>
      <c r="O47" s="3622"/>
    </row>
    <row r="48" spans="1:15" ht="25.5">
      <c r="A48" s="3570" t="s">
        <v>1338</v>
      </c>
      <c r="B48" s="3553"/>
      <c r="C48" s="355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1" t="s">
        <v>1340</v>
      </c>
      <c r="L48" s="3601"/>
      <c r="M48" s="3623" t="e">
        <f ca="1">H101</f>
        <v>#REF!</v>
      </c>
      <c r="N48" s="3623"/>
      <c r="O48" s="3623"/>
    </row>
    <row r="49" spans="1:35" ht="25.5" customHeight="1">
      <c r="A49" s="2333" t="s">
        <v>1341</v>
      </c>
      <c r="B49" s="3537" t="s">
        <v>1342</v>
      </c>
      <c r="C49" s="3537"/>
      <c r="D49" s="1590">
        <v>0</v>
      </c>
      <c r="E49" s="324" t="s">
        <v>1343</v>
      </c>
      <c r="F49" s="2424" t="s">
        <v>28</v>
      </c>
      <c r="G49" s="3607"/>
      <c r="H49" s="2310" t="s">
        <v>2134</v>
      </c>
      <c r="I49" s="2311"/>
      <c r="J49" s="2523">
        <v>4</v>
      </c>
      <c r="K49" s="3601" t="str">
        <f>IF(项目基本情况!E8="房地产抵押价值","房地产抵押价值","抵押担保权已注销时的房地产抵押价值")</f>
        <v>抵押担保权已注销时的房地产抵押价值</v>
      </c>
      <c r="L49" s="3601"/>
      <c r="M49" s="3623" t="str">
        <f>IF(项目基本情况!E8="房地产抵押价值",H107,H109)</f>
        <v>——</v>
      </c>
      <c r="N49" s="3623"/>
      <c r="O49" s="3623"/>
    </row>
    <row r="50" spans="1:35" ht="25.5" customHeight="1">
      <c r="A50" s="2551"/>
      <c r="B50" s="3537" t="s">
        <v>1344</v>
      </c>
      <c r="C50" s="3537"/>
      <c r="D50" s="2552"/>
      <c r="E50" s="332"/>
      <c r="F50" s="2424"/>
      <c r="G50" s="3608"/>
      <c r="H50" s="2312" t="s">
        <v>2135</v>
      </c>
      <c r="I50" s="2311"/>
      <c r="J50" s="3620" t="s">
        <v>1345</v>
      </c>
      <c r="K50" s="3620"/>
      <c r="L50" s="3620"/>
      <c r="M50" s="3620"/>
      <c r="N50" s="3620"/>
      <c r="O50" s="3620"/>
    </row>
    <row r="51" spans="1:35" ht="20.45" customHeight="1">
      <c r="A51" s="2553"/>
      <c r="B51" s="3537" t="s">
        <v>1346</v>
      </c>
      <c r="C51" s="3537"/>
      <c r="D51" s="1087"/>
      <c r="E51" s="327"/>
      <c r="F51" s="2424"/>
      <c r="G51" s="3609"/>
      <c r="H51" s="2312" t="s">
        <v>2136</v>
      </c>
      <c r="I51" s="2311"/>
      <c r="J51" s="2524" t="s">
        <v>1347</v>
      </c>
      <c r="K51" s="3601" t="s">
        <v>1348</v>
      </c>
      <c r="L51" s="3601"/>
      <c r="M51" s="2524" t="s">
        <v>1349</v>
      </c>
      <c r="N51" s="2524" t="s">
        <v>1350</v>
      </c>
      <c r="O51" s="2524" t="s">
        <v>1351</v>
      </c>
    </row>
    <row r="52" spans="1:35" ht="24" customHeight="1">
      <c r="A52" s="2335" t="s">
        <v>1352</v>
      </c>
      <c r="B52" s="3537" t="s">
        <v>1353</v>
      </c>
      <c r="C52" s="3537"/>
      <c r="D52" s="1087" t="e">
        <f ca="1">ROUND(D45*'数据-取费表'!B41/(1+'数据-取费表'!C42),0)</f>
        <v>#REF!</v>
      </c>
      <c r="E52" s="2334" t="s">
        <v>1354</v>
      </c>
      <c r="F52" s="2554">
        <f>'数据-取费表'!B41</f>
        <v>5.6000000000000001E-2</v>
      </c>
      <c r="G52" s="2555"/>
      <c r="H52" s="2544"/>
      <c r="I52" s="1807"/>
      <c r="J52" s="2523">
        <v>1</v>
      </c>
      <c r="K52" s="3602" t="s">
        <v>1355</v>
      </c>
      <c r="L52" s="3602"/>
      <c r="M52" s="2525" t="b">
        <f>D48</f>
        <v>0</v>
      </c>
      <c r="N52" s="2523" t="str">
        <f>E48</f>
        <v>销售额×税（费）率</v>
      </c>
      <c r="O52" s="2526">
        <f>F48</f>
        <v>5.6000000000000001E-2</v>
      </c>
    </row>
    <row r="53" spans="1:35" ht="12" customHeight="1">
      <c r="A53" s="2335" t="s">
        <v>1356</v>
      </c>
      <c r="B53" s="3563" t="s">
        <v>2291</v>
      </c>
      <c r="C53" s="3564"/>
      <c r="D53" s="1087" t="e">
        <f ca="1">ROUND(D45*'数据-取费表'!B41/(1+'数据-取费表'!C42),0)</f>
        <v>#REF!</v>
      </c>
      <c r="E53" s="2334" t="s">
        <v>1354</v>
      </c>
      <c r="F53" s="2554">
        <f>'数据-取费表'!B41</f>
        <v>5.6000000000000001E-2</v>
      </c>
      <c r="G53" s="2555"/>
      <c r="H53" s="2544"/>
      <c r="I53" s="1807"/>
      <c r="J53" s="2523">
        <v>2</v>
      </c>
      <c r="K53" s="3602" t="s">
        <v>1357</v>
      </c>
      <c r="L53" s="3602"/>
      <c r="M53" s="2525" t="e">
        <f t="shared" ref="M53:O54" ca="1" si="0">D55</f>
        <v>#REF!</v>
      </c>
      <c r="N53" s="2523" t="str">
        <f t="shared" si="0"/>
        <v>销售额×税（费）率</v>
      </c>
      <c r="O53" s="2526" t="str">
        <f t="shared" si="0"/>
        <v>免征</v>
      </c>
    </row>
    <row r="54" spans="1:35" ht="12" customHeight="1">
      <c r="A54" s="2335" t="s">
        <v>1358</v>
      </c>
      <c r="B54" s="3563" t="s">
        <v>2292</v>
      </c>
      <c r="C54" s="3564"/>
      <c r="D54" s="1087" t="e">
        <f ca="1">C68</f>
        <v>#REF!</v>
      </c>
      <c r="E54" s="327" t="s">
        <v>1359</v>
      </c>
      <c r="F54" s="2554">
        <f>'数据-取费表'!B41</f>
        <v>5.6000000000000001E-2</v>
      </c>
      <c r="G54" s="2555"/>
      <c r="H54" s="2556"/>
      <c r="I54" s="1807"/>
      <c r="J54" s="2523">
        <v>3</v>
      </c>
      <c r="K54" s="3602" t="s">
        <v>1360</v>
      </c>
      <c r="L54" s="3602"/>
      <c r="M54" s="2525" t="e">
        <f t="shared" ca="1" si="0"/>
        <v>#REF!</v>
      </c>
      <c r="N54" s="2523" t="str">
        <f t="shared" si="0"/>
        <v>增值额×税（费）率</v>
      </c>
      <c r="O54" s="2527" t="str">
        <f t="shared" si="0"/>
        <v>免征</v>
      </c>
    </row>
    <row r="55" spans="1:35" ht="24" customHeight="1">
      <c r="A55" s="3552" t="s">
        <v>1361</v>
      </c>
      <c r="B55" s="3553"/>
      <c r="C55" s="3553"/>
      <c r="D55" s="2324" t="e">
        <f ca="1">IF(H55="个人住宅",0,ROUND(D45*I55,0))</f>
        <v>#REF!</v>
      </c>
      <c r="E55" s="2334" t="s">
        <v>1362</v>
      </c>
      <c r="F55" s="2554" t="str">
        <f>IF(H55="正常",I55,"免征")</f>
        <v>免征</v>
      </c>
      <c r="G55" s="2555"/>
      <c r="H55" s="2550"/>
      <c r="I55" s="165">
        <f>'数据-取费表'!B49</f>
        <v>5.0000000000000001E-4</v>
      </c>
      <c r="J55" s="2523">
        <f>IF(H59="非个人房产","",4)</f>
        <v>4</v>
      </c>
      <c r="K55" s="3602" t="str">
        <f>IF(H59="非个人房产","——","个人所得税")</f>
        <v>个人所得税</v>
      </c>
      <c r="L55" s="3602"/>
      <c r="M55" s="2528" t="e">
        <f ca="1">D59</f>
        <v>#REF!</v>
      </c>
      <c r="N55" s="2040" t="str">
        <f>E59</f>
        <v>差额计税</v>
      </c>
      <c r="O55" s="2529">
        <f>F59</f>
        <v>0.01</v>
      </c>
    </row>
    <row r="56" spans="1:35" ht="24.75">
      <c r="A56" s="3552" t="s">
        <v>1363</v>
      </c>
      <c r="B56" s="3553"/>
      <c r="C56" s="3553"/>
      <c r="D56" s="2324" t="e">
        <f ca="1">IF(H56="个人住宅",D57,D58)</f>
        <v>#REF!</v>
      </c>
      <c r="E56" s="2334" t="s">
        <v>1364</v>
      </c>
      <c r="F56" s="2554" t="str">
        <f>IF(H56="正常",F58,"免征")</f>
        <v>免征</v>
      </c>
      <c r="G56" s="2557" t="s">
        <v>1365</v>
      </c>
      <c r="H56" s="2558"/>
      <c r="I56" s="1808"/>
      <c r="J56" s="2523" t="str">
        <f>IF(项目基本情况!K6="上海银行",IF(J55="",4,J55+1),"")</f>
        <v/>
      </c>
      <c r="K56" s="3625" t="str">
        <f>IF(项目基本情况!K6="上海银行","其他处置费用","")</f>
        <v/>
      </c>
      <c r="L56" s="3626"/>
      <c r="M56" s="2525" t="str">
        <f>IF(项目基本情况!K6="上海银行",M69,"")</f>
        <v/>
      </c>
      <c r="N56" s="3625" t="str">
        <f>IF(项目基本情况!K6="上海银行","包含处置中涉及的律师、诉讼、拍卖、评估等费用","")</f>
        <v/>
      </c>
      <c r="O56" s="3628"/>
    </row>
    <row r="57" spans="1:35" ht="12.75">
      <c r="A57" s="2335" t="s">
        <v>1341</v>
      </c>
      <c r="B57" s="3563" t="s">
        <v>1366</v>
      </c>
      <c r="C57" s="3564"/>
      <c r="D57" s="1590">
        <v>0</v>
      </c>
      <c r="E57" s="324" t="s">
        <v>1343</v>
      </c>
      <c r="F57" s="302"/>
      <c r="G57" s="2555"/>
      <c r="H57" s="2559"/>
      <c r="I57" s="1808"/>
      <c r="J57" s="3602">
        <f>IF(AND(J55="",J56=""),4,IF(项目基本情况!K6="上海银行",结果表!J56+1,结果表!J55+1))</f>
        <v>5</v>
      </c>
      <c r="K57" s="3602" t="s">
        <v>1367</v>
      </c>
      <c r="L57" s="2530" t="s">
        <v>1368</v>
      </c>
      <c r="M57" s="2531"/>
      <c r="N57" s="2532">
        <f ca="1">SUMIF(M52:M56,"&lt;9e307")</f>
        <v>0</v>
      </c>
      <c r="O57" s="2533"/>
      <c r="P57" s="2690" t="e">
        <f ca="1">N57/M49</f>
        <v>#VALUE!</v>
      </c>
    </row>
    <row r="58" spans="1:35" ht="24.75">
      <c r="A58" s="2335" t="s">
        <v>1352</v>
      </c>
      <c r="B58" s="3563" t="s">
        <v>1369</v>
      </c>
      <c r="C58" s="3537"/>
      <c r="D58" s="2324" t="e">
        <f ca="1">IF(H58="转让取得",C81,C97)</f>
        <v>#REF!</v>
      </c>
      <c r="E58" s="2334" t="s">
        <v>1364</v>
      </c>
      <c r="F58" s="302" t="s">
        <v>28</v>
      </c>
      <c r="G58" s="2555"/>
      <c r="H58" s="2558"/>
      <c r="I58" s="1808"/>
      <c r="J58" s="3602"/>
      <c r="K58" s="3602"/>
      <c r="L58" s="2530" t="s">
        <v>1370</v>
      </c>
      <c r="M58" s="2534"/>
      <c r="N58" s="2535" t="str">
        <f ca="1">NUMBERSTRING(INT(N57*10000),2)&amp;"元整"</f>
        <v>零元整</v>
      </c>
      <c r="O58" s="2536"/>
    </row>
    <row r="59" spans="1:35" ht="24.75" thickBot="1">
      <c r="A59" s="3605" t="s">
        <v>1371</v>
      </c>
      <c r="B59" s="3606"/>
      <c r="C59" s="360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3">
        <f>J57+1</f>
        <v>6</v>
      </c>
      <c r="K59" s="3602" t="s">
        <v>1372</v>
      </c>
      <c r="L59" s="2523" t="s">
        <v>1368</v>
      </c>
      <c r="M59" s="2537"/>
      <c r="N59" s="2538" t="e">
        <f ca="1">M49-N57</f>
        <v>#VALUE!</v>
      </c>
      <c r="O59" s="2539"/>
    </row>
    <row r="60" spans="1:35" ht="12" customHeight="1">
      <c r="A60" s="1809"/>
      <c r="B60" s="1747"/>
      <c r="C60" s="1747"/>
      <c r="D60" s="1747"/>
      <c r="E60" s="1578"/>
      <c r="F60" s="1808"/>
      <c r="G60" s="1808"/>
      <c r="H60" s="1810"/>
      <c r="I60" s="129"/>
      <c r="J60" s="3604"/>
      <c r="K60" s="3602"/>
      <c r="L60" s="2530" t="s">
        <v>1370</v>
      </c>
      <c r="M60" s="2534"/>
      <c r="N60" s="2535" t="e">
        <f ca="1">NUMBERSTRING(INT(N59*10000),2)&amp;"元整"</f>
        <v>#VALUE!</v>
      </c>
      <c r="O60" s="2536"/>
    </row>
    <row r="61" spans="1:35" ht="13.5" thickBot="1">
      <c r="A61" s="3550" t="s">
        <v>1373</v>
      </c>
      <c r="B61" s="3550"/>
      <c r="C61" s="3550"/>
      <c r="D61" s="3550"/>
      <c r="E61" s="3550"/>
      <c r="F61" s="1808"/>
      <c r="G61" s="1808"/>
      <c r="H61" s="1810"/>
      <c r="I61" s="129"/>
      <c r="J61" s="2523">
        <f>J59+1</f>
        <v>7</v>
      </c>
      <c r="K61" s="3602" t="s">
        <v>1374</v>
      </c>
      <c r="L61" s="3602"/>
      <c r="M61" s="2540"/>
      <c r="N61" s="2541" t="e">
        <f ca="1">ROUND(N59*10000/'数据-汇总表'!E3,0)</f>
        <v>#VALUE!</v>
      </c>
      <c r="O61" s="2542"/>
    </row>
    <row r="62" spans="1:35" ht="12.75">
      <c r="A62" s="3568" t="s">
        <v>1375</v>
      </c>
      <c r="B62" s="356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2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1394</v>
      </c>
      <c r="B70" s="3590"/>
      <c r="C70" s="3590"/>
      <c r="D70" s="3590"/>
      <c r="E70" s="3590"/>
      <c r="F70" s="3590"/>
      <c r="G70" s="3590"/>
      <c r="H70" s="359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1375</v>
      </c>
      <c r="B71" s="356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9" t="s">
        <v>2129</v>
      </c>
      <c r="H90" s="363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7" t="s">
        <v>1422</v>
      </c>
      <c r="F92" s="3548"/>
      <c r="G92" s="3548"/>
      <c r="H92" s="355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49"/>
      <c r="E100" s="3534" t="s">
        <v>1429</v>
      </c>
      <c r="F100" s="3534"/>
      <c r="G100" s="3534"/>
      <c r="H100" s="3549"/>
      <c r="I100" s="129"/>
    </row>
    <row r="101" spans="1:35" ht="18.75" customHeight="1">
      <c r="A101" s="3610" t="s">
        <v>1430</v>
      </c>
      <c r="B101" s="3611"/>
      <c r="C101" s="2585" t="str">
        <f>C4</f>
        <v>成本法</v>
      </c>
      <c r="D101" s="2586" t="str">
        <f>D4</f>
        <v>收益法</v>
      </c>
      <c r="E101" s="3624" t="s">
        <v>1431</v>
      </c>
      <c r="F101" s="3581"/>
      <c r="G101" s="1827" t="s">
        <v>1432</v>
      </c>
      <c r="H101" s="2595" t="e">
        <f ca="1">H118</f>
        <v>#REF!</v>
      </c>
      <c r="I101" s="129"/>
    </row>
    <row r="102" spans="1:35" ht="18.75" customHeight="1">
      <c r="A102" s="3583" t="s">
        <v>1433</v>
      </c>
      <c r="B102" s="2584" t="s">
        <v>1432</v>
      </c>
      <c r="C102" s="2585">
        <f ca="1">IF(D32="楼面单价",ROUND(C19,0),C19)</f>
        <v>10578</v>
      </c>
      <c r="D102" s="2586">
        <f ca="1">IF(D32="楼面单价",ROUND(D19,0),D19)</f>
        <v>26921</v>
      </c>
      <c r="E102" s="3624"/>
      <c r="F102" s="3581"/>
      <c r="G102" s="1827" t="s">
        <v>1434</v>
      </c>
      <c r="H102" s="2555" t="e">
        <f ca="1">I118</f>
        <v>#REF!</v>
      </c>
      <c r="I102" s="129"/>
    </row>
    <row r="103" spans="1:35" ht="42.75" customHeight="1">
      <c r="A103" s="3583"/>
      <c r="B103" s="2584" t="s">
        <v>1434</v>
      </c>
      <c r="C103" s="2587">
        <f ca="1">C20</f>
        <v>7140</v>
      </c>
      <c r="D103" s="2588">
        <f ca="1">D20</f>
        <v>18171</v>
      </c>
      <c r="E103" s="3618" t="s">
        <v>1435</v>
      </c>
      <c r="F103" s="3619"/>
      <c r="G103" s="1828" t="s">
        <v>1436</v>
      </c>
      <c r="H103" s="2595">
        <f>IF(D36="正常操作",H104+H105+H106,H105+H106)</f>
        <v>0</v>
      </c>
      <c r="I103" s="129"/>
    </row>
    <row r="104" spans="1:35" ht="18.75" customHeight="1">
      <c r="A104" s="358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81"/>
      <c r="G107" s="1827" t="s">
        <v>1432</v>
      </c>
      <c r="H107" s="2595" t="e">
        <f ca="1">IF(E107="——","——",H101-H103)</f>
        <v>#REF!</v>
      </c>
      <c r="I107" s="129"/>
    </row>
    <row r="108" spans="1:35" ht="18.75" customHeight="1">
      <c r="A108" s="129"/>
      <c r="B108" s="129"/>
      <c r="C108" s="129"/>
      <c r="D108" s="129"/>
      <c r="E108" s="3580"/>
      <c r="F108" s="3581"/>
      <c r="G108" s="1827" t="s">
        <v>1434</v>
      </c>
      <c r="H108" s="2555">
        <f ca="1">IF(H107=H101,H102,ROUND(H107*10000/'数据-汇总表'!E3,0))</f>
        <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580"/>
      <c r="F110" s="3581"/>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14815.499999999998</v>
      </c>
      <c r="C118" s="2329">
        <f>M19</f>
        <v>11220.06</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1" t="s">
        <v>1452</v>
      </c>
      <c r="B119" s="3551"/>
      <c r="C119" s="3551"/>
      <c r="D119" s="3591" t="e">
        <f ca="1">NUMBERSTRING(INT(D118*10000),2)&amp;"元整"</f>
        <v>#REF!</v>
      </c>
      <c r="E119" s="3593"/>
      <c r="F119" s="3591" t="e">
        <f ca="1">NUMBERSTRING(INT(F118*10000),2)&amp;"元整"</f>
        <v>#REF!</v>
      </c>
      <c r="G119" s="3593"/>
      <c r="H119" s="3591" t="e">
        <f ca="1">NUMBERSTRING(INT(H118*10000),2)&amp;"元整"</f>
        <v>#REF!</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t="e">
        <f ca="1">H107</f>
        <v>#REF!</v>
      </c>
      <c r="E122" s="3616"/>
      <c r="F122" s="3616"/>
      <c r="G122" s="3616"/>
      <c r="H122" s="3616"/>
      <c r="I122" s="3617"/>
      <c r="AA122" s="725"/>
    </row>
    <row r="123" spans="1:27" ht="18.75" customHeight="1">
      <c r="A123" s="3551" t="s">
        <v>1452</v>
      </c>
      <c r="B123" s="3551"/>
      <c r="C123" s="3551"/>
      <c r="D123" s="3591" t="e">
        <f ca="1">NUMBERSTRING(INT(D122*10000),2)&amp;"元整"</f>
        <v>#REF!</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31" t="s">
        <v>2286</v>
      </c>
      <c r="B1" s="3632"/>
      <c r="C1" s="3632"/>
      <c r="D1" s="3632"/>
      <c r="E1" s="3632"/>
      <c r="F1" s="3632"/>
      <c r="G1" s="363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2" sqref="I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14815.499999999998</v>
      </c>
      <c r="C1" s="2686"/>
      <c r="D1" s="2686"/>
      <c r="E1" s="2686"/>
      <c r="F1" s="2686"/>
      <c r="G1" s="2687"/>
      <c r="H1" s="2688"/>
      <c r="I1" s="2688"/>
      <c r="J1" s="2688"/>
      <c r="K1" s="2688"/>
    </row>
    <row r="2" spans="1:11" ht="16.5">
      <c r="A2" s="2512" t="s">
        <v>653</v>
      </c>
      <c r="B2" s="2512">
        <f>SUM(C14:C23)</f>
        <v>11220.06</v>
      </c>
      <c r="C2" s="2686"/>
      <c r="D2" s="2686"/>
      <c r="E2" s="2686"/>
      <c r="F2" s="2686"/>
      <c r="G2" s="2687"/>
      <c r="H2" s="2688"/>
      <c r="I2" s="2688"/>
      <c r="J2" s="2688"/>
      <c r="K2" s="2688"/>
    </row>
    <row r="3" spans="1:11" ht="16.5">
      <c r="A3" s="2512" t="s">
        <v>662</v>
      </c>
      <c r="B3" s="2514">
        <f>项目基本情况!D3</f>
        <v>45091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22018</v>
      </c>
      <c r="C5" s="2512">
        <f ca="1">IF(B5=D14,结果表!H102,ROUND(B5*10000/$B$1,0))</f>
        <v>0</v>
      </c>
      <c r="D5" s="2512">
        <f ca="1">ROUND(B5*10000/$B$2,0)</f>
        <v>19624</v>
      </c>
      <c r="E5" s="2686"/>
      <c r="F5" s="2687"/>
      <c r="G5" s="2687"/>
      <c r="H5" s="2688"/>
      <c r="I5" s="2688"/>
      <c r="J5" s="2688"/>
      <c r="K5" s="2688"/>
    </row>
    <row r="6" spans="1:11" ht="16.5">
      <c r="A6" s="2512" t="s">
        <v>656</v>
      </c>
      <c r="B6" s="2512">
        <f ca="1">SUM(G14:G23)</f>
        <v>22018</v>
      </c>
      <c r="C6" s="2512">
        <f ca="1">IF(B6=G14,结果表!H108,ROUND(B6*10000/$B$1,0))</f>
        <v>0</v>
      </c>
      <c r="D6" s="2512">
        <f ca="1">ROUND(B6*10000/$B$2,0)</f>
        <v>19624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14815.499999999998</v>
      </c>
      <c r="C14" s="2518">
        <f>'数据-汇总表'!D3</f>
        <v>11220.06</v>
      </c>
      <c r="D14" s="2518">
        <f ca="1">结果表!G19</f>
        <v>22018</v>
      </c>
      <c r="E14" s="2518">
        <f ca="1">ROUND(D14*10000/B14,0)</f>
        <v>14861</v>
      </c>
      <c r="F14" s="2518">
        <f ca="1">ROUND(D14*10000/C14,0)</f>
        <v>19624</v>
      </c>
      <c r="G14" s="2518">
        <f ca="1">D14</f>
        <v>22018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50" sqref="L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10578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7140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3803</v>
      </c>
      <c r="D5" s="211" t="s">
        <v>1469</v>
      </c>
      <c r="E5" s="212" t="s">
        <v>1470</v>
      </c>
      <c r="F5" s="212" t="s">
        <v>1471</v>
      </c>
      <c r="G5" s="213"/>
    </row>
    <row r="6" spans="1:9" s="214" customFormat="1" ht="13.5" customHeight="1">
      <c r="A6" s="778" t="s">
        <v>1472</v>
      </c>
      <c r="B6" s="215" t="s">
        <v>1473</v>
      </c>
      <c r="C6" s="216">
        <f>基准地价修正!E33+基准地价修正!E40</f>
        <v>3403</v>
      </c>
      <c r="D6" s="217"/>
      <c r="E6" s="218"/>
      <c r="F6" s="218"/>
      <c r="G6" s="219"/>
    </row>
    <row r="7" spans="1:9" s="214" customFormat="1" ht="13.5" customHeight="1">
      <c r="A7" s="778" t="s">
        <v>1474</v>
      </c>
      <c r="B7" s="215" t="s">
        <v>1475</v>
      </c>
      <c r="C7" s="220">
        <f>ROUND(C6*F7,0)</f>
        <v>104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296</v>
      </c>
      <c r="D8" s="222"/>
      <c r="E8" s="220"/>
      <c r="F8" s="221"/>
      <c r="G8" s="1856" t="s">
        <v>3388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296</v>
      </c>
      <c r="D10" s="845">
        <f ca="1">IF(B1="",'数据-汇总表'!E6,IF(INDIRECT("'数据-取费表'!c"&amp;$G$1)="住宅",INDIRECT("'数据-取费表'!s"&amp;$G$1),INDIRECT("'数据-取费表'!k"&amp;$G$1)+INDIRECT("'数据-取费表'!s"&amp;$G$1)))</f>
        <v>14815.499999999998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14815.499999999998</v>
      </c>
      <c r="E19" s="211">
        <f>'数据-取费表'!B31</f>
        <v>200</v>
      </c>
      <c r="F19" s="231"/>
      <c r="G19" s="1856" t="s">
        <v>3389</v>
      </c>
    </row>
    <row r="20" spans="1:7" s="214" customFormat="1" ht="13.5" customHeight="1">
      <c r="A20" s="255" t="s">
        <v>1493</v>
      </c>
      <c r="B20" s="210" t="s">
        <v>1494</v>
      </c>
      <c r="C20" s="232">
        <f ca="1">ROUND((C5+C19)*F20,0)</f>
        <v>95</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326</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585</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585</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5245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6489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5926</v>
      </c>
      <c r="D34" s="217"/>
      <c r="E34" s="220"/>
      <c r="F34" s="257">
        <f ca="1">IF('数据-取费表'!B24=0,1,IF(B1="",'数据-取费表'!N16,INDIRECT("'数据-取费表'!n"&amp;$G$1)))</f>
        <v>1</v>
      </c>
      <c r="G34" s="219" t="s">
        <v>1526</v>
      </c>
    </row>
    <row r="35" spans="1:7" ht="13.5" customHeight="1">
      <c r="A35" s="780" t="s">
        <v>351</v>
      </c>
      <c r="B35" s="215" t="s">
        <v>1527</v>
      </c>
      <c r="C35" s="220">
        <f ca="1">ROUND(C34*F35,0)</f>
        <v>178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296</v>
      </c>
      <c r="D37" s="217">
        <f ca="1">D19</f>
        <v>14815.499999999998</v>
      </c>
      <c r="E37" s="249">
        <f>'数据-取费表'!B35</f>
        <v>200</v>
      </c>
      <c r="F37" s="259"/>
      <c r="G37" s="261" t="s">
        <v>1532</v>
      </c>
    </row>
    <row r="38" spans="1:7" ht="13.5" customHeight="1">
      <c r="A38" s="780" t="s">
        <v>354</v>
      </c>
      <c r="B38" s="215" t="s">
        <v>1533</v>
      </c>
      <c r="C38" s="220">
        <f ca="1">ROUND(C34*F38,0)</f>
        <v>89</v>
      </c>
      <c r="D38" s="220"/>
      <c r="E38" s="220"/>
      <c r="F38" s="259">
        <f>'数据-取费表'!B36</f>
        <v>1.4999999999999999E-2</v>
      </c>
      <c r="G38" s="219" t="s">
        <v>1528</v>
      </c>
    </row>
    <row r="39" spans="1:7" s="214" customFormat="1" ht="13.5" customHeight="1">
      <c r="A39" s="255" t="s">
        <v>1534</v>
      </c>
      <c r="B39" s="210" t="s">
        <v>1535</v>
      </c>
      <c r="C39" s="232">
        <f ca="1">ROUND(C33*F20,0)</f>
        <v>162</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276</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269</v>
      </c>
      <c r="D42" s="238"/>
      <c r="E42" s="238"/>
      <c r="F42" s="239"/>
      <c r="G42" s="3633" t="s">
        <v>1544</v>
      </c>
    </row>
    <row r="43" spans="1:7" ht="13.5" customHeight="1">
      <c r="A43" s="780" t="s">
        <v>347</v>
      </c>
      <c r="B43" s="215" t="s">
        <v>1545</v>
      </c>
      <c r="C43" s="238">
        <f ca="1">ROUND(IF('数据-取费表'!B22&lt;=1,C39*F22*'数据-取费表'!B21/2,C39*(POWER((1+F22),'数据-取费表'!B21/2)-1)),0)</f>
        <v>7</v>
      </c>
      <c r="D43" s="238"/>
      <c r="E43" s="238"/>
      <c r="F43" s="239"/>
      <c r="G43" s="3634"/>
    </row>
    <row r="44" spans="1:7" ht="13.5" customHeight="1">
      <c r="A44" s="780" t="s">
        <v>348</v>
      </c>
      <c r="B44" s="215" t="s">
        <v>1546</v>
      </c>
      <c r="C44" s="238">
        <f ca="1">ROUND(IF('数据-取费表'!B22&lt;=1,C40*F22*'数据-取费表'!B21/2,C40*(POWER((1+F22),'数据-取费表'!B21/2)-1)),4)</f>
        <v>1E-3</v>
      </c>
      <c r="D44" s="238"/>
      <c r="E44" s="238"/>
      <c r="F44" s="239"/>
      <c r="G44" s="3635"/>
    </row>
    <row r="45" spans="1:7" s="214" customFormat="1" ht="13.5" customHeight="1">
      <c r="A45" s="255" t="s">
        <v>1547</v>
      </c>
      <c r="B45" s="244" t="s">
        <v>1513</v>
      </c>
      <c r="C45" s="245">
        <f ca="1">C46</f>
        <v>998</v>
      </c>
      <c r="D45" s="235">
        <f ca="1">C47</f>
        <v>3.8E-3</v>
      </c>
      <c r="E45" s="236" t="s">
        <v>1539</v>
      </c>
      <c r="F45" s="246">
        <f ca="1">F27</f>
        <v>0.15</v>
      </c>
      <c r="G45" s="247" t="s">
        <v>1548</v>
      </c>
    </row>
    <row r="46" spans="1:7" s="214" customFormat="1" ht="13.5" customHeight="1">
      <c r="A46" s="780" t="s">
        <v>346</v>
      </c>
      <c r="B46" s="248" t="s">
        <v>1549</v>
      </c>
      <c r="C46" s="249">
        <f ca="1">ROUND((C33+C39)*F27,0)</f>
        <v>998</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8643</v>
      </c>
      <c r="D49" s="232"/>
      <c r="E49" s="232"/>
      <c r="F49" s="264"/>
      <c r="G49" s="234" t="s">
        <v>1554</v>
      </c>
    </row>
    <row r="50" spans="1:7" s="258" customFormat="1" ht="24">
      <c r="A50" s="255" t="s">
        <v>1555</v>
      </c>
      <c r="B50" s="210" t="s">
        <v>1556</v>
      </c>
      <c r="C50" s="232"/>
      <c r="D50" s="232"/>
      <c r="E50" s="232"/>
      <c r="F50" s="264">
        <f>IF('数据-取费表'!B24=0,'数据-取费表'!N16,1)</f>
        <v>0.61699999999999999</v>
      </c>
      <c r="G50" s="247" t="s">
        <v>1557</v>
      </c>
    </row>
    <row r="51" spans="1:7" ht="16.5" customHeight="1">
      <c r="A51" s="255" t="s">
        <v>1558</v>
      </c>
      <c r="B51" s="210" t="s">
        <v>1559</v>
      </c>
      <c r="C51" s="232">
        <f ca="1">ROUND(C49*F50,0)</f>
        <v>5333</v>
      </c>
      <c r="D51" s="232"/>
      <c r="E51" s="232"/>
      <c r="F51" s="264"/>
      <c r="G51" s="234" t="s">
        <v>1560</v>
      </c>
    </row>
    <row r="52" spans="1:7" s="208" customFormat="1" ht="16.5" thickBot="1">
      <c r="A52" s="265" t="s">
        <v>1561</v>
      </c>
      <c r="B52" s="266"/>
      <c r="C52" s="267">
        <f ca="1">C31+C51</f>
        <v>10578</v>
      </c>
      <c r="D52" s="266"/>
      <c r="E52" s="266"/>
      <c r="F52" s="266"/>
      <c r="G52" s="268"/>
    </row>
    <row r="55" spans="1:7" ht="15">
      <c r="B55" s="270" t="s">
        <v>1562</v>
      </c>
      <c r="C55" s="271"/>
    </row>
    <row r="56" spans="1:7">
      <c r="B56" s="273" t="s">
        <v>802</v>
      </c>
      <c r="C56" s="275">
        <f ca="1">1-C57</f>
        <v>0.496</v>
      </c>
    </row>
    <row r="57" spans="1:7">
      <c r="B57" s="273" t="s">
        <v>803</v>
      </c>
      <c r="C57" s="274">
        <f ca="1">ROUND(C51/C52,3)</f>
        <v>0.504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6150.2896000000001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2963100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2963100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2963100</v>
      </c>
      <c r="D10" s="845">
        <f ca="1">IF(B1="",'数据-汇总表'!E6,IF(INDIRECT("'数据-取费表'!c"&amp;$G$1)="住宅",INDIRECT("'数据-取费表'!s"&amp;$G$1),INDIRECT("'数据-取费表'!k"&amp;$G$1)+INDIRECT("'数据-取费表'!s"&amp;$G$1)))</f>
        <v>14815.499999999998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2963100</v>
      </c>
      <c r="D19" s="849">
        <f ca="1">D9+D10</f>
        <v>14815.499999999998</v>
      </c>
      <c r="E19" s="211">
        <f>'数据-取费表'!B31</f>
        <v>200</v>
      </c>
      <c r="F19" s="231"/>
      <c r="G19" s="1856"/>
    </row>
    <row r="20" spans="1:7" s="214" customFormat="1" ht="13.5" customHeight="1">
      <c r="A20" s="255" t="s">
        <v>1574</v>
      </c>
      <c r="B20" s="210" t="s">
        <v>1575</v>
      </c>
      <c r="C20" s="232">
        <f ca="1">ROUND((C5+C19)*F20,0)</f>
        <v>148155</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508228</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251040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251040</v>
      </c>
      <c r="D24" s="238"/>
      <c r="E24" s="238"/>
      <c r="F24" s="239"/>
      <c r="G24" s="240" t="s">
        <v>1586</v>
      </c>
    </row>
    <row r="25" spans="1:7" s="214" customFormat="1" ht="24">
      <c r="A25" s="780" t="s">
        <v>1476</v>
      </c>
      <c r="B25" s="215" t="s">
        <v>1587</v>
      </c>
      <c r="C25" s="1128">
        <f ca="1">ROUND(IF('数据-取费表'!B22&lt;=1,C20*F22*'数据-取费表'!B22/2,C20*(POWER((1+F22),'数据-取费表'!B22/2)-1)),0)</f>
        <v>6148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911153</v>
      </c>
      <c r="D27" s="235">
        <f ca="1">C29</f>
        <v>3.8E-3</v>
      </c>
      <c r="E27" s="236" t="s">
        <v>1514</v>
      </c>
      <c r="F27" s="246">
        <f ca="1">IF(B1="",'数据-取费表'!Q16,INDIRECT("'数据-取费表'!q"&amp;$G$1))</f>
        <v>0.15</v>
      </c>
      <c r="G27" s="247" t="s">
        <v>1515</v>
      </c>
    </row>
    <row r="28" spans="1:7" s="214" customFormat="1" ht="13.5" customHeight="1">
      <c r="A28" s="780" t="s">
        <v>346</v>
      </c>
      <c r="B28" s="248" t="s">
        <v>1516</v>
      </c>
      <c r="C28" s="249">
        <f ca="1">ROUND((C5+C19+C20)*F27,0)</f>
        <v>911153</v>
      </c>
      <c r="D28" s="235"/>
      <c r="E28" s="236"/>
      <c r="F28" s="246"/>
      <c r="G28" s="247"/>
    </row>
    <row r="29" spans="1:7" s="214" customFormat="1" ht="13.5" customHeight="1">
      <c r="A29" s="780" t="s">
        <v>347</v>
      </c>
      <c r="B29" s="248" t="s">
        <v>1517</v>
      </c>
      <c r="C29" s="238">
        <f ca="1">ROUND(C21*F27,4)</f>
        <v>3.8E-3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8172904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64891890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59262000</v>
      </c>
      <c r="D34" s="217"/>
      <c r="E34" s="220"/>
      <c r="F34" s="257"/>
      <c r="G34" s="219"/>
    </row>
    <row r="35" spans="1:7" ht="13.5" customHeight="1">
      <c r="A35" s="780" t="s">
        <v>351</v>
      </c>
      <c r="B35" s="215" t="s">
        <v>1527</v>
      </c>
      <c r="C35" s="220">
        <f ca="1">ROUND(C34*F35,0)</f>
        <v>1777860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2963100</v>
      </c>
      <c r="D37" s="217">
        <f ca="1">D19</f>
        <v>14815.499999999998</v>
      </c>
      <c r="E37" s="249">
        <f>'数据-取费表'!B35</f>
        <v>200</v>
      </c>
      <c r="F37" s="259"/>
      <c r="G37" s="261"/>
    </row>
    <row r="38" spans="1:7" ht="13.5" customHeight="1">
      <c r="A38" s="780" t="s">
        <v>354</v>
      </c>
      <c r="B38" s="215" t="s">
        <v>1533</v>
      </c>
      <c r="C38" s="220">
        <f ca="1">ROUND(C34*F38,0)</f>
        <v>888930</v>
      </c>
      <c r="D38" s="220"/>
      <c r="E38" s="220"/>
      <c r="F38" s="259">
        <f>'数据-取费表'!B36</f>
        <v>1.4999999999999999E-2</v>
      </c>
      <c r="G38" s="219" t="s">
        <v>1528</v>
      </c>
    </row>
    <row r="39" spans="1:7" s="214" customFormat="1" ht="13.5" customHeight="1">
      <c r="A39" s="255" t="s">
        <v>1534</v>
      </c>
      <c r="B39" s="210" t="s">
        <v>1535</v>
      </c>
      <c r="C39" s="232">
        <f ca="1">ROUND(C33*F20,0)</f>
        <v>1622297</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2760338</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2693013</v>
      </c>
      <c r="D42" s="238"/>
      <c r="E42" s="238"/>
      <c r="F42" s="239"/>
      <c r="G42" s="3633" t="s">
        <v>1591</v>
      </c>
    </row>
    <row r="43" spans="1:7" ht="13.5" customHeight="1">
      <c r="A43" s="780" t="s">
        <v>347</v>
      </c>
      <c r="B43" s="215" t="s">
        <v>1545</v>
      </c>
      <c r="C43" s="238">
        <f ca="1">ROUND(IF('数据-取费表'!B22&lt;=1,C39*F22*'数据-取费表'!B20/2,C39*(POWER((1+F22),'数据-取费表'!B20/2)-1)),0)</f>
        <v>67325</v>
      </c>
      <c r="D43" s="238"/>
      <c r="E43" s="238"/>
      <c r="F43" s="239"/>
      <c r="G43" s="3634"/>
    </row>
    <row r="44" spans="1:7" ht="13.5" customHeight="1">
      <c r="A44" s="780" t="s">
        <v>348</v>
      </c>
      <c r="B44" s="215" t="s">
        <v>1546</v>
      </c>
      <c r="C44" s="238">
        <f ca="1">ROUND(IF('数据-取费表'!B22&lt;=1,C40*F22*'数据-取费表'!B20/2,C40*(POWER((1+F22),'数据-取费表'!B20/2)-1)),4)</f>
        <v>1E-3</v>
      </c>
      <c r="D44" s="238"/>
      <c r="E44" s="238"/>
      <c r="F44" s="239"/>
      <c r="G44" s="3635"/>
    </row>
    <row r="45" spans="1:7" s="214" customFormat="1" ht="13.5" customHeight="1">
      <c r="A45" s="255" t="s">
        <v>1547</v>
      </c>
      <c r="B45" s="244" t="s">
        <v>1513</v>
      </c>
      <c r="C45" s="245">
        <f ca="1">C46</f>
        <v>9977128</v>
      </c>
      <c r="D45" s="235">
        <f ca="1">C47</f>
        <v>3.8E-3</v>
      </c>
      <c r="E45" s="236" t="s">
        <v>1539</v>
      </c>
      <c r="F45" s="246">
        <f ca="1">F27</f>
        <v>0.15</v>
      </c>
      <c r="G45" s="247" t="s">
        <v>1548</v>
      </c>
    </row>
    <row r="46" spans="1:7" s="214" customFormat="1" ht="13.5" customHeight="1">
      <c r="A46" s="780" t="s">
        <v>346</v>
      </c>
      <c r="B46" s="248" t="s">
        <v>1549</v>
      </c>
      <c r="C46" s="249">
        <f ca="1">ROUND((C33+C39)*F27,0)</f>
        <v>9977128</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86434347</v>
      </c>
      <c r="D49" s="232"/>
      <c r="E49" s="232"/>
      <c r="F49" s="264"/>
      <c r="G49" s="234" t="s">
        <v>1554</v>
      </c>
    </row>
    <row r="50" spans="1:7" s="258" customFormat="1">
      <c r="A50" s="255" t="s">
        <v>1555</v>
      </c>
      <c r="B50" s="210" t="s">
        <v>1556</v>
      </c>
      <c r="C50" s="232"/>
      <c r="D50" s="232"/>
      <c r="E50" s="232"/>
      <c r="F50" s="264">
        <f>IF('数据-取费表'!B24=0,'数据-取费表'!N16,1)</f>
        <v>0.61699999999999999</v>
      </c>
      <c r="G50" s="247"/>
    </row>
    <row r="51" spans="1:7" ht="16.5" customHeight="1">
      <c r="A51" s="255" t="s">
        <v>1558</v>
      </c>
      <c r="B51" s="210" t="s">
        <v>1593</v>
      </c>
      <c r="C51" s="232">
        <f ca="1">ROUND(C49*F50,0)</f>
        <v>53329992</v>
      </c>
      <c r="D51" s="232"/>
      <c r="E51" s="232"/>
      <c r="F51" s="264"/>
      <c r="G51" s="234" t="s">
        <v>1560</v>
      </c>
    </row>
    <row r="52" spans="1:7" s="208" customFormat="1" ht="16.5" thickBot="1">
      <c r="A52" s="265" t="s">
        <v>1561</v>
      </c>
      <c r="B52" s="266"/>
      <c r="C52" s="267">
        <f ca="1">C31+C51</f>
        <v>61502896</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14815.499999999998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14815.499999999998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296</v>
      </c>
      <c r="D20" s="846">
        <f ca="1">IF(C1="",'数据-汇总表'!E6,IF(INDIRECT("'数据-取费表'!c"&amp;$K$1)="住宅",INDIRECT("'数据-取费表'!s"&amp;$K$1),INDIRECT("'数据-取费表'!k"&amp;$K$1)+INDIRECT("'数据-取费表'!s"&amp;$K$1)))</f>
        <v>14815.499999999998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f ca="1">J53</f>
        <v>18.91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26921</v>
      </c>
      <c r="C2" s="1387" t="s">
        <v>805</v>
      </c>
      <c r="D2" s="1387"/>
      <c r="E2" s="1388"/>
      <c r="F2" s="1389"/>
      <c r="G2" s="2706"/>
      <c r="H2" s="2695"/>
      <c r="I2" s="2695"/>
      <c r="J2" s="2695"/>
      <c r="K2" s="2696"/>
      <c r="L2" s="2695"/>
      <c r="M2" s="2695"/>
    </row>
    <row r="3" spans="1:37" ht="18" customHeight="1" thickBot="1">
      <c r="A3" s="1390" t="s">
        <v>806</v>
      </c>
      <c r="B3" s="1391">
        <f ca="1">IF(ISERROR(B2*10000/F43),0,ROUND(B2*10000/F43,0))</f>
        <v>18171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2193</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2190</v>
      </c>
      <c r="D6" s="155" t="s">
        <v>2109</v>
      </c>
      <c r="E6" s="302" t="s">
        <v>696</v>
      </c>
      <c r="F6" s="303">
        <f ca="1">INDIRECT("'数据-取费表'!u"&amp;$G$1)</f>
        <v>4.5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14815.499999999998</v>
      </c>
      <c r="G7" s="1384"/>
      <c r="H7" s="304"/>
      <c r="I7" s="3639"/>
      <c r="J7" s="306"/>
      <c r="K7" s="307"/>
      <c r="L7" s="302" t="s">
        <v>697</v>
      </c>
      <c r="M7" s="303">
        <f ca="1">F7</f>
        <v>14815.499999999998</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5330</v>
      </c>
      <c r="D13" s="1081" t="s">
        <v>705</v>
      </c>
      <c r="E13" s="1081" t="s">
        <v>706</v>
      </c>
      <c r="F13" s="1082">
        <f ca="1">INDIRECT("'数据-取费表'!y"&amp;$G$1)</f>
        <v>0.6166666666666667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5926</v>
      </c>
      <c r="D14" s="1345" t="s">
        <v>708</v>
      </c>
      <c r="E14" s="1342"/>
      <c r="F14" s="319"/>
      <c r="G14" s="1384"/>
      <c r="H14" s="982" t="s">
        <v>398</v>
      </c>
      <c r="I14" s="302" t="s">
        <v>709</v>
      </c>
      <c r="J14" s="21">
        <f ca="1">C29</f>
        <v>8643</v>
      </c>
      <c r="K14" s="12"/>
      <c r="L14" s="807"/>
      <c r="M14" s="808"/>
    </row>
    <row r="15" spans="1:37" s="1397" customFormat="1" ht="18" customHeight="1" thickBot="1">
      <c r="A15" s="982" t="s">
        <v>399</v>
      </c>
      <c r="B15" s="302" t="s">
        <v>710</v>
      </c>
      <c r="C15" s="21">
        <f ca="1">ROUND(C14*F15,0)</f>
        <v>178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43</v>
      </c>
      <c r="K16" s="1087" t="s">
        <v>715</v>
      </c>
      <c r="L16" s="1088"/>
      <c r="M16" s="1072"/>
    </row>
    <row r="17" spans="1:37" s="1397" customFormat="1" ht="18" customHeight="1">
      <c r="A17" s="982" t="s">
        <v>681</v>
      </c>
      <c r="B17" s="302" t="s">
        <v>716</v>
      </c>
      <c r="C17" s="21">
        <f ca="1">ROUND(F17*(F43+INDIRECT("'数据-取费表'!S"&amp;$G$1))/10000,0)</f>
        <v>296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6489</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162</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11220.06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43.22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-43</v>
      </c>
      <c r="K25" s="1095" t="s">
        <v>753</v>
      </c>
      <c r="L25" s="1096"/>
      <c r="M25" s="1097"/>
    </row>
    <row r="26" spans="1:37">
      <c r="A26" s="982" t="s">
        <v>397</v>
      </c>
      <c r="B26" s="302" t="s">
        <v>754</v>
      </c>
      <c r="C26" s="21">
        <f ca="1">ROUND((C19+C20)*F26,0)</f>
        <v>998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8643</v>
      </c>
      <c r="D29" s="1092"/>
      <c r="E29" s="1090"/>
      <c r="F29" s="1093"/>
      <c r="G29" s="1396"/>
      <c r="H29" s="334" t="s">
        <v>396</v>
      </c>
      <c r="I29" s="335" t="s">
        <v>768</v>
      </c>
      <c r="J29" s="336">
        <f ca="1">ROUND(J26/(1+F40)^F41,0)</f>
        <v>0</v>
      </c>
      <c r="K29" s="337" t="s">
        <v>769</v>
      </c>
      <c r="L29" s="338"/>
      <c r="M29" s="339">
        <f ca="1">INDIRECT("'数据-取费表'!k"&amp;$G$1)</f>
        <v>14815.499999999998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367.09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116.8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250.29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11220.06</v>
      </c>
      <c r="G35" s="1384"/>
      <c r="H35" s="2697"/>
      <c r="I35" s="1398"/>
      <c r="J35" s="1399"/>
      <c r="K35" s="2701"/>
      <c r="L35" s="2700"/>
      <c r="M35" s="2700"/>
    </row>
    <row r="36" spans="1:18" ht="18" customHeight="1">
      <c r="A36" s="1102" t="s">
        <v>402</v>
      </c>
      <c r="B36" s="302" t="s">
        <v>738</v>
      </c>
      <c r="C36" s="21">
        <f ca="1">ROUND(C29*F36,2)</f>
        <v>43.22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5.33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1766</v>
      </c>
      <c r="D39" s="1095" t="s">
        <v>773</v>
      </c>
      <c r="E39" s="1096"/>
      <c r="F39" s="1097"/>
      <c r="G39" s="1384"/>
      <c r="H39" s="2700">
        <f ca="1">C39/C5</f>
        <v>0.80528955768353849</v>
      </c>
      <c r="I39" s="1398"/>
      <c r="J39" s="1399"/>
      <c r="K39" s="2704"/>
      <c r="L39" s="2700"/>
      <c r="M39" s="2700"/>
    </row>
    <row r="40" spans="1:18" ht="18" customHeight="1">
      <c r="A40" s="299" t="s">
        <v>395</v>
      </c>
      <c r="B40" s="300" t="s">
        <v>774</v>
      </c>
      <c r="C40" s="301">
        <f ca="1">ROUND(C39*(1-((1+F42)/(1+F40))^F41)/(F40-F42),0)</f>
        <v>26921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18.91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18171</v>
      </c>
      <c r="D43" s="337" t="s">
        <v>777</v>
      </c>
      <c r="E43" s="338" t="s">
        <v>778</v>
      </c>
      <c r="F43" s="339">
        <f ca="1">INDIRECT("'数据-取费表'!k"&amp;$G$1)</f>
        <v>14815.499999999998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-27511</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26921</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18.91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8643</v>
      </c>
      <c r="R49" s="1420" t="s">
        <v>818</v>
      </c>
    </row>
    <row r="50" spans="1:18" s="1384" customFormat="1" ht="13.5" thickBot="1">
      <c r="A50" s="976"/>
      <c r="B50" s="979"/>
      <c r="C50" s="1118"/>
      <c r="D50" s="953"/>
      <c r="E50" s="1056" t="s">
        <v>697</v>
      </c>
      <c r="F50" s="1057">
        <f ca="1">F7</f>
        <v>14815.499999999998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24132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18.91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18.91</v>
      </c>
      <c r="K53" s="3636" t="s">
        <v>837</v>
      </c>
      <c r="L53" s="3637"/>
      <c r="O53" s="1418" t="s">
        <v>409</v>
      </c>
      <c r="P53" s="1419" t="s">
        <v>838</v>
      </c>
      <c r="Q53" s="1420">
        <f ca="1">Q47+Q48</f>
        <v>26921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5330</v>
      </c>
      <c r="D56" s="1447"/>
      <c r="E56" s="1448"/>
      <c r="F56" s="1440"/>
      <c r="I56" s="1449" t="s">
        <v>842</v>
      </c>
      <c r="J56" s="1450" t="s">
        <v>3379</v>
      </c>
      <c r="K56" s="1421" t="s">
        <v>843</v>
      </c>
      <c r="L56" s="1424" t="str">
        <f ca="1">IF(L48&lt;J51,"——",L48-J53)</f>
        <v>——</v>
      </c>
      <c r="O56" s="1418" t="s">
        <v>403</v>
      </c>
      <c r="P56" s="1419" t="s">
        <v>817</v>
      </c>
      <c r="Q56" s="1420">
        <f ca="1">C40+J29</f>
        <v>26921</v>
      </c>
      <c r="R56" s="1420" t="s">
        <v>818</v>
      </c>
    </row>
    <row r="57" spans="1:18" s="1384" customFormat="1" ht="24.75" thickBot="1">
      <c r="A57" s="1451"/>
      <c r="B57" s="950" t="s">
        <v>767</v>
      </c>
      <c r="C57" s="238">
        <f ca="1">C29</f>
        <v>8643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26921</v>
      </c>
      <c r="R62" s="1420" t="s">
        <v>410</v>
      </c>
    </row>
    <row r="63" spans="1:18" s="1384" customFormat="1" ht="13.5" thickBot="1">
      <c r="A63" s="326"/>
      <c r="B63" s="956"/>
      <c r="C63" s="26"/>
      <c r="D63" s="966"/>
      <c r="E63" s="950" t="s">
        <v>788</v>
      </c>
      <c r="F63" s="303">
        <f t="shared" ca="1" si="0"/>
        <v>11220.06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43.22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5.33</v>
      </c>
      <c r="D65" s="964" t="s">
        <v>743</v>
      </c>
      <c r="E65" s="950" t="s">
        <v>744</v>
      </c>
      <c r="F65" s="330">
        <f t="shared" ca="1" si="0"/>
        <v>1E-3</v>
      </c>
      <c r="I65" s="1462" t="s">
        <v>867</v>
      </c>
      <c r="J65" s="1463">
        <v>40</v>
      </c>
      <c r="K65" s="1463">
        <v>30</v>
      </c>
      <c r="L65" s="1463">
        <v>50</v>
      </c>
      <c r="M65" s="1465">
        <v>0.02</v>
      </c>
      <c r="O65" s="1418" t="s">
        <v>403</v>
      </c>
      <c r="P65" s="1419" t="s">
        <v>868</v>
      </c>
      <c r="Q65" s="1420">
        <f ca="1">C40+J29</f>
        <v>26921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-49</v>
      </c>
      <c r="D67" s="963" t="s">
        <v>753</v>
      </c>
      <c r="E67" s="968"/>
      <c r="F67" s="969"/>
      <c r="O67" s="1428" t="s">
        <v>405</v>
      </c>
      <c r="P67" s="1419" t="s">
        <v>850</v>
      </c>
      <c r="Q67" s="1466">
        <f ca="1">L51</f>
        <v>24132</v>
      </c>
      <c r="R67" s="1420" t="s">
        <v>870</v>
      </c>
    </row>
    <row r="68" spans="1:18" s="1384" customFormat="1" ht="16.5" thickBot="1">
      <c r="A68" s="947" t="s">
        <v>395</v>
      </c>
      <c r="B68" s="948" t="s">
        <v>774</v>
      </c>
      <c r="C68" s="301">
        <f ca="1">ROUND(C67*(1-((1+F70)/(1+F68))^F69)/(F68-F70),0)</f>
        <v>-590</v>
      </c>
      <c r="D68" s="965" t="s">
        <v>758</v>
      </c>
      <c r="E68" s="950" t="s">
        <v>759</v>
      </c>
      <c r="F68" s="312">
        <f ca="1">F40</f>
        <v>0.05</v>
      </c>
      <c r="O68" s="1428" t="s">
        <v>406</v>
      </c>
      <c r="P68" s="1467" t="s">
        <v>871</v>
      </c>
      <c r="Q68" s="1420">
        <f ca="1">ROUND(Q69-Q70*Q71,0)</f>
        <v>1366</v>
      </c>
      <c r="R68" s="1420" t="s">
        <v>414</v>
      </c>
    </row>
    <row r="69" spans="1:18" s="1384" customFormat="1" ht="13.5" thickBot="1">
      <c r="A69" s="951"/>
      <c r="B69" s="952"/>
      <c r="C69" s="306"/>
      <c r="D69" s="970" t="s">
        <v>762</v>
      </c>
      <c r="E69" s="950" t="s">
        <v>763</v>
      </c>
      <c r="F69" s="333">
        <f ca="1">F41</f>
        <v>18.91</v>
      </c>
      <c r="O69" s="1428" t="s">
        <v>411</v>
      </c>
      <c r="P69" s="1467" t="s">
        <v>872</v>
      </c>
      <c r="Q69" s="1420">
        <f ca="1">C39</f>
        <v>1766</v>
      </c>
      <c r="R69" s="1420" t="s">
        <v>818</v>
      </c>
    </row>
    <row r="70" spans="1:18" s="1384" customFormat="1" ht="13.5" thickBot="1">
      <c r="A70" s="954"/>
      <c r="B70" s="955"/>
      <c r="C70" s="310"/>
      <c r="D70" s="966"/>
      <c r="E70" s="950" t="s">
        <v>766</v>
      </c>
      <c r="F70" s="1054"/>
      <c r="O70" s="1428" t="s">
        <v>412</v>
      </c>
      <c r="P70" s="1467" t="s">
        <v>873</v>
      </c>
      <c r="Q70" s="1420">
        <f ca="1">C13</f>
        <v>5330</v>
      </c>
      <c r="R70" s="1420" t="s">
        <v>818</v>
      </c>
    </row>
    <row r="71" spans="1:18" s="1384" customFormat="1" ht="13.5" thickBot="1">
      <c r="A71" s="971" t="s">
        <v>396</v>
      </c>
      <c r="B71" s="972" t="s">
        <v>776</v>
      </c>
      <c r="C71" s="336">
        <f ca="1">ROUND(C68*10000/F71,0)</f>
        <v>-398</v>
      </c>
      <c r="D71" s="973" t="s">
        <v>777</v>
      </c>
      <c r="E71" s="974" t="s">
        <v>778</v>
      </c>
      <c r="F71" s="339">
        <f ca="1">F43</f>
        <v>14815.499999999998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400</v>
      </c>
      <c r="D75" s="1384"/>
      <c r="E75" s="1384"/>
      <c r="F75" s="1384"/>
      <c r="K75" s="1402"/>
      <c r="L75" s="1384"/>
      <c r="O75" s="1418" t="s">
        <v>409</v>
      </c>
      <c r="P75" s="1419" t="s">
        <v>838</v>
      </c>
      <c r="Q75" s="1420">
        <f ca="1">Q65+Q66</f>
        <v>26921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0.77300000000000002</v>
      </c>
    </row>
    <row r="80" spans="1:18">
      <c r="B80" s="340" t="s">
        <v>800</v>
      </c>
      <c r="C80" s="274">
        <f ca="1">ROUND(C75/C39,3)</f>
        <v>0.22700000000000001</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26921</v>
      </c>
      <c r="C2" s="1872" t="s">
        <v>1651</v>
      </c>
      <c r="D2" s="1873" t="s">
        <v>1652</v>
      </c>
      <c r="E2" s="2607">
        <f>SUM(E6:E13)</f>
        <v>14815.499999999998</v>
      </c>
      <c r="F2" s="2707"/>
      <c r="G2" s="1489"/>
      <c r="H2" s="1489"/>
      <c r="I2" s="1489"/>
      <c r="J2" s="1489"/>
      <c r="K2" s="1489"/>
      <c r="L2" s="1489"/>
      <c r="M2" s="1489"/>
      <c r="N2" s="1489"/>
      <c r="O2" s="1489"/>
      <c r="P2" s="1489"/>
      <c r="Q2" s="1489"/>
      <c r="R2" s="1489"/>
      <c r="S2" s="1489"/>
    </row>
    <row r="3" spans="1:22" ht="15.75">
      <c r="A3" s="1870" t="s">
        <v>686</v>
      </c>
      <c r="B3" s="2601">
        <f ca="1">ROUND(B2*10000/E2,0)</f>
        <v>18171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26921</v>
      </c>
      <c r="C6" s="1872" t="s">
        <v>1651</v>
      </c>
      <c r="D6" s="2709"/>
      <c r="E6" s="2606">
        <f>IF(OR(A6=0,F6="否"),0,'数据-取费表'!K6+'数据-取费表'!S6)</f>
        <v>14815.499999999998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14815.499999999998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14815.499999999998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14815.499999999998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14815.499999999998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估价对象为北京市房地产，为所有。根据《国有土地使用证》[]，估价对象（分摊）出让国有建设用地使用权面积为11220.06平方米，建筑面积为14815.5平方米。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估价对象为北京市房地产,属开发建设的，该项目尚在开发建设中。根据《国有土地使用证》[]，估价对象（分摊）出让国有建设用地使用权面积为11220.06平方米，规划建筑面积为14815.5平方米。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38"/>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12210.099999999999</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12210.099999999999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65"/>
      <c r="Q10" s="1343" t="str">
        <f t="shared" si="6"/>
        <v>土地使用年限（年）</v>
      </c>
      <c r="R10" s="701" t="s">
        <v>14</v>
      </c>
      <c r="S10" s="702">
        <f t="shared" si="0"/>
        <v>152</v>
      </c>
      <c r="T10" s="701" t="s">
        <v>14</v>
      </c>
      <c r="U10" s="702">
        <f t="shared" si="1"/>
        <v>152</v>
      </c>
      <c r="V10" s="701" t="s">
        <v>14</v>
      </c>
      <c r="W10" s="702">
        <f t="shared" si="2"/>
        <v>152</v>
      </c>
      <c r="X10" s="703"/>
      <c r="Y10" s="3538"/>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12210.099999999999</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11220.06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3403</v>
      </c>
      <c r="C2" s="2145" t="s">
        <v>2074</v>
      </c>
      <c r="D2" s="2145" t="s">
        <v>2075</v>
      </c>
      <c r="E2" s="2612">
        <f ca="1">SUMIF(E6:E13,"&lt;&gt;#ref!",E6:E13)</f>
        <v>14815.499999999998</v>
      </c>
      <c r="F2" s="2793"/>
      <c r="G2" s="2793"/>
      <c r="H2" s="2793"/>
      <c r="I2" s="2793"/>
      <c r="J2" s="2793"/>
      <c r="K2" s="2793"/>
      <c r="L2" s="2793"/>
      <c r="M2" s="2793"/>
      <c r="N2" s="2793"/>
      <c r="O2" s="2793"/>
      <c r="P2" s="2793"/>
    </row>
    <row r="3" spans="1:16" ht="15.75">
      <c r="A3" s="2145" t="s">
        <v>2076</v>
      </c>
      <c r="B3" s="2602">
        <f ca="1">ROUND(B2*10000/E2,0)</f>
        <v>2297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3403</v>
      </c>
      <c r="C6" s="2145" t="s">
        <v>2074</v>
      </c>
      <c r="D6" s="2793"/>
      <c r="E6" s="2612">
        <f ca="1">SUMIF(INDIRECT("'"&amp;A6&amp;"'"&amp;"!C:C"),"建筑面积",INDIRECT("'"&amp;A6&amp;"'"&amp;"!D:D"))</f>
        <v>14815.499999999998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40" activeCellId="1" sqref="E33 E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14815.499999999998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3403</v>
      </c>
      <c r="C2" s="1999" t="s">
        <v>1935</v>
      </c>
      <c r="D2" s="2000" t="s">
        <v>1936</v>
      </c>
      <c r="E2" s="3422" t="s">
        <v>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Ⅴ-上地核心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3637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2297</v>
      </c>
      <c r="C3" s="1999" t="s">
        <v>1941</v>
      </c>
      <c r="D3" s="2000" t="s">
        <v>1942</v>
      </c>
      <c r="E3" s="3420" t="s">
        <v>2461</v>
      </c>
      <c r="F3" s="2004" t="s">
        <v>3385</v>
      </c>
      <c r="G3" s="752">
        <f>IF(F3="宗地容积率",'数据-汇总表'!I4,IF(F3="估价对象容积率",'数据-汇总表'!I6,'数据-汇总表'!I7))</f>
        <v>1.0900000000000001</v>
      </c>
      <c r="H3" s="170" t="s">
        <v>1943</v>
      </c>
      <c r="I3" s="775">
        <v>8</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2867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2423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4160</v>
      </c>
      <c r="D5" s="1339">
        <f>ROUND(C6*C17+C20,0)</f>
        <v>4160</v>
      </c>
      <c r="E5" s="1339"/>
      <c r="F5" s="2007"/>
      <c r="G5" s="2008"/>
      <c r="H5" s="2008"/>
      <c r="I5" s="2008"/>
      <c r="J5" s="2009"/>
      <c r="K5" s="2010"/>
      <c r="L5" s="2003" t="s">
        <v>1948</v>
      </c>
      <c r="M5" s="864">
        <f>SUMPRODUCT((区片价!B87:B126=I2)*(区片价!C3:G3=E2)*(区片价!C87:G126))</f>
        <v>4160</v>
      </c>
      <c r="N5" s="866">
        <f>SUMPRODUCT((因素修正幅度!B87:B126=I2)*(因素修正幅度!C3:G3=E2)*(因素修正幅度!C87:G126))</f>
        <v>0.1</v>
      </c>
      <c r="O5" s="1119"/>
      <c r="P5" s="1119"/>
      <c r="Q5" s="1119"/>
      <c r="R5" s="1212">
        <v>4</v>
      </c>
      <c r="S5" s="3361">
        <f>ROUND(SUMPRODUCT((B106:B110=R5)*(C105:N105=G2)*(C106:N110)),4)</f>
        <v>0.88239999999999996</v>
      </c>
      <c r="T5" s="3361">
        <f t="shared" si="0"/>
        <v>2137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4160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2054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1.0900000000000001</v>
      </c>
      <c r="AA7" s="1216"/>
      <c r="AB7" s="1216"/>
      <c r="AC7" s="1217"/>
      <c r="AD7" s="1218"/>
      <c r="AE7" s="1218"/>
      <c r="AF7" s="1218"/>
      <c r="AG7" s="1218"/>
      <c r="AH7" s="1218"/>
      <c r="AI7" s="1218"/>
      <c r="AJ7" s="1219"/>
    </row>
    <row r="8" spans="1:36" ht="25.5">
      <c r="A8" s="3299"/>
      <c r="B8" s="170" t="s">
        <v>1957</v>
      </c>
      <c r="C8" s="2026" t="s">
        <v>3386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3387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45091</v>
      </c>
      <c r="H23" s="3343" t="s">
        <v>3261</v>
      </c>
      <c r="I23" s="3344" t="str">
        <f>IF(H23="季度增幅（自定义）",SUMIF(N25:N28,E2,O25:O28),"")</f>
        <v/>
      </c>
      <c r="J23" s="3446"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0.66010000000000002</v>
      </c>
      <c r="D24" s="2060" t="s">
        <v>2007</v>
      </c>
      <c r="E24" s="1335">
        <f>存贷款利率!E22/100</f>
        <v>4.3499999999999997E-2</v>
      </c>
      <c r="F24" s="2060" t="s">
        <v>1999</v>
      </c>
      <c r="G24" s="768">
        <f>SUMIF(M30:Q30,E2,M33:Q33)</f>
        <v>0.05</v>
      </c>
      <c r="H24" s="2060" t="s">
        <v>2008</v>
      </c>
      <c r="I24" s="769">
        <f>SUMIF('数据-取费表'!C6:C15,E2,'数据-取费表'!F6:F15)/COUNTIF('数据-取费表'!C6:C15,E2)</f>
        <v>18.91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1.0974999999999999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1.0974999999999999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1.0948</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0.83399999999999996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3403</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2658</v>
      </c>
      <c r="D33" s="2098">
        <f>'数据-汇总表'!F19</f>
        <v>12210.099999999999</v>
      </c>
      <c r="E33" s="773">
        <f>ROUND(C33*D33/10000,0)</f>
        <v>3245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399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1453</v>
      </c>
      <c r="D37" s="2098"/>
      <c r="E37" s="171">
        <f>ROUND(C37*D37/10000,0)</f>
        <v>0</v>
      </c>
      <c r="F37" s="171">
        <f>SUMIF(修正!A57:A68,G2,修正!B57:B68)</f>
        <v>0.6</v>
      </c>
      <c r="G37" s="171">
        <f>ROUND(IF(E2="工业",C37*$M$42,C37*$M$41),0)</f>
        <v>218</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727</v>
      </c>
      <c r="D38" s="2098"/>
      <c r="E38" s="171">
        <f t="shared" ref="E38:E42" si="4">ROUND(C38*D38/10000,0)</f>
        <v>0</v>
      </c>
      <c r="F38" s="171">
        <f>SUMIF(修正!A57:A68,G2,修正!C57:C68)</f>
        <v>0.3</v>
      </c>
      <c r="G38" s="171">
        <f>ROUND(IF(E2="工业",C38*$M$42,C38*$M$41),0)</f>
        <v>109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605</v>
      </c>
      <c r="D39" s="2098"/>
      <c r="E39" s="171">
        <f t="shared" si="4"/>
        <v>0</v>
      </c>
      <c r="F39" s="171">
        <f>SUMIF(修正!A57:A68,G2,修正!D57:D68)</f>
        <v>0.25</v>
      </c>
      <c r="G39" s="171">
        <f>ROUND(IF(E2="工业",C39*$M$42,C39*$M$41),0)</f>
        <v>91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605</v>
      </c>
      <c r="D40" s="2098">
        <f>'数据-汇总表'!G19</f>
        <v>2605.4</v>
      </c>
      <c r="E40" s="171">
        <f t="shared" si="4"/>
        <v>158</v>
      </c>
      <c r="F40" s="175">
        <f>SUMIF(修正!A57:A68,G2,修正!E57:E68)</f>
        <v>0.25</v>
      </c>
      <c r="G40" s="171">
        <f>ROUND(IF(E2="工业",C40*$M$42,C40*$M$41),0)</f>
        <v>91</v>
      </c>
      <c r="H40" s="171">
        <f t="shared" si="5"/>
        <v>2605.4</v>
      </c>
      <c r="I40" s="171">
        <f t="shared" si="6"/>
        <v>24</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1.0445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1.2999999999999999E-2</v>
      </c>
      <c r="E83" s="744">
        <f>ROUND(SUM(D83:D90),4)</f>
        <v>4.4499999999999998E-2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3405</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3275</v>
      </c>
      <c r="B85" s="2134">
        <f>估价对象房地状况!G17</f>
        <v>0</v>
      </c>
      <c r="C85" s="2044" t="s">
        <v>3405</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3405</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3406</v>
      </c>
      <c r="D87" s="1065">
        <f t="shared" si="22"/>
        <v>0</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3405</v>
      </c>
      <c r="D88" s="1065">
        <f t="shared" si="22"/>
        <v>6.0000000000000001E-3</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3405</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3406</v>
      </c>
      <c r="D90" s="1065">
        <f t="shared" si="22"/>
        <v>0</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8</v>
      </c>
      <c r="D111" s="3396">
        <f t="shared" ref="D111:M111" si="33">$I$3</f>
        <v>8</v>
      </c>
      <c r="E111" s="3396">
        <f t="shared" si="33"/>
        <v>8</v>
      </c>
      <c r="F111" s="3396">
        <f t="shared" si="33"/>
        <v>8</v>
      </c>
      <c r="G111" s="3396">
        <f t="shared" si="33"/>
        <v>8</v>
      </c>
      <c r="H111" s="3396">
        <f t="shared" si="33"/>
        <v>8</v>
      </c>
      <c r="I111" s="3396">
        <f t="shared" si="33"/>
        <v>8</v>
      </c>
      <c r="J111" s="3396">
        <f t="shared" si="33"/>
        <v>8</v>
      </c>
      <c r="K111" s="3396">
        <f t="shared" si="33"/>
        <v>8</v>
      </c>
      <c r="L111" s="3396">
        <f t="shared" si="33"/>
        <v>8</v>
      </c>
      <c r="M111" s="3396">
        <f t="shared" si="33"/>
        <v>8</v>
      </c>
      <c r="N111" s="3396">
        <f>$I$3</f>
        <v>8</v>
      </c>
    </row>
    <row r="112" spans="1:14">
      <c r="A112" s="3740"/>
      <c r="B112" s="3395">
        <v>6</v>
      </c>
      <c r="C112" s="3388">
        <f>(-0.5556*(C111^2)-0.2719*C111+8944)*(10^(-4))</f>
        <v>0.89062664000000014</v>
      </c>
      <c r="D112" s="3388">
        <f>(-0.5556*(D111^2)-0.2719*D111+8944)*(10^(-4))</f>
        <v>0.89062664000000014</v>
      </c>
      <c r="E112" s="3388">
        <f>(-0.7912*(E111^2)-11.3794*E111+8482)*(10^(-4))</f>
        <v>0.83403280000000002</v>
      </c>
      <c r="F112" s="3388">
        <f t="shared" ref="F112:I112" si="34">(-0.7912*(F111^2)-11.3794*F111+8482)*(10^(-4))</f>
        <v>0.83403280000000002</v>
      </c>
      <c r="G112" s="3388">
        <f t="shared" si="34"/>
        <v>0.83403280000000002</v>
      </c>
      <c r="H112" s="3388">
        <f t="shared" si="34"/>
        <v>0.83403280000000002</v>
      </c>
      <c r="I112" s="3388">
        <f t="shared" si="34"/>
        <v>0.83403280000000002</v>
      </c>
      <c r="J112" s="3388">
        <f>(-0.989*(J111^2)-63.78*J111+7771)*(10^(-4))</f>
        <v>0.71974640000000001</v>
      </c>
      <c r="K112" s="3388">
        <f t="shared" ref="K112:N112" si="35">(-0.989*(K111^2)-63.78*K111+7771)*(10^(-4))</f>
        <v>0.71974640000000001</v>
      </c>
      <c r="L112" s="3388">
        <f t="shared" si="35"/>
        <v>0.71974640000000001</v>
      </c>
      <c r="M112" s="3388">
        <f t="shared" si="35"/>
        <v>0.71974640000000001</v>
      </c>
      <c r="N112" s="3388">
        <f t="shared" si="35"/>
        <v>0.71974640000000001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1.0900000000000001</v>
      </c>
      <c r="C116" s="3400" t="s">
        <v>3318</v>
      </c>
      <c r="D116" s="3401">
        <f>SUMPRODUCT((A118:A122=F116)*(B117:M117=H116)*B118:M122)</f>
        <v>0.73670000000000002</v>
      </c>
      <c r="E116" s="2000" t="s">
        <v>3319</v>
      </c>
      <c r="F116" s="3402" t="str">
        <f>E2</f>
        <v>工业</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0.98480000000000001</v>
      </c>
      <c r="C118" s="3388">
        <f>B118</f>
        <v>0.98480000000000001</v>
      </c>
      <c r="D118" s="3388">
        <f>ROUND(0.949-0.014*B116,4)</f>
        <v>0.93369999999999997</v>
      </c>
      <c r="E118" s="3388">
        <f>D118</f>
        <v>0.93369999999999997</v>
      </c>
      <c r="F118" s="3388">
        <f>E118</f>
        <v>0.93369999999999997</v>
      </c>
      <c r="G118" s="3388">
        <f>F118</f>
        <v>0.93369999999999997</v>
      </c>
      <c r="H118" s="3388">
        <f>G118</f>
        <v>0.93369999999999997</v>
      </c>
      <c r="I118" s="3388">
        <f>ROUND(0.8486-0.018*B116,4)</f>
        <v>0.82899999999999996</v>
      </c>
      <c r="J118" s="3388">
        <f t="shared" ref="J118:M122" si="36">I118</f>
        <v>0.82899999999999996</v>
      </c>
      <c r="K118" s="3388">
        <f t="shared" si="36"/>
        <v>0.82899999999999996</v>
      </c>
      <c r="L118" s="3388">
        <f t="shared" si="36"/>
        <v>0.82899999999999996</v>
      </c>
      <c r="M118" s="3411">
        <f t="shared" si="36"/>
        <v>0.82899999999999996</v>
      </c>
      <c r="N118" s="3398"/>
    </row>
    <row r="119" spans="1:14">
      <c r="A119" s="3410" t="s">
        <v>3334</v>
      </c>
      <c r="B119" s="3388">
        <f>ROUND(0.993-0.0112*B116,4)</f>
        <v>0.98080000000000001</v>
      </c>
      <c r="C119" s="3388">
        <f>B119</f>
        <v>0.98080000000000001</v>
      </c>
      <c r="D119" s="3388">
        <f>ROUND(0.9415-0.0142*B116,4)</f>
        <v>0.92600000000000005</v>
      </c>
      <c r="E119" s="3388">
        <f t="shared" ref="E119:H120" si="37">D119</f>
        <v>0.92600000000000005</v>
      </c>
      <c r="F119" s="3388">
        <f t="shared" si="37"/>
        <v>0.92600000000000005</v>
      </c>
      <c r="G119" s="3388">
        <f t="shared" si="37"/>
        <v>0.92600000000000005</v>
      </c>
      <c r="H119" s="3388">
        <f t="shared" si="37"/>
        <v>0.92600000000000005</v>
      </c>
      <c r="I119" s="3388">
        <f>ROUND(0.838-0.0182*B116,4)</f>
        <v>0.81820000000000004</v>
      </c>
      <c r="J119" s="3388">
        <f t="shared" si="36"/>
        <v>0.81820000000000004</v>
      </c>
      <c r="K119" s="3388">
        <f t="shared" si="36"/>
        <v>0.81820000000000004</v>
      </c>
      <c r="L119" s="3388">
        <f t="shared" si="36"/>
        <v>0.81820000000000004</v>
      </c>
      <c r="M119" s="3411">
        <f t="shared" si="36"/>
        <v>0.81820000000000004</v>
      </c>
      <c r="N119" s="3398"/>
    </row>
    <row r="120" spans="1:14">
      <c r="A120" s="3410" t="s">
        <v>3335</v>
      </c>
      <c r="B120" s="3388">
        <f>ROUND(0.9448-0.0115*B116,4)</f>
        <v>0.93230000000000002</v>
      </c>
      <c r="C120" s="3388">
        <f>B120</f>
        <v>0.93230000000000002</v>
      </c>
      <c r="D120" s="3388">
        <f>ROUND(0.937-0.0145*B116,4)</f>
        <v>0.92120000000000002</v>
      </c>
      <c r="E120" s="3388">
        <f t="shared" si="37"/>
        <v>0.92120000000000002</v>
      </c>
      <c r="F120" s="3388">
        <f t="shared" si="37"/>
        <v>0.92120000000000002</v>
      </c>
      <c r="G120" s="3388">
        <f t="shared" si="37"/>
        <v>0.92120000000000002</v>
      </c>
      <c r="H120" s="3388">
        <f t="shared" si="37"/>
        <v>0.92120000000000002</v>
      </c>
      <c r="I120" s="3388">
        <f>ROUND(0.7965-0.0185*B116,4)</f>
        <v>0.77629999999999999</v>
      </c>
      <c r="J120" s="3388">
        <f t="shared" si="36"/>
        <v>0.77629999999999999</v>
      </c>
      <c r="K120" s="3388">
        <f t="shared" si="36"/>
        <v>0.77629999999999999</v>
      </c>
      <c r="L120" s="3388">
        <f t="shared" si="36"/>
        <v>0.77629999999999999</v>
      </c>
      <c r="M120" s="3411">
        <f t="shared" si="36"/>
        <v>0.77629999999999999</v>
      </c>
      <c r="N120" s="3398"/>
    </row>
    <row r="121" spans="1:14" ht="13.5" thickBot="1">
      <c r="A121" s="3412" t="s">
        <v>3336</v>
      </c>
      <c r="B121" s="3413">
        <f>ROUND(0.7836-0.012*B116,4)</f>
        <v>0.77049999999999996</v>
      </c>
      <c r="C121" s="3413">
        <f>B121</f>
        <v>0.77049999999999996</v>
      </c>
      <c r="D121" s="3413">
        <f>ROUND(0.753-0.015*B116,4)</f>
        <v>0.73670000000000002</v>
      </c>
      <c r="E121" s="3413">
        <f>D121</f>
        <v>0.73670000000000002</v>
      </c>
      <c r="F121" s="3413">
        <f>E121</f>
        <v>0.73670000000000002</v>
      </c>
      <c r="G121" s="3413">
        <f>ROUND(0.6612-0.018*B116,4)</f>
        <v>0.64159999999999995</v>
      </c>
      <c r="H121" s="3413">
        <f>G121</f>
        <v>0.64159999999999995</v>
      </c>
      <c r="I121" s="3413">
        <f>ROUND(0.5905-0.019*B116,4)</f>
        <v>0.56979999999999997</v>
      </c>
      <c r="J121" s="3413">
        <f t="shared" si="36"/>
        <v>0.56979999999999997</v>
      </c>
      <c r="K121" s="3413">
        <f t="shared" si="36"/>
        <v>0.56979999999999997</v>
      </c>
      <c r="L121" s="3413">
        <f t="shared" si="36"/>
        <v>0.56979999999999997</v>
      </c>
      <c r="M121" s="3414">
        <f t="shared" si="36"/>
        <v>0.56979999999999997</v>
      </c>
      <c r="N121" s="3398"/>
    </row>
    <row r="122" spans="1:14">
      <c r="A122" s="3415" t="s">
        <v>2615</v>
      </c>
      <c r="B122" s="3388">
        <f>ROUND(0.9404-0.0106*B116,4)</f>
        <v>0.92879999999999996</v>
      </c>
      <c r="C122" s="3388">
        <f>B122</f>
        <v>0.92879999999999996</v>
      </c>
      <c r="D122" s="3388">
        <f>ROUND(0.8955-0.0135*B116,4)</f>
        <v>0.88080000000000003</v>
      </c>
      <c r="E122" s="3388">
        <f t="shared" ref="E122:H122" si="38">D122</f>
        <v>0.88080000000000003</v>
      </c>
      <c r="F122" s="3388">
        <f t="shared" si="38"/>
        <v>0.88080000000000003</v>
      </c>
      <c r="G122" s="3388">
        <f t="shared" si="38"/>
        <v>0.88080000000000003</v>
      </c>
      <c r="H122" s="3388">
        <f t="shared" si="38"/>
        <v>0.88080000000000003</v>
      </c>
      <c r="I122" s="3388">
        <f>ROUND(0.7632-0.0166*B116,4)</f>
        <v>0.74509999999999998</v>
      </c>
      <c r="J122" s="3388">
        <f t="shared" si="36"/>
        <v>0.74509999999999998</v>
      </c>
      <c r="K122" s="3388">
        <f t="shared" si="36"/>
        <v>0.74509999999999998</v>
      </c>
      <c r="L122" s="3388">
        <f t="shared" si="36"/>
        <v>0.74509999999999998</v>
      </c>
      <c r="M122" s="3411">
        <f t="shared" si="36"/>
        <v>0.74509999999999998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34166</v>
      </c>
      <c r="C2" s="2" t="s">
        <v>106</v>
      </c>
      <c r="D2" s="199"/>
      <c r="E2" s="199"/>
      <c r="F2" s="199"/>
      <c r="G2" s="199"/>
    </row>
    <row r="3" spans="1:7" s="200" customFormat="1" ht="18" customHeight="1" thickBot="1">
      <c r="A3" s="203" t="s">
        <v>58</v>
      </c>
      <c r="B3" s="204">
        <f ca="1">ROUND(B2*10000/'数据-汇总表'!E3,0)</f>
        <v>23061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296</v>
      </c>
      <c r="D10" s="845">
        <f>'数据-汇总表'!E6</f>
        <v>14815.499999999998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296</v>
      </c>
      <c r="D19" s="849">
        <f>'数据-汇总表'!E3</f>
        <v>14815.499999999998</v>
      </c>
      <c r="E19" s="211">
        <f>'数据-取费表'!B31</f>
        <v>200</v>
      </c>
      <c r="F19" s="231"/>
      <c r="G19" s="1" t="s">
        <v>436</v>
      </c>
    </row>
    <row r="20" spans="1:7" s="214" customFormat="1" ht="13.5" customHeight="1">
      <c r="A20" s="777" t="s">
        <v>419</v>
      </c>
      <c r="B20" s="210" t="s">
        <v>77</v>
      </c>
      <c r="C20" s="232">
        <f>ROUND((C5+C19)*F20,0)</f>
        <v>523</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1793</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3214</v>
      </c>
      <c r="D27" s="235">
        <f>C29</f>
        <v>3.8E-3</v>
      </c>
      <c r="E27" s="236" t="s">
        <v>99</v>
      </c>
      <c r="F27" s="246">
        <f>'数据-取费表'!Q16</f>
        <v>0.15</v>
      </c>
      <c r="G27" s="247" t="s">
        <v>431</v>
      </c>
    </row>
    <row r="28" spans="1:7" s="214" customFormat="1" ht="13.5" customHeight="1">
      <c r="A28" s="780" t="s">
        <v>349</v>
      </c>
      <c r="B28" s="248" t="s">
        <v>424</v>
      </c>
      <c r="C28" s="249">
        <f>ROUND((C5+C19+C20)*F27*'数据-取费表'!B21/'数据-取费表'!B20,0)</f>
        <v>3214</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6489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5926</v>
      </c>
      <c r="D34" s="217"/>
      <c r="E34" s="220"/>
      <c r="F34" s="257">
        <f>IF('数据-取费表'!B24=0,1,'数据-取费表'!N16)</f>
        <v>1</v>
      </c>
      <c r="G34" s="219" t="s">
        <v>89</v>
      </c>
    </row>
    <row r="35" spans="1:7" ht="13.5" customHeight="1">
      <c r="A35" s="780" t="s">
        <v>351</v>
      </c>
      <c r="B35" s="215" t="s">
        <v>33</v>
      </c>
      <c r="C35" s="220">
        <f>ROUND(C34*F35,0)</f>
        <v>178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296</v>
      </c>
      <c r="D37" s="217">
        <f>'数据-汇总表'!E3</f>
        <v>14815.499999999998</v>
      </c>
      <c r="E37" s="249">
        <f>'数据-取费表'!B35</f>
        <v>200</v>
      </c>
      <c r="F37" s="259"/>
      <c r="G37" s="261" t="s">
        <v>92</v>
      </c>
    </row>
    <row r="38" spans="1:7" ht="13.5" customHeight="1">
      <c r="A38" s="780" t="s">
        <v>354</v>
      </c>
      <c r="B38" s="215" t="s">
        <v>36</v>
      </c>
      <c r="C38" s="220">
        <f>ROUND(C34*F38,0)</f>
        <v>89</v>
      </c>
      <c r="D38" s="220"/>
      <c r="E38" s="220"/>
      <c r="F38" s="259">
        <f>'数据-取费表'!B36</f>
        <v>1.4999999999999999E-2</v>
      </c>
      <c r="G38" s="219" t="s">
        <v>90</v>
      </c>
    </row>
    <row r="39" spans="1:7" s="214" customFormat="1" ht="13.5" customHeight="1">
      <c r="A39" s="777" t="s">
        <v>338</v>
      </c>
      <c r="B39" s="210" t="s">
        <v>77</v>
      </c>
      <c r="C39" s="232">
        <f>ROUND(C33*F20,0)</f>
        <v>162</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276</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269</v>
      </c>
      <c r="D42" s="238"/>
      <c r="E42" s="238"/>
      <c r="F42" s="239"/>
      <c r="G42" s="3633" t="s">
        <v>94</v>
      </c>
    </row>
    <row r="43" spans="1:7" ht="13.5" customHeight="1">
      <c r="A43" s="780" t="s">
        <v>347</v>
      </c>
      <c r="B43" s="215" t="s">
        <v>426</v>
      </c>
      <c r="C43" s="238">
        <f ca="1">ROUND(IF('数据-取费表'!B22&lt;=1,C39*F22*'数据-取费表'!B21/2,C39*(POWER((1+F22),'数据-取费表'!B21/2)-1)),0)</f>
        <v>7</v>
      </c>
      <c r="D43" s="238"/>
      <c r="E43" s="238"/>
      <c r="F43" s="239"/>
      <c r="G43" s="3634"/>
    </row>
    <row r="44" spans="1:7" ht="13.5" customHeight="1">
      <c r="A44" s="780" t="s">
        <v>348</v>
      </c>
      <c r="B44" s="215" t="s">
        <v>428</v>
      </c>
      <c r="C44" s="238">
        <f ca="1">ROUND(IF('数据-取费表'!B22&lt;=1,C40*F22*'数据-取费表'!B21/2,C40*(POWER((1+F22),'数据-取费表'!B21/2)-1)),4)</f>
        <v>1E-3</v>
      </c>
      <c r="D44" s="238"/>
      <c r="E44" s="238"/>
      <c r="F44" s="239"/>
      <c r="G44" s="3635"/>
    </row>
    <row r="45" spans="1:7" s="214" customFormat="1" ht="13.5" customHeight="1">
      <c r="A45" s="777" t="s">
        <v>341</v>
      </c>
      <c r="B45" s="244" t="s">
        <v>85</v>
      </c>
      <c r="C45" s="245">
        <f>C46</f>
        <v>998</v>
      </c>
      <c r="D45" s="235">
        <f>C47</f>
        <v>3.8E-3</v>
      </c>
      <c r="E45" s="236" t="s">
        <v>102</v>
      </c>
      <c r="F45" s="246"/>
      <c r="G45" s="247" t="s">
        <v>434</v>
      </c>
    </row>
    <row r="46" spans="1:7" s="214" customFormat="1" ht="13.5" customHeight="1">
      <c r="A46" s="780" t="s">
        <v>349</v>
      </c>
      <c r="B46" s="248" t="s">
        <v>427</v>
      </c>
      <c r="C46" s="249">
        <f>ROUND((C33+C39)*F27,0)</f>
        <v>998</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8644</v>
      </c>
      <c r="D49" s="232"/>
      <c r="E49" s="232"/>
      <c r="F49" s="264"/>
      <c r="G49" s="234" t="s">
        <v>435</v>
      </c>
    </row>
    <row r="50" spans="1:7" s="258" customFormat="1" ht="24">
      <c r="A50" s="777" t="s">
        <v>344</v>
      </c>
      <c r="B50" s="210" t="s">
        <v>97</v>
      </c>
      <c r="C50" s="232"/>
      <c r="D50" s="232"/>
      <c r="E50" s="232"/>
      <c r="F50" s="264">
        <f>IF('数据-取费表'!B24=0,'数据-取费表'!N16,1)</f>
        <v>0.61699999999999999</v>
      </c>
      <c r="G50" s="247" t="s">
        <v>98</v>
      </c>
    </row>
    <row r="51" spans="1:7" ht="16.5" customHeight="1">
      <c r="A51" s="777" t="s">
        <v>345</v>
      </c>
      <c r="B51" s="210" t="s">
        <v>105</v>
      </c>
      <c r="C51" s="232">
        <f ca="1">ROUND(C49*F50,0)</f>
        <v>5333</v>
      </c>
      <c r="D51" s="232"/>
      <c r="E51" s="232"/>
      <c r="F51" s="264"/>
      <c r="G51" s="234" t="s">
        <v>37</v>
      </c>
    </row>
    <row r="52" spans="1:7" s="208" customFormat="1" ht="16.5" thickBot="1">
      <c r="A52" s="265" t="s">
        <v>38</v>
      </c>
      <c r="B52" s="266"/>
      <c r="C52" s="267">
        <f ca="1">C31+C51</f>
        <v>34166</v>
      </c>
      <c r="D52" s="266"/>
      <c r="E52" s="266"/>
      <c r="F52" s="266"/>
      <c r="G52" s="268"/>
    </row>
    <row r="55" spans="1:7" ht="15">
      <c r="B55" s="270" t="s">
        <v>39</v>
      </c>
      <c r="C55" s="271"/>
    </row>
    <row r="56" spans="1:7">
      <c r="B56" s="273" t="s">
        <v>40</v>
      </c>
      <c r="C56" s="274">
        <f ca="1">ROUND(C51/C52,3)</f>
        <v>0.156</v>
      </c>
    </row>
    <row r="57" spans="1:7">
      <c r="B57" s="273" t="s">
        <v>41</v>
      </c>
      <c r="C57" s="275">
        <f ca="1">1-C56</f>
        <v>0.84399999999999997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45091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9" sqref="R39"/>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14815.499999999998</v>
      </c>
      <c r="C4" s="854">
        <f>项目基本情况!C18</f>
        <v>11220.06</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t="e">
        <f ca="1">结果表!D122</f>
        <v>#REF!</v>
      </c>
      <c r="E8" s="3463"/>
      <c r="F8" s="3463"/>
      <c r="G8" s="3463"/>
      <c r="H8" s="3463"/>
      <c r="I8" s="3463"/>
    </row>
    <row r="9" spans="1:9" ht="15">
      <c r="A9" s="3464" t="s">
        <v>927</v>
      </c>
      <c r="B9" s="3464"/>
      <c r="C9" s="3464"/>
      <c r="D9" s="3464" t="e">
        <f ca="1">结果表!D123</f>
        <v>#REF!</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结果表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2023-06-15T05:45:16Z</dcterms:modified>
</cp:coreProperties>
</file>