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60" windowWidth="14820" windowHeight="12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I37" i="34"/>
  <c r="E37" i="34"/>
  <c r="G37" i="34" s="1"/>
  <c r="N19" i="1"/>
  <c r="N21" i="1" s="1"/>
  <c r="N6" i="1" s="1"/>
  <c r="Y6" i="1" s="1"/>
  <c r="B25" i="31"/>
  <c r="B29" i="31"/>
  <c r="B24" i="31"/>
  <c r="A25" i="31"/>
  <c r="A26" i="31"/>
  <c r="A27" i="31"/>
  <c r="A28" i="31"/>
  <c r="A29" i="31"/>
  <c r="A30" i="31"/>
  <c r="A31" i="31"/>
  <c r="A32" i="31"/>
  <c r="A24" i="31"/>
  <c r="J49" i="67"/>
  <c r="B26" i="31"/>
  <c r="B27" i="31"/>
  <c r="B28" i="31"/>
  <c r="B30" i="31"/>
  <c r="B31" i="31"/>
  <c r="B32" i="31"/>
  <c r="F19" i="6"/>
  <c r="C34" i="34" l="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8" i="71"/>
  <c r="D38" i="71" s="1"/>
  <c r="X38" i="71"/>
  <c r="B28" i="71"/>
  <c r="B27" i="71" s="1"/>
  <c r="B26" i="71"/>
  <c r="X26" i="71"/>
  <c r="D30" i="71"/>
  <c r="C43" i="71"/>
  <c r="C44" i="71" s="1"/>
  <c r="D44" i="71" s="1"/>
  <c r="C51" i="71"/>
  <c r="P28" i="71"/>
  <c r="E28" i="71" s="1"/>
  <c r="E64" i="71"/>
  <c r="U64" i="71" s="1"/>
  <c r="U68" i="71"/>
  <c r="E67" i="71"/>
  <c r="Q28" i="71"/>
  <c r="D58" i="71"/>
  <c r="D62" i="71"/>
  <c r="B66"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R53" i="31"/>
  <c r="S53" i="31" s="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S487" i="31" s="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4" i="31"/>
  <c r="S330" i="31"/>
  <c r="S316" i="31"/>
  <c r="S270" i="31"/>
  <c r="S251" i="31"/>
  <c r="S247" i="31"/>
  <c r="S246" i="31"/>
  <c r="S243" i="31"/>
  <c r="S239" i="31"/>
  <c r="S235" i="31"/>
  <c r="S231" i="31"/>
  <c r="S227" i="31"/>
  <c r="S223" i="31"/>
  <c r="S429" i="31"/>
  <c r="S427" i="31"/>
  <c r="S425" i="31"/>
  <c r="S222" i="31"/>
  <c r="S219" i="31"/>
  <c r="S215" i="31"/>
  <c r="S211" i="31"/>
  <c r="S207" i="31"/>
  <c r="S203" i="31"/>
  <c r="S199" i="31"/>
  <c r="S195" i="31"/>
  <c r="S191" i="31"/>
  <c r="S190" i="31"/>
  <c r="S187" i="31"/>
  <c r="S183" i="31"/>
  <c r="S179" i="31"/>
  <c r="S175" i="31"/>
  <c r="S172" i="31"/>
  <c r="S171" i="31"/>
  <c r="S167" i="31"/>
  <c r="S163" i="31"/>
  <c r="S159" i="31"/>
  <c r="S155" i="31"/>
  <c r="S151" i="31"/>
  <c r="S147" i="31"/>
  <c r="S143" i="31"/>
  <c r="S139" i="31"/>
  <c r="S135" i="31"/>
  <c r="S131" i="31"/>
  <c r="S127" i="31"/>
  <c r="S123" i="31"/>
  <c r="S497" i="31"/>
  <c r="S495" i="31"/>
  <c r="S493" i="31"/>
  <c r="S491" i="31"/>
  <c r="S489" i="31"/>
  <c r="S485" i="31"/>
  <c r="S483" i="31"/>
  <c r="S481" i="31"/>
  <c r="S479" i="31"/>
  <c r="S477" i="31"/>
  <c r="S475" i="31"/>
  <c r="S473" i="31"/>
  <c r="S469" i="31"/>
  <c r="S443" i="31"/>
  <c r="S441" i="31"/>
  <c r="S439" i="31"/>
  <c r="S437" i="31"/>
  <c r="S435" i="31"/>
  <c r="S433" i="31"/>
  <c r="S431" i="31"/>
  <c r="S121" i="31"/>
  <c r="S119" i="31"/>
  <c r="S117" i="31"/>
  <c r="S115" i="31"/>
  <c r="S113" i="31"/>
  <c r="S467" i="31"/>
  <c r="S465" i="31"/>
  <c r="S463" i="31"/>
  <c r="S461" i="31"/>
  <c r="S459" i="31"/>
  <c r="S457" i="31"/>
  <c r="S455" i="31"/>
  <c r="S453" i="31"/>
  <c r="S452" i="31"/>
  <c r="S451" i="31"/>
  <c r="S52" i="31"/>
  <c r="S51" i="31"/>
  <c r="S47" i="31"/>
  <c r="S43" i="31"/>
  <c r="S39" i="31"/>
  <c r="S35" i="31"/>
  <c r="S77" i="31"/>
  <c r="S75" i="31"/>
  <c r="S73" i="31"/>
  <c r="S71" i="31"/>
  <c r="S69" i="31"/>
  <c r="S67" i="31"/>
  <c r="S65" i="31"/>
  <c r="S63" i="31"/>
  <c r="S61" i="31"/>
  <c r="S59" i="31"/>
  <c r="S57" i="31"/>
  <c r="S55" i="31"/>
  <c r="S97" i="31"/>
  <c r="S95" i="31"/>
  <c r="S93" i="31"/>
  <c r="S91" i="31"/>
  <c r="S89" i="31"/>
  <c r="S87" i="31"/>
  <c r="S85" i="31"/>
  <c r="S83" i="31"/>
  <c r="S81" i="31"/>
  <c r="S79" i="31"/>
  <c r="S99" i="31"/>
  <c r="S103" i="31"/>
  <c r="S104" i="31"/>
  <c r="S107"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O5" i="3" s="1"/>
  <c r="BP552" i="3"/>
  <c r="BQ552" i="3"/>
  <c r="BR552" i="3"/>
  <c r="BS552" i="3"/>
  <c r="BS5" i="3" s="1"/>
  <c r="BT552" i="3"/>
  <c r="H553" i="3"/>
  <c r="AC553" i="3"/>
  <c r="BB553" i="3"/>
  <c r="BA553" i="3" s="1"/>
  <c r="BC553" i="3"/>
  <c r="BD553" i="3"/>
  <c r="BE553" i="3"/>
  <c r="BF553" i="3"/>
  <c r="BG553" i="3"/>
  <c r="BH553" i="3"/>
  <c r="BI553" i="3"/>
  <c r="BJ553" i="3"/>
  <c r="BK553" i="3"/>
  <c r="BM553" i="3"/>
  <c r="BN553" i="3"/>
  <c r="BO553" i="3"/>
  <c r="BP553" i="3"/>
  <c r="BR553" i="3"/>
  <c r="BS553" i="3"/>
  <c r="BT553" i="3"/>
  <c r="BT5" i="3" s="1"/>
  <c r="H554" i="3"/>
  <c r="AC554" i="3"/>
  <c r="BB554" i="3"/>
  <c r="BC554" i="3"/>
  <c r="BD554" i="3"/>
  <c r="BE554" i="3"/>
  <c r="BF554" i="3"/>
  <c r="BG554" i="3"/>
  <c r="BG5" i="3" s="1"/>
  <c r="BH554" i="3"/>
  <c r="BI554" i="3"/>
  <c r="BJ554" i="3"/>
  <c r="BK554" i="3"/>
  <c r="BK5" i="3" s="1"/>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c r="F111" i="33"/>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s="1"/>
  <c r="B96" i="21"/>
  <c r="B94" i="2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AC35" i="34" s="1"/>
  <c r="U34" i="34"/>
  <c r="H39" i="33"/>
  <c r="AB39" i="33"/>
  <c r="F26" i="33"/>
  <c r="AA26" i="33"/>
  <c r="U33" i="33"/>
  <c r="U35" i="33"/>
  <c r="S40" i="33"/>
  <c r="W33" i="33"/>
  <c r="W39" i="33"/>
  <c r="H39" i="37"/>
  <c r="AB39" i="37" s="1"/>
  <c r="S27" i="35"/>
  <c r="F11" i="40"/>
  <c r="AA11" i="40"/>
  <c r="H11" i="40"/>
  <c r="AB11" i="40"/>
  <c r="W8" i="40"/>
  <c r="AB39" i="40"/>
  <c r="AA9" i="40"/>
  <c r="U9" i="40"/>
  <c r="S34" i="40"/>
  <c r="U38" i="40"/>
  <c r="W31" i="40"/>
  <c r="U34" i="40"/>
  <c r="S38" i="40"/>
  <c r="F42" i="39"/>
  <c r="F41" i="39"/>
  <c r="S41" i="39" s="1"/>
  <c r="H40" i="39"/>
  <c r="AB40" i="39" s="1"/>
  <c r="H39" i="39"/>
  <c r="U39" i="39" s="1"/>
  <c r="S38" i="39"/>
  <c r="S34" i="39"/>
  <c r="H34" i="39"/>
  <c r="U34" i="39" s="1"/>
  <c r="E108" i="39"/>
  <c r="F31" i="39"/>
  <c r="AA31" i="39" s="1"/>
  <c r="E100" i="39"/>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F25" i="34"/>
  <c r="S25" i="34" s="1"/>
  <c r="H23" i="34"/>
  <c r="U23" i="34" s="1"/>
  <c r="J23" i="34"/>
  <c r="W23" i="34" s="1"/>
  <c r="F19" i="34"/>
  <c r="S19" i="34" s="1"/>
  <c r="H17" i="34"/>
  <c r="U17" i="34" s="1"/>
  <c r="F15" i="34"/>
  <c r="AA15" i="34" s="1"/>
  <c r="J15" i="34"/>
  <c r="W15" i="34" s="1"/>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s="1"/>
  <c r="H28" i="36"/>
  <c r="U28"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46" i="3"/>
  <c r="BL542" i="3"/>
  <c r="BL538" i="3"/>
  <c r="BL534" i="3"/>
  <c r="BL530" i="3"/>
  <c r="AZ530" i="3" s="1"/>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BA510" i="3"/>
  <c r="AZ510" i="3" s="1"/>
  <c r="BA508" i="3"/>
  <c r="BA506" i="3"/>
  <c r="BA504" i="3"/>
  <c r="AZ504" i="3" s="1"/>
  <c r="BA502" i="3"/>
  <c r="BA500" i="3"/>
  <c r="BA498" i="3"/>
  <c r="AZ498" i="3" s="1"/>
  <c r="BA496" i="3"/>
  <c r="AZ496" i="3" s="1"/>
  <c r="BA494" i="3"/>
  <c r="BA587" i="3"/>
  <c r="BA583" i="3"/>
  <c r="BA581" i="3"/>
  <c r="BA579" i="3"/>
  <c r="AZ579" i="3" s="1"/>
  <c r="BA577" i="3"/>
  <c r="BA575" i="3"/>
  <c r="BA573" i="3"/>
  <c r="BA571" i="3"/>
  <c r="AZ571" i="3" s="1"/>
  <c r="BA569" i="3"/>
  <c r="BA567" i="3"/>
  <c r="BA565" i="3"/>
  <c r="BA563" i="3"/>
  <c r="AZ563" i="3" s="1"/>
  <c r="BA561" i="3"/>
  <c r="BA559"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Q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W44" i="33"/>
  <c r="U11" i="33"/>
  <c r="U19" i="21"/>
  <c r="W44" i="21"/>
  <c r="AB38" i="21"/>
  <c r="F43" i="33"/>
  <c r="AA43" i="33" s="1"/>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G189" i="3"/>
  <c r="BA191" i="3"/>
  <c r="AZ191" i="3" s="1"/>
  <c r="BL192" i="3"/>
  <c r="G193" i="3"/>
  <c r="BA195" i="3"/>
  <c r="AZ195" i="3" s="1"/>
  <c r="BL196" i="3"/>
  <c r="AZ196" i="3" s="1"/>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37" i="3"/>
  <c r="AZ245" i="3"/>
  <c r="AZ257" i="3"/>
  <c r="AZ265" i="3"/>
  <c r="BA379" i="3"/>
  <c r="AZ379" i="3" s="1"/>
  <c r="BL380" i="3"/>
  <c r="AZ380" i="3" s="1"/>
  <c r="G381" i="3"/>
  <c r="BA383" i="3"/>
  <c r="AZ383" i="3" s="1"/>
  <c r="BL384" i="3"/>
  <c r="AZ384" i="3" s="1"/>
  <c r="G385" i="3"/>
  <c r="BA387" i="3"/>
  <c r="BL388" i="3"/>
  <c r="G389" i="3"/>
  <c r="BA391" i="3"/>
  <c r="AZ391" i="3" s="1"/>
  <c r="BL392" i="3"/>
  <c r="G393" i="3"/>
  <c r="AZ283" i="3"/>
  <c r="BM5" i="3"/>
  <c r="BH5" i="3"/>
  <c r="BD5" i="3"/>
  <c r="AZ341" i="3"/>
  <c r="AZ506" i="3"/>
  <c r="G548" i="3"/>
  <c r="G538" i="3"/>
  <c r="G520" i="3"/>
  <c r="G502" i="3"/>
  <c r="BN5" i="3"/>
  <c r="BI5" i="3"/>
  <c r="BE5" i="3"/>
  <c r="G17" i="3"/>
  <c r="BR5" i="3"/>
  <c r="AZ392" i="3"/>
  <c r="AZ509" i="3"/>
  <c r="G509" i="3"/>
  <c r="BL493" i="3"/>
  <c r="AZ493" i="3" s="1"/>
  <c r="F83" i="43"/>
  <c r="H85" i="43" s="1"/>
  <c r="F50" i="43"/>
  <c r="H54" i="43" s="1"/>
  <c r="F72" i="43"/>
  <c r="H75" i="43" s="1"/>
  <c r="S14" i="35"/>
  <c r="U43" i="21"/>
  <c r="U35" i="21"/>
  <c r="AC35" i="21"/>
  <c r="AC11" i="39"/>
  <c r="AZ501" i="3"/>
  <c r="W37" i="37"/>
  <c r="S15"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c r="J27" i="40"/>
  <c r="AC27" i="40"/>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133" i="3"/>
  <c r="F23" i="39"/>
  <c r="AA23" i="39" s="1"/>
  <c r="H27" i="36"/>
  <c r="U27" i="36" s="1"/>
  <c r="F27" i="36"/>
  <c r="AA27" i="36" s="1"/>
  <c r="H33" i="34"/>
  <c r="U33" i="34" s="1"/>
  <c r="F32" i="37"/>
  <c r="AA32" i="37"/>
  <c r="F20" i="36"/>
  <c r="AA20" i="36" s="1"/>
  <c r="J33" i="34"/>
  <c r="AC33" i="34" s="1"/>
  <c r="H23" i="39"/>
  <c r="U23" i="39" s="1"/>
  <c r="D48" i="9"/>
  <c r="M52" i="9" s="1"/>
  <c r="K9" i="1"/>
  <c r="M9" i="1" s="1"/>
  <c r="D93" i="9"/>
  <c r="AC26" i="33"/>
  <c r="W26" i="33"/>
  <c r="AB34" i="36"/>
  <c r="U34" i="36"/>
  <c r="AB33" i="36"/>
  <c r="U33" i="36"/>
  <c r="AC12" i="39"/>
  <c r="W12" i="39"/>
  <c r="AC39" i="40"/>
  <c r="W39" i="40"/>
  <c r="AZ412" i="3"/>
  <c r="AZ433" i="3"/>
  <c r="W12" i="33"/>
  <c r="AC12" i="33"/>
  <c r="AZ437" i="3"/>
  <c r="BL14" i="3"/>
  <c r="U30" i="33"/>
  <c r="AC13" i="34"/>
  <c r="AA47" i="34"/>
  <c r="W28" i="37"/>
  <c r="S19" i="39"/>
  <c r="F12" i="33"/>
  <c r="H12" i="39"/>
  <c r="AB12" i="39"/>
  <c r="F39" i="40"/>
  <c r="BA14" i="3"/>
  <c r="AZ224" i="3"/>
  <c r="B12" i="1"/>
  <c r="E12" i="1" s="1"/>
  <c r="B10" i="1"/>
  <c r="E10" i="1" s="1"/>
  <c r="K12" i="1"/>
  <c r="M12" i="1" s="1"/>
  <c r="S13" i="1"/>
  <c r="AR13" i="1" s="1"/>
  <c r="R13" i="1"/>
  <c r="J51" i="67"/>
  <c r="C42" i="1"/>
  <c r="C24" i="12" s="1"/>
  <c r="B41" i="1"/>
  <c r="F48" i="9" s="1"/>
  <c r="O52" i="9" s="1"/>
  <c r="AB37" i="40"/>
  <c r="S35" i="40"/>
  <c r="U35" i="40"/>
  <c r="AC36" i="40"/>
  <c r="AA32"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AC13" i="39"/>
  <c r="U12" i="39"/>
  <c r="S23" i="36"/>
  <c r="U13" i="36"/>
  <c r="U26" i="36"/>
  <c r="S33" i="36"/>
  <c r="AA26" i="36"/>
  <c r="AA34" i="36"/>
  <c r="AC26" i="36"/>
  <c r="AA22" i="36"/>
  <c r="W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S25"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C42"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S31" i="40"/>
  <c r="AB13"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AB20" i="35"/>
  <c r="AC25" i="35"/>
  <c r="U25" i="35"/>
  <c r="S24" i="35"/>
  <c r="U24" i="35"/>
  <c r="S35" i="35"/>
  <c r="W35" i="35"/>
  <c r="AA16" i="35"/>
  <c r="AA35"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AA32" i="34"/>
  <c r="U30" i="34"/>
  <c r="AB30" i="34"/>
  <c r="AA19" i="34"/>
  <c r="AA36" i="34"/>
  <c r="S36" i="34"/>
  <c r="S46" i="34"/>
  <c r="AA4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S19" i="21"/>
  <c r="S9" i="21"/>
  <c r="AA9" i="21"/>
  <c r="K141" i="21"/>
  <c r="K144" i="21"/>
  <c r="K143" i="21"/>
  <c r="U27" i="21"/>
  <c r="AB25" i="21"/>
  <c r="AB44" i="21"/>
  <c r="W13" i="21"/>
  <c r="W42" i="21"/>
  <c r="AC45" i="21"/>
  <c r="F10" i="21"/>
  <c r="AA10" i="21" s="1"/>
  <c r="K145" i="21"/>
  <c r="W25" i="21"/>
  <c r="W31" i="21"/>
  <c r="S27" i="21"/>
  <c r="S17" i="21"/>
  <c r="AA15" i="21"/>
  <c r="AC26" i="21"/>
  <c r="S28" i="21"/>
  <c r="AC34" i="21"/>
  <c r="AB36" i="21"/>
  <c r="W30" i="40"/>
  <c r="C19" i="39"/>
  <c r="C15" i="40"/>
  <c r="C17" i="40"/>
  <c r="C23" i="40"/>
  <c r="C21" i="40"/>
  <c r="U30" i="40"/>
  <c r="B56" i="43"/>
  <c r="B67" i="43"/>
  <c r="B51" i="43"/>
  <c r="B54" i="43"/>
  <c r="B58" i="43"/>
  <c r="B62" i="43"/>
  <c r="B69" i="43"/>
  <c r="D23" i="15"/>
  <c r="D22" i="15"/>
  <c r="E4" i="4"/>
  <c r="B5" i="62" s="1"/>
  <c r="B73" i="72" s="1"/>
  <c r="C4" i="4"/>
  <c r="F28" i="67"/>
  <c r="F32" i="67"/>
  <c r="F60" i="67" s="1"/>
  <c r="AA39" i="40"/>
  <c r="S39" i="40"/>
  <c r="S12" i="33"/>
  <c r="AA12" i="33"/>
  <c r="J32" i="39"/>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AA19" i="33"/>
  <c r="H19" i="33"/>
  <c r="G81" i="33"/>
  <c r="H17" i="33"/>
  <c r="U17" i="33" s="1"/>
  <c r="F17" i="33"/>
  <c r="S17" i="33" s="1"/>
  <c r="W17" i="33"/>
  <c r="AC17" i="33"/>
  <c r="S37" i="21"/>
  <c r="AA23" i="21"/>
  <c r="AB15" i="21"/>
  <c r="J23" i="21"/>
  <c r="AC23" i="21" s="1"/>
  <c r="F85" i="21"/>
  <c r="G85" i="21" s="1"/>
  <c r="H23" i="21"/>
  <c r="AB23" i="21" s="1"/>
  <c r="S13" i="21"/>
  <c r="D6" i="52"/>
  <c r="AP7" i="1"/>
  <c r="U9" i="21"/>
  <c r="W9" i="21"/>
  <c r="AC9" i="21"/>
  <c r="U32" i="39"/>
  <c r="AC32" i="39"/>
  <c r="W32" i="39"/>
  <c r="AC23" i="37"/>
  <c r="J11" i="37"/>
  <c r="AC11" i="37" s="1"/>
  <c r="H70" i="34"/>
  <c r="I70" i="34" s="1"/>
  <c r="J70" i="34" s="1"/>
  <c r="K70" i="34"/>
  <c r="L70" i="34" s="1"/>
  <c r="M70" i="34" s="1"/>
  <c r="J11" i="34"/>
  <c r="W11" i="34" s="1"/>
  <c r="AB36" i="33"/>
  <c r="AC27" i="33"/>
  <c r="W25" i="33"/>
  <c r="AB19" i="33"/>
  <c r="U19" i="33"/>
  <c r="AA17" i="33"/>
  <c r="U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13" i="15"/>
  <c r="F16" i="15"/>
  <c r="E2" i="68"/>
  <c r="M6" i="15"/>
  <c r="F42" i="15"/>
  <c r="M26" i="15"/>
  <c r="L48" i="15"/>
  <c r="F43" i="15"/>
  <c r="F9" i="15"/>
  <c r="F4" i="73"/>
  <c r="D35" i="9"/>
  <c r="E10" i="76"/>
  <c r="B12" i="76"/>
  <c r="F3" i="73"/>
  <c r="M28" i="15"/>
  <c r="M9" i="15"/>
  <c r="E13" i="76"/>
  <c r="M24" i="15"/>
  <c r="F7" i="73"/>
  <c r="C76" i="15"/>
  <c r="F38" i="15"/>
  <c r="E12" i="76"/>
  <c r="F20" i="31"/>
  <c r="F8" i="15"/>
  <c r="E8" i="76"/>
  <c r="B11" i="76"/>
  <c r="D6" i="73"/>
  <c r="F7" i="15"/>
  <c r="B13" i="76"/>
  <c r="F36" i="15"/>
  <c r="J15" i="15"/>
  <c r="AO13" i="1"/>
  <c r="F5" i="73"/>
  <c r="F6" i="73"/>
  <c r="F37" i="15"/>
  <c r="M22" i="15"/>
  <c r="B8" i="76"/>
  <c r="M8" i="15"/>
  <c r="E11" i="76"/>
  <c r="M23" i="15"/>
  <c r="B7" i="76"/>
  <c r="D34" i="9"/>
  <c r="B10" i="76"/>
  <c r="F26" i="15"/>
  <c r="B9" i="76"/>
  <c r="F6" i="15"/>
  <c r="E7" i="76"/>
  <c r="L47" i="15"/>
  <c r="M29" i="15"/>
  <c r="F40" i="15"/>
  <c r="E9" i="76"/>
  <c r="F6" i="1" l="1"/>
  <c r="S37" i="34"/>
  <c r="W40" i="34"/>
  <c r="U39" i="34"/>
  <c r="K6" i="1"/>
  <c r="AP6" i="1" s="1"/>
  <c r="G23" i="3"/>
  <c r="G18" i="3"/>
  <c r="BA17" i="3"/>
  <c r="BA15" i="3"/>
  <c r="BL24" i="3"/>
  <c r="BA25" i="3"/>
  <c r="BL23" i="3"/>
  <c r="BA22" i="3"/>
  <c r="BB5" i="3"/>
  <c r="E10" i="6" s="1"/>
  <c r="H27" i="34"/>
  <c r="AB27" i="34" s="1"/>
  <c r="J27" i="34"/>
  <c r="AC27" i="34" s="1"/>
  <c r="W8" i="34"/>
  <c r="AC44" i="34"/>
  <c r="AB41" i="34"/>
  <c r="W41" i="34"/>
  <c r="AB40" i="34"/>
  <c r="S43" i="34"/>
  <c r="U43" i="34"/>
  <c r="W43" i="34"/>
  <c r="AA40" i="34"/>
  <c r="U38" i="34"/>
  <c r="AB35" i="34"/>
  <c r="S35" i="34"/>
  <c r="AA33" i="34"/>
  <c r="W33" i="34"/>
  <c r="AB33" i="34"/>
  <c r="AC23" i="34"/>
  <c r="S23" i="34"/>
  <c r="AB23" i="34"/>
  <c r="U19" i="34"/>
  <c r="W19" i="34"/>
  <c r="AC15" i="34"/>
  <c r="AC17" i="34"/>
  <c r="U15" i="34"/>
  <c r="B65" i="43"/>
  <c r="C29" i="39"/>
  <c r="B57" i="43"/>
  <c r="S8" i="34"/>
  <c r="AB8" i="34"/>
  <c r="F28" i="15"/>
  <c r="C5" i="68"/>
  <c r="G1" i="68"/>
  <c r="G1" i="67"/>
  <c r="G1" i="69"/>
  <c r="AZ17" i="3"/>
  <c r="BL15" i="3"/>
  <c r="F32" i="36"/>
  <c r="J32" i="36"/>
  <c r="W32" i="36" s="1"/>
  <c r="H32" i="36"/>
  <c r="BA555" i="3"/>
  <c r="BL554" i="3"/>
  <c r="BP5" i="3"/>
  <c r="G29" i="6" s="1"/>
  <c r="BA554" i="3"/>
  <c r="AZ554" i="3" s="1"/>
  <c r="BC5" i="3"/>
  <c r="BF5" i="3"/>
  <c r="W23" i="21"/>
  <c r="AB32" i="21"/>
  <c r="AA32" i="21"/>
  <c r="AA21" i="39"/>
  <c r="D68" i="9"/>
  <c r="F30" i="69"/>
  <c r="F48" i="69" s="1"/>
  <c r="F31" i="12"/>
  <c r="AC27" i="21"/>
  <c r="AA30" i="21"/>
  <c r="S11" i="33"/>
  <c r="S43" i="33"/>
  <c r="S17" i="34"/>
  <c r="AB14" i="36"/>
  <c r="AZ303" i="3"/>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U27" i="34"/>
  <c r="AC39" i="34"/>
  <c r="S20" i="35"/>
  <c r="S43" i="39"/>
  <c r="S17" i="40"/>
  <c r="AA34" i="33"/>
  <c r="AZ349" i="3"/>
  <c r="AZ334" i="3"/>
  <c r="AZ183" i="3"/>
  <c r="AZ115" i="3"/>
  <c r="AZ327" i="3"/>
  <c r="W16" i="35"/>
  <c r="S21" i="40"/>
  <c r="AZ499" i="3"/>
  <c r="AZ527" i="3"/>
  <c r="AZ512" i="3"/>
  <c r="AA28" i="34"/>
  <c r="S28" i="34"/>
  <c r="B72" i="43"/>
  <c r="C15" i="39"/>
  <c r="AB45" i="21"/>
  <c r="F54" i="9"/>
  <c r="F32" i="15"/>
  <c r="F60" i="15" s="1"/>
  <c r="F52" i="9"/>
  <c r="F30" i="68"/>
  <c r="F48" i="68" s="1"/>
  <c r="W36" i="37"/>
  <c r="U15" i="40"/>
  <c r="AB40" i="37"/>
  <c r="S15" i="39"/>
  <c r="AC34" i="33"/>
  <c r="AZ14" i="3"/>
  <c r="U29" i="36"/>
  <c r="F29" i="6"/>
  <c r="AZ388" i="3"/>
  <c r="H5" i="3"/>
  <c r="H14" i="39"/>
  <c r="S14" i="34"/>
  <c r="AA14" i="34"/>
  <c r="BA586" i="3"/>
  <c r="BA585" i="3"/>
  <c r="AA42" i="21"/>
  <c r="S42" i="21"/>
  <c r="AC5" i="3"/>
  <c r="AZ357" i="3"/>
  <c r="AZ313" i="3"/>
  <c r="AZ160" i="3"/>
  <c r="AZ394" i="3"/>
  <c r="AC36" i="34"/>
  <c r="AZ519" i="3"/>
  <c r="AZ531" i="3"/>
  <c r="AZ573" i="3"/>
  <c r="AZ583" i="3"/>
  <c r="AZ568" i="3"/>
  <c r="AZ576" i="3"/>
  <c r="S44" i="34"/>
  <c r="AA14" i="37"/>
  <c r="AA12" i="40"/>
  <c r="AZ387" i="3"/>
  <c r="AZ370" i="3"/>
  <c r="AZ362" i="3"/>
  <c r="AZ338" i="3"/>
  <c r="AZ307" i="3"/>
  <c r="AZ390" i="3"/>
  <c r="AZ371" i="3"/>
  <c r="AZ351" i="3"/>
  <c r="AZ336" i="3"/>
  <c r="AZ305" i="3"/>
  <c r="AZ187" i="3"/>
  <c r="AZ375" i="3"/>
  <c r="AZ360" i="3"/>
  <c r="AB33" i="40"/>
  <c r="AC31" i="33"/>
  <c r="AZ539" i="3"/>
  <c r="BL553" i="3"/>
  <c r="AZ553" i="3" s="1"/>
  <c r="AZ529" i="3"/>
  <c r="AZ537" i="3"/>
  <c r="AZ518" i="3"/>
  <c r="AZ546" i="3"/>
  <c r="AB45" i="33"/>
  <c r="AA29" i="35"/>
  <c r="AB17" i="34"/>
  <c r="BL585" i="3"/>
  <c r="H23" i="36"/>
  <c r="J23" i="36"/>
  <c r="AZ535" i="3"/>
  <c r="AZ557" i="3"/>
  <c r="AZ513" i="3"/>
  <c r="AZ575" i="3"/>
  <c r="AZ548" i="3"/>
  <c r="AZ540" i="3"/>
  <c r="AZ502" i="3"/>
  <c r="G585" i="3"/>
  <c r="BL587" i="3"/>
  <c r="AZ587" i="3" s="1"/>
  <c r="BL586" i="3"/>
  <c r="J9" i="34"/>
  <c r="H12" i="34"/>
  <c r="F44" i="39"/>
  <c r="J38" i="40"/>
  <c r="G582" i="3"/>
  <c r="G574" i="3"/>
  <c r="BA551" i="3"/>
  <c r="AZ551" i="3" s="1"/>
  <c r="BA550" i="3"/>
  <c r="BL548" i="3"/>
  <c r="BL550" i="3"/>
  <c r="AZ487" i="3"/>
  <c r="B79" i="43"/>
  <c r="H9" i="34"/>
  <c r="F12" i="34"/>
  <c r="S12" i="34" s="1"/>
  <c r="H23" i="35"/>
  <c r="G552" i="3"/>
  <c r="AZ398" i="3"/>
  <c r="AZ414" i="3"/>
  <c r="AZ425" i="3"/>
  <c r="AZ451" i="3"/>
  <c r="AZ459" i="3"/>
  <c r="AZ469" i="3"/>
  <c r="AZ483" i="3"/>
  <c r="AZ38"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AZ403" i="3" s="1"/>
  <c r="BA404" i="3"/>
  <c r="AZ404" i="3" s="1"/>
  <c r="BA405" i="3"/>
  <c r="AZ405" i="3" s="1"/>
  <c r="G409" i="3"/>
  <c r="BL410" i="3"/>
  <c r="AZ410" i="3" s="1"/>
  <c r="G419" i="3"/>
  <c r="BA422" i="3"/>
  <c r="G430" i="3"/>
  <c r="BL431" i="3"/>
  <c r="AZ431" i="3" s="1"/>
  <c r="BL434" i="3"/>
  <c r="G437" i="3"/>
  <c r="BL438" i="3"/>
  <c r="BL439" i="3"/>
  <c r="AZ439" i="3" s="1"/>
  <c r="BA441" i="3"/>
  <c r="AZ441" i="3" s="1"/>
  <c r="BL445" i="3"/>
  <c r="BL446" i="3"/>
  <c r="BL449" i="3"/>
  <c r="AZ449" i="3" s="1"/>
  <c r="BL450" i="3"/>
  <c r="BL452" i="3"/>
  <c r="G455" i="3"/>
  <c r="BL456" i="3"/>
  <c r="BA464" i="3"/>
  <c r="AZ464" i="3" s="1"/>
  <c r="BL467" i="3"/>
  <c r="BL468" i="3"/>
  <c r="AZ468" i="3" s="1"/>
  <c r="BL470" i="3"/>
  <c r="AZ470" i="3" s="1"/>
  <c r="BL473" i="3"/>
  <c r="AZ473" i="3" s="1"/>
  <c r="BL474" i="3"/>
  <c r="BA482" i="3"/>
  <c r="BA484" i="3"/>
  <c r="AZ484" i="3" s="1"/>
  <c r="BA303" i="3"/>
  <c r="BA307" i="3"/>
  <c r="BL314" i="3"/>
  <c r="AZ314" i="3" s="1"/>
  <c r="BA332" i="3"/>
  <c r="AZ332" i="3" s="1"/>
  <c r="BL332" i="3"/>
  <c r="BA367" i="3"/>
  <c r="AZ367" i="3" s="1"/>
  <c r="BA370" i="3"/>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AZ260" i="3" s="1"/>
  <c r="BL263" i="3"/>
  <c r="BA273" i="3"/>
  <c r="BL275" i="3"/>
  <c r="BL285" i="3"/>
  <c r="BL287" i="3"/>
  <c r="BA294" i="3"/>
  <c r="G123" i="3"/>
  <c r="BA124" i="3"/>
  <c r="AZ124" i="3" s="1"/>
  <c r="BL127" i="3"/>
  <c r="AZ127" i="3" s="1"/>
  <c r="BA128" i="3"/>
  <c r="AZ128" i="3" s="1"/>
  <c r="BA150" i="3"/>
  <c r="AZ150" i="3" s="1"/>
  <c r="BA188" i="3"/>
  <c r="AZ188" i="3" s="1"/>
  <c r="G195" i="3"/>
  <c r="BA207" i="3"/>
  <c r="AZ207" i="3" s="1"/>
  <c r="G41" i="3"/>
  <c r="AZ52" i="3"/>
  <c r="F40" i="69"/>
  <c r="C40" i="69"/>
  <c r="AB21" i="37"/>
  <c r="U21" i="37"/>
  <c r="N65" i="71"/>
  <c r="N66" i="71"/>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BA397" i="3"/>
  <c r="AZ397" i="3" s="1"/>
  <c r="BL397" i="3"/>
  <c r="BA210" i="3"/>
  <c r="BL210" i="3"/>
  <c r="BL212" i="3"/>
  <c r="G214" i="3"/>
  <c r="BL214" i="3"/>
  <c r="AZ214" i="3" s="1"/>
  <c r="G216" i="3"/>
  <c r="BL225" i="3"/>
  <c r="AZ225" i="3" s="1"/>
  <c r="BL226" i="3"/>
  <c r="BA239" i="3"/>
  <c r="BL239" i="3"/>
  <c r="BA241" i="3"/>
  <c r="AZ241" i="3" s="1"/>
  <c r="BL241" i="3"/>
  <c r="BA244" i="3"/>
  <c r="BL244" i="3"/>
  <c r="BA246" i="3"/>
  <c r="BA252" i="3"/>
  <c r="AZ252" i="3" s="1"/>
  <c r="BA254" i="3"/>
  <c r="AZ254" i="3" s="1"/>
  <c r="BA256" i="3"/>
  <c r="BL256" i="3"/>
  <c r="BA258" i="3"/>
  <c r="BL264" i="3"/>
  <c r="BA270" i="3"/>
  <c r="AZ270" i="3" s="1"/>
  <c r="BA271" i="3"/>
  <c r="AZ271" i="3" s="1"/>
  <c r="BL271" i="3"/>
  <c r="BL289" i="3"/>
  <c r="BL292" i="3"/>
  <c r="BL301" i="3"/>
  <c r="AZ301" i="3" s="1"/>
  <c r="BL302" i="3"/>
  <c r="BA114" i="3"/>
  <c r="BL141" i="3"/>
  <c r="BL143" i="3"/>
  <c r="AZ143" i="3" s="1"/>
  <c r="G146" i="3"/>
  <c r="BL161" i="3"/>
  <c r="G167" i="3"/>
  <c r="BL186" i="3"/>
  <c r="G32" i="3"/>
  <c r="BA88" i="3"/>
  <c r="AZ103" i="3"/>
  <c r="G106" i="3"/>
  <c r="G558" i="3"/>
  <c r="BL398" i="3"/>
  <c r="G402" i="3"/>
  <c r="BL403" i="3"/>
  <c r="G405" i="3"/>
  <c r="G406" i="3"/>
  <c r="BA408" i="3"/>
  <c r="AZ408" i="3" s="1"/>
  <c r="BA409" i="3"/>
  <c r="AZ409" i="3" s="1"/>
  <c r="BA411" i="3"/>
  <c r="AZ411" i="3" s="1"/>
  <c r="BL414" i="3"/>
  <c r="BL415" i="3"/>
  <c r="AZ415" i="3" s="1"/>
  <c r="BA417" i="3"/>
  <c r="AZ417" i="3" s="1"/>
  <c r="BL421" i="3"/>
  <c r="AZ421" i="3" s="1"/>
  <c r="BL422" i="3"/>
  <c r="BL425" i="3"/>
  <c r="BL426" i="3"/>
  <c r="BA428" i="3"/>
  <c r="AZ428" i="3" s="1"/>
  <c r="BA429" i="3"/>
  <c r="AZ429" i="3" s="1"/>
  <c r="BA430" i="3"/>
  <c r="AZ430" i="3" s="1"/>
  <c r="BA432" i="3"/>
  <c r="AZ432" i="3" s="1"/>
  <c r="BA434" i="3"/>
  <c r="AZ434" i="3" s="1"/>
  <c r="BA436" i="3"/>
  <c r="BA438" i="3"/>
  <c r="G442" i="3"/>
  <c r="G443" i="3"/>
  <c r="BA446" i="3"/>
  <c r="BA450" i="3"/>
  <c r="BA453" i="3"/>
  <c r="AZ453" i="3" s="1"/>
  <c r="BA455" i="3"/>
  <c r="AZ455" i="3" s="1"/>
  <c r="BL457" i="3"/>
  <c r="AZ457" i="3" s="1"/>
  <c r="BL460" i="3"/>
  <c r="AZ460" i="3" s="1"/>
  <c r="BL461" i="3"/>
  <c r="AZ461" i="3" s="1"/>
  <c r="BL463" i="3"/>
  <c r="G465" i="3"/>
  <c r="BA471" i="3"/>
  <c r="G486" i="3"/>
  <c r="G488" i="3"/>
  <c r="BL317" i="3"/>
  <c r="G318" i="3"/>
  <c r="BA349" i="3"/>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T32" i="71"/>
  <c r="D32" i="71"/>
  <c r="D59" i="71"/>
  <c r="C86" i="71"/>
  <c r="D86" i="71" s="1"/>
  <c r="D87" i="71"/>
  <c r="Y25" i="71"/>
  <c r="Z25" i="71" s="1"/>
  <c r="BL299" i="3"/>
  <c r="BL113" i="3"/>
  <c r="BL115" i="3"/>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U21" i="33"/>
  <c r="AB21" i="33"/>
  <c r="C52" i="71"/>
  <c r="D51" i="71"/>
  <c r="F66" i="71"/>
  <c r="Q66" i="71" s="1"/>
  <c r="Q67" i="71"/>
  <c r="X25" i="71"/>
  <c r="BL266" i="3"/>
  <c r="BA268" i="3"/>
  <c r="BL273" i="3"/>
  <c r="G274" i="3"/>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BA51"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AZ46" i="3" s="1"/>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AA27" i="71"/>
  <c r="S28" i="71"/>
  <c r="C83" i="71"/>
  <c r="C79" i="71"/>
  <c r="C71" i="71"/>
  <c r="C39" i="71"/>
  <c r="Y28" i="71"/>
  <c r="Z28" i="71" s="1"/>
  <c r="Y30" i="71"/>
  <c r="Z30" i="71" s="1"/>
  <c r="X28" i="71"/>
  <c r="X32" i="71"/>
  <c r="AB38" i="71"/>
  <c r="F75" i="71"/>
  <c r="F74" i="71"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56" i="3"/>
  <c r="AZ467" i="3"/>
  <c r="W35" i="39"/>
  <c r="F27" i="34"/>
  <c r="C21" i="39"/>
  <c r="U9" i="36"/>
  <c r="U14" i="37"/>
  <c r="H12" i="21"/>
  <c r="G526" i="3"/>
  <c r="AZ42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15"/>
  <c r="C36" i="68"/>
  <c r="D9" i="69"/>
  <c r="F27" i="69"/>
  <c r="C36" i="69"/>
  <c r="D9" i="68"/>
  <c r="M26" i="67"/>
  <c r="F40" i="67"/>
  <c r="F16" i="67"/>
  <c r="D7" i="73"/>
  <c r="M8" i="67"/>
  <c r="F8" i="67"/>
  <c r="F13" i="67"/>
  <c r="F6" i="67"/>
  <c r="F38" i="67"/>
  <c r="L47" i="67"/>
  <c r="D4" i="73"/>
  <c r="M29" i="67"/>
  <c r="M9" i="67"/>
  <c r="C76" i="67"/>
  <c r="M23" i="67"/>
  <c r="D5" i="73"/>
  <c r="D3" i="73"/>
  <c r="C16" i="15"/>
  <c r="F37" i="67"/>
  <c r="F43" i="67"/>
  <c r="M24" i="67"/>
  <c r="F9" i="67"/>
  <c r="F26" i="67"/>
  <c r="F7" i="67"/>
  <c r="M22" i="67"/>
  <c r="F42" i="67"/>
  <c r="M28" i="67"/>
  <c r="M6" i="67"/>
  <c r="J15" i="67"/>
  <c r="F36" i="67"/>
  <c r="L48" i="67"/>
  <c r="E13" i="6" l="1"/>
  <c r="AZ15" i="3"/>
  <c r="G30" i="6"/>
  <c r="G31" i="6" s="1"/>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5" i="3" s="1"/>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C48" i="68"/>
  <c r="AZ141" i="3"/>
  <c r="AZ287" i="3"/>
  <c r="AZ209" i="3"/>
  <c r="AZ475" i="3"/>
  <c r="AZ234" i="3"/>
  <c r="AZ354" i="3"/>
  <c r="AA12" i="34"/>
  <c r="C40" i="71"/>
  <c r="D39" i="71"/>
  <c r="AZ59" i="3"/>
  <c r="AZ88" i="3"/>
  <c r="AZ294" i="3"/>
  <c r="AZ273" i="3"/>
  <c r="U23" i="35"/>
  <c r="AB23" i="35"/>
  <c r="AC9" i="34"/>
  <c r="W9" i="34"/>
  <c r="AB23" i="36"/>
  <c r="U23" i="36"/>
  <c r="J7" i="37"/>
  <c r="W7" i="37" s="1"/>
  <c r="K1" i="73"/>
  <c r="E60" i="3"/>
  <c r="E153" i="3"/>
  <c r="E166" i="3"/>
  <c r="E382" i="3"/>
  <c r="E269" i="3"/>
  <c r="E143" i="3"/>
  <c r="E586" i="3"/>
  <c r="E587" i="3"/>
  <c r="E74" i="3"/>
  <c r="E557" i="3"/>
  <c r="E572" i="3"/>
  <c r="E322" i="3"/>
  <c r="E201" i="3"/>
  <c r="AB6" i="3"/>
  <c r="E69" i="3"/>
  <c r="E161" i="3"/>
  <c r="AI6" i="3"/>
  <c r="E200" i="3"/>
  <c r="E242"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M14" i="1"/>
  <c r="D5" i="43"/>
  <c r="C7" i="43"/>
  <c r="C5" i="43" s="1"/>
  <c r="D10" i="52"/>
  <c r="D125" i="9"/>
  <c r="D11" i="52" s="1"/>
  <c r="B7" i="74"/>
  <c r="C7" i="74" s="1"/>
  <c r="F67" i="39"/>
  <c r="H7" i="37"/>
  <c r="AB7" i="37" s="1"/>
  <c r="T42" i="37" s="1"/>
  <c r="G42" i="37" s="1"/>
  <c r="H7" i="33"/>
  <c r="J7" i="33"/>
  <c r="D65" i="40"/>
  <c r="E63" i="40"/>
  <c r="F48" i="35"/>
  <c r="AA7" i="36"/>
  <c r="R36" i="36" s="1"/>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C16" i="67"/>
  <c r="AE6" i="1"/>
  <c r="E139" i="3" l="1"/>
  <c r="E189" i="3"/>
  <c r="E377" i="3"/>
  <c r="E406" i="3"/>
  <c r="E508" i="3"/>
  <c r="E415" i="3"/>
  <c r="E32" i="3"/>
  <c r="E93" i="3"/>
  <c r="E356" i="3"/>
  <c r="E100" i="3"/>
  <c r="E445" i="3"/>
  <c r="E431" i="3"/>
  <c r="E345" i="3"/>
  <c r="E180" i="3"/>
  <c r="X6" i="3"/>
  <c r="E172" i="3"/>
  <c r="E514" i="3"/>
  <c r="E526" i="3"/>
  <c r="E182" i="3"/>
  <c r="E146" i="3"/>
  <c r="E277" i="3"/>
  <c r="E261" i="3"/>
  <c r="E331" i="3"/>
  <c r="E458" i="3"/>
  <c r="E551" i="3"/>
  <c r="E330" i="3"/>
  <c r="Y6" i="3"/>
  <c r="E184" i="3"/>
  <c r="E118" i="3"/>
  <c r="E296" i="3"/>
  <c r="E423" i="3"/>
  <c r="M6" i="3"/>
  <c r="E268" i="3"/>
  <c r="E362" i="3"/>
  <c r="E111" i="3"/>
  <c r="E142" i="3"/>
  <c r="E487" i="3"/>
  <c r="E132" i="3"/>
  <c r="E191" i="3"/>
  <c r="E215" i="3"/>
  <c r="E579" i="3"/>
  <c r="Z6" i="3"/>
  <c r="E94" i="3"/>
  <c r="E240" i="3"/>
  <c r="E483" i="3"/>
  <c r="E119" i="3"/>
  <c r="E385" i="3"/>
  <c r="E135" i="3"/>
  <c r="E563" i="3"/>
  <c r="E387" i="3"/>
  <c r="E311" i="3"/>
  <c r="E509" i="3"/>
  <c r="E109" i="3"/>
  <c r="E70" i="3"/>
  <c r="E204" i="3"/>
  <c r="E106" i="3"/>
  <c r="E568" i="3"/>
  <c r="E538" i="3"/>
  <c r="E505" i="3"/>
  <c r="E85" i="3"/>
  <c r="E239" i="3"/>
  <c r="E17" i="3"/>
  <c r="E348" i="3"/>
  <c r="E378" i="3"/>
  <c r="E248" i="3"/>
  <c r="E131" i="3"/>
  <c r="E219" i="3"/>
  <c r="E275" i="3"/>
  <c r="E148" i="3"/>
  <c r="E246" i="3"/>
  <c r="E263" i="3"/>
  <c r="E535" i="3"/>
  <c r="E278" i="3"/>
  <c r="E335" i="3"/>
  <c r="E570" i="3"/>
  <c r="E247" i="3"/>
  <c r="AJ6" i="3"/>
  <c r="E217" i="3"/>
  <c r="E273" i="3"/>
  <c r="E28" i="3"/>
  <c r="E485" i="3"/>
  <c r="E89" i="3"/>
  <c r="E315" i="3"/>
  <c r="E468" i="3"/>
  <c r="E472" i="3"/>
  <c r="E228" i="3"/>
  <c r="E347" i="3"/>
  <c r="E350" i="3"/>
  <c r="E503" i="3"/>
  <c r="E216" i="3"/>
  <c r="E561" i="3"/>
  <c r="E337" i="3"/>
  <c r="E530" i="3"/>
  <c r="E162" i="3"/>
  <c r="E478" i="3"/>
  <c r="E31" i="3"/>
  <c r="E450" i="3"/>
  <c r="E193" i="3"/>
  <c r="E583" i="3"/>
  <c r="E290" i="3"/>
  <c r="E230" i="3"/>
  <c r="E151" i="3"/>
  <c r="E553" i="3"/>
  <c r="E444" i="3"/>
  <c r="E256" i="3"/>
  <c r="E128" i="3"/>
  <c r="E169" i="3"/>
  <c r="AM6" i="3"/>
  <c r="E475" i="3"/>
  <c r="E266" i="3"/>
  <c r="E524" i="3"/>
  <c r="E40" i="3"/>
  <c r="E512" i="3"/>
  <c r="E425" i="3"/>
  <c r="E211" i="3"/>
  <c r="E531" i="3"/>
  <c r="AO6" i="3"/>
  <c r="E368" i="3"/>
  <c r="E171" i="3"/>
  <c r="E577" i="3"/>
  <c r="E560" i="3"/>
  <c r="E545" i="3"/>
  <c r="E399" i="3"/>
  <c r="E301" i="3"/>
  <c r="E183" i="3"/>
  <c r="E231" i="3"/>
  <c r="AR6" i="3"/>
  <c r="E555" i="3"/>
  <c r="E175" i="3"/>
  <c r="E27" i="3"/>
  <c r="E515" i="3"/>
  <c r="E318" i="3"/>
  <c r="E571" i="3"/>
  <c r="E45" i="3"/>
  <c r="E336" i="3"/>
  <c r="E117" i="3"/>
  <c r="E294" i="3"/>
  <c r="E229" i="3"/>
  <c r="E366" i="3"/>
  <c r="P6" i="3"/>
  <c r="E496" i="3"/>
  <c r="AA6" i="3"/>
  <c r="E506" i="3"/>
  <c r="E71" i="3"/>
  <c r="E157" i="3"/>
  <c r="E284" i="3"/>
  <c r="E147" i="3"/>
  <c r="E507" i="3"/>
  <c r="AF6" i="3"/>
  <c r="E449" i="3"/>
  <c r="E133" i="3"/>
  <c r="E181" i="3"/>
  <c r="E124" i="3"/>
  <c r="E91" i="3"/>
  <c r="E528" i="3"/>
  <c r="E380" i="3"/>
  <c r="E270" i="3"/>
  <c r="E388" i="3"/>
  <c r="E384" i="3"/>
  <c r="AS6" i="3"/>
  <c r="E271" i="3"/>
  <c r="E150" i="3"/>
  <c r="E527" i="3"/>
  <c r="E314" i="3"/>
  <c r="E578" i="3"/>
  <c r="E395" i="3"/>
  <c r="V6" i="3"/>
  <c r="E516" i="3"/>
  <c r="E30" i="3"/>
  <c r="E164" i="3"/>
  <c r="E424" i="3"/>
  <c r="E402" i="3"/>
  <c r="E359" i="3"/>
  <c r="E548" i="3"/>
  <c r="E504" i="3"/>
  <c r="E421" i="3"/>
  <c r="E194" i="3"/>
  <c r="E329" i="3"/>
  <c r="E391" i="3"/>
  <c r="D26" i="43"/>
  <c r="C25" i="43" s="1"/>
  <c r="E334" i="3"/>
  <c r="E121" i="3"/>
  <c r="E581" i="3"/>
  <c r="E448" i="3"/>
  <c r="E252" i="3"/>
  <c r="E580" i="3"/>
  <c r="E203" i="3"/>
  <c r="E429" i="3"/>
  <c r="E481" i="3"/>
  <c r="E177" i="3"/>
  <c r="E434" i="3"/>
  <c r="E280" i="3"/>
  <c r="E159" i="3"/>
  <c r="E213" i="3"/>
  <c r="E298" i="3"/>
  <c r="S6" i="3"/>
  <c r="E574" i="3"/>
  <c r="E501" i="3"/>
  <c r="E291" i="3"/>
  <c r="E546" i="3"/>
  <c r="E379" i="3"/>
  <c r="E357" i="3"/>
  <c r="E471" i="3"/>
  <c r="E306" i="3"/>
  <c r="E413" i="3"/>
  <c r="E66" i="3"/>
  <c r="E47" i="3"/>
  <c r="E354" i="3"/>
  <c r="E312" i="3"/>
  <c r="E155" i="3"/>
  <c r="E265" i="3"/>
  <c r="E123" i="3"/>
  <c r="E137" i="3"/>
  <c r="E372" i="3"/>
  <c r="E463" i="3"/>
  <c r="E486" i="3"/>
  <c r="E83" i="3"/>
  <c r="E243" i="3"/>
  <c r="E469" i="3"/>
  <c r="E251" i="3"/>
  <c r="E332" i="3"/>
  <c r="E144" i="3"/>
  <c r="E349" i="3"/>
  <c r="E212"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254" i="3"/>
  <c r="E565" i="3"/>
  <c r="E338" i="3"/>
  <c r="E390" i="3"/>
  <c r="O6" i="3"/>
  <c r="E53" i="3"/>
  <c r="E272" i="3"/>
  <c r="E367" i="3"/>
  <c r="E145" i="3"/>
  <c r="E257" i="3"/>
  <c r="E438" i="3"/>
  <c r="E122" i="3"/>
  <c r="E195" i="3"/>
  <c r="E39" i="3"/>
  <c r="E582" i="3"/>
  <c r="E110" i="3"/>
  <c r="E250" i="3"/>
  <c r="E398" i="3"/>
  <c r="E20" i="3"/>
  <c r="AQ6" i="3"/>
  <c r="E455" i="3"/>
  <c r="E226" i="3"/>
  <c r="J6" i="3"/>
  <c r="E493" i="3"/>
  <c r="E35" i="3"/>
  <c r="E470" i="3"/>
  <c r="E197" i="3"/>
  <c r="E174" i="3"/>
  <c r="E283" i="3"/>
  <c r="E371" i="3"/>
  <c r="E56" i="3"/>
  <c r="E510"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21" i="3"/>
  <c r="E237" i="3"/>
  <c r="E418" i="3"/>
  <c r="E97" i="3"/>
  <c r="E426" i="3"/>
  <c r="E29" i="3"/>
  <c r="E126" i="3"/>
  <c r="E432" i="3"/>
  <c r="E196" i="3"/>
  <c r="E54" i="3"/>
  <c r="E529" i="3"/>
  <c r="E82" i="3"/>
  <c r="E488" i="3"/>
  <c r="E542" i="3"/>
  <c r="E464" i="3"/>
  <c r="E57" i="3"/>
  <c r="E386" i="3"/>
  <c r="E552" i="3"/>
  <c r="E50" i="3"/>
  <c r="E325" i="3"/>
  <c r="E15" i="3"/>
  <c r="E202" i="3"/>
  <c r="E376" i="3"/>
  <c r="E393" i="3"/>
  <c r="E342" i="3"/>
  <c r="E452" i="3"/>
  <c r="E140" i="3"/>
  <c r="E129" i="3"/>
  <c r="E264" i="3"/>
  <c r="E467" i="3"/>
  <c r="E479" i="3"/>
  <c r="J5" i="67"/>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AA10" i="39"/>
  <c r="H10" i="40"/>
  <c r="AB10" i="40" s="1"/>
  <c r="F10" i="40"/>
  <c r="S10" i="40" s="1"/>
  <c r="AY6" i="3"/>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15"/>
  <c r="F41" i="15"/>
  <c r="M27" i="67"/>
  <c r="F41" i="67"/>
  <c r="C48" i="67" l="1"/>
  <c r="C60" i="67" s="1"/>
  <c r="F69" i="67"/>
  <c r="H6" i="3"/>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4" i="67"/>
  <c r="C17" i="15"/>
  <c r="C17" i="67"/>
  <c r="C66" i="67" l="1"/>
  <c r="I54" i="34"/>
  <c r="J54" i="34" s="1"/>
  <c r="D30" i="6"/>
  <c r="M19" i="9"/>
  <c r="C118" i="9" s="1"/>
  <c r="B2" i="74" s="1"/>
  <c r="C50" i="34"/>
  <c r="E53" i="34"/>
  <c r="F53" i="34" s="1"/>
  <c r="C26" i="68"/>
  <c r="D22" i="68" s="1"/>
  <c r="F41" i="68"/>
  <c r="C23" i="68"/>
  <c r="H22" i="6"/>
  <c r="H25" i="6"/>
  <c r="R25" i="6" s="1"/>
  <c r="R12" i="1" s="1"/>
  <c r="H24" i="6"/>
  <c r="R24" i="6" s="1"/>
  <c r="R11" i="1"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15"/>
  <c r="M21"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19" i="9"/>
  <c r="D2" i="36"/>
  <c r="L51" i="15"/>
  <c r="D2" i="37"/>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1" i="1"/>
  <c r="AO7" i="1"/>
  <c r="AO9" i="1"/>
  <c r="AO8" i="1"/>
  <c r="AO6" i="1"/>
  <c r="C19" i="9"/>
  <c r="D20" i="9"/>
  <c r="AO10"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G2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D14" i="74" s="1"/>
  <c r="C32" i="9"/>
  <c r="C35" i="9" s="1"/>
  <c r="C34" i="9" s="1"/>
  <c r="R24" i="31"/>
  <c r="D9" i="71"/>
  <c r="C8" i="71"/>
  <c r="C42" i="40"/>
  <c r="C43" i="40"/>
  <c r="E47" i="40"/>
  <c r="F47" i="40" s="1"/>
  <c r="E46" i="40"/>
  <c r="F46" i="40" s="1"/>
  <c r="I47" i="40"/>
  <c r="J47" i="40" s="1"/>
  <c r="S24" i="31" l="1"/>
  <c r="R32" i="31"/>
  <c r="S32" i="31" s="1"/>
  <c r="R26" i="31"/>
  <c r="S26" i="31"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7" i="71"/>
  <c r="C6" i="71"/>
  <c r="B5" i="74" l="1"/>
  <c r="D5" i="74" s="1"/>
  <c r="G14" i="74"/>
  <c r="B6" i="74" s="1"/>
  <c r="E6" i="74" s="1"/>
  <c r="F14" i="74"/>
  <c r="R22" i="31"/>
  <c r="B20" i="31"/>
  <c r="B21" i="31" s="1"/>
  <c r="C5" i="71"/>
  <c r="D5" i="71" s="1"/>
  <c r="M24" i="43" s="1"/>
  <c r="D6" i="71"/>
  <c r="D6" i="74" l="1"/>
  <c r="G118" i="9"/>
  <c r="G4" i="52" s="1"/>
  <c r="B52" i="72" s="1"/>
  <c r="I118" i="9"/>
  <c r="C105" i="9" s="1"/>
  <c r="F118" i="9" l="1"/>
  <c r="F4" i="52" s="1"/>
  <c r="B51" i="72" s="1"/>
  <c r="E118" i="9"/>
  <c r="E4" i="52" s="1"/>
  <c r="B48" i="72" s="1"/>
  <c r="H102" i="9"/>
  <c r="I4" i="52"/>
  <c r="H118" i="9"/>
  <c r="D118" i="9" l="1"/>
  <c r="D119" i="9" s="1"/>
  <c r="D5" i="52" s="1"/>
  <c r="B49" i="72" s="1"/>
  <c r="F119" i="9"/>
  <c r="F5" i="52" s="1"/>
  <c r="B53" i="72" s="1"/>
  <c r="D7" i="53"/>
  <c r="B21" i="72" s="1"/>
  <c r="C5" i="74"/>
  <c r="H101" i="9"/>
  <c r="H4" i="52"/>
  <c r="C104" i="9"/>
  <c r="H119" i="9"/>
  <c r="H5" i="52" s="1"/>
  <c r="D4" i="52" l="1"/>
  <c r="B47" i="72" s="1"/>
  <c r="D45" i="9"/>
  <c r="H107" i="9"/>
  <c r="M48" i="9"/>
  <c r="D5" i="53"/>
  <c r="H108" i="9" l="1"/>
  <c r="D122" i="9"/>
  <c r="D13" i="53"/>
  <c r="B20" i="72"/>
  <c r="D6" i="53"/>
  <c r="B22" i="72" s="1"/>
  <c r="C64" i="9"/>
  <c r="C63" i="9" s="1"/>
  <c r="C67" i="9" s="1"/>
  <c r="D53" i="9"/>
  <c r="C72" i="9"/>
  <c r="C93" i="9"/>
  <c r="C86" i="9" s="1"/>
  <c r="D55" i="9"/>
  <c r="M53" i="9" s="1"/>
  <c r="C78" i="9"/>
  <c r="C73" i="9" s="1"/>
  <c r="D52" i="9"/>
  <c r="C85" i="9"/>
  <c r="C79" i="9" l="1"/>
  <c r="C80" i="9" s="1"/>
  <c r="E80" i="9" s="1"/>
  <c r="E81" i="9" s="1"/>
  <c r="C95" i="9"/>
  <c r="D14" i="53"/>
  <c r="B32" i="72" s="1"/>
  <c r="B30" i="72"/>
  <c r="C68" i="9"/>
  <c r="D54" i="9" s="1"/>
  <c r="D59" i="9"/>
  <c r="M55" i="9" s="1"/>
  <c r="D8" i="52"/>
  <c r="D123" i="9"/>
  <c r="D9" i="52" s="1"/>
  <c r="D15" i="53"/>
  <c r="B31" i="72" s="1"/>
  <c r="C6" i="74"/>
  <c r="C81" i="9" l="1"/>
  <c r="C96" i="9"/>
  <c r="E96" i="9" s="1"/>
  <c r="E97" i="9" s="1"/>
  <c r="C97" i="9" l="1"/>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<sst xmlns="http://schemas.openxmlformats.org/spreadsheetml/2006/main" count="7917" uniqueCount="3463">
  <si>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</si>
  <si>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</si>
  <si>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</si>
  <si>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</si>
  <si>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</si>
  <si>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</si>
  <si>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</si>
  <si>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</si>
  <si>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</si>
  <si>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</si>
  <si>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</si>
  <si>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</si>
  <si>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</si>
  <si>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</si>
  <si>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</si>
  <si>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</si>
  <si>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</si>
  <si>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</si>
  <si>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</si>
  <si>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</si>
  <si>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</si>
  <si>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</si>
  <si>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</si>
  <si>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</si>
  <si>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</si>
  <si>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</si>
  <si>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</si>
  <si>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</si>
  <si>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</si>
  <si>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</si>
  <si>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</si>
  <si>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</si>
  <si>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</si>
  <si>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</si>
  <si>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</si>
  <si>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</si>
  <si>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</si>
  <si>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</si>
  <si>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</si>
  <si>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</si>
  <si>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</si>
  <si>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</si>
  <si>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</si>
  <si>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</si>
  <si>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</si>
  <si>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</si>
  <si>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</si>
  <si>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</si>
  <si>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</si>
  <si>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</si>
  <si>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</si>
  <si>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</si>
  <si>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</si>
  <si>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</si>
  <si>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</si>
  <si>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</si>
  <si>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</si>
  <si>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</si>
  <si>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</si>
  <si>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</si>
  <si>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</si>
  <si>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</si>
  <si>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</si>
  <si>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</si>
  <si>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</si>
  <si>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</si>
  <si>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</si>
  <si>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</si>
  <si>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</si>
  <si>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</si>
  <si>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</si>
  <si>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</si>
  <si>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</si>
  <si>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</si>
  <si>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</si>
  <si>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</si>
  <si>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</si>
  <si>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</si>
  <si>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</si>
  <si>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</si>
  <si>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</si>
  <si>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</si>
  <si>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</si>
  <si>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</si>
  <si>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</si>
  <si>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</si>
  <si>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</si>
  <si>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</si>
  <si>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</si>
  <si>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</si>
  <si>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</si>
  <si>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</si>
  <si>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</si>
  <si>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</si>
  <si>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</si>
  <si>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</si>
  <si>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</si>
  <si>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</si>
  <si>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</si>
  <si>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</si>
  <si>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</si>
  <si>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</si>
  <si>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</si>
  <si>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</si>
  <si>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</si>
  <si>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</si>
  <si>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</si>
  <si>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</si>
  <si>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</si>
  <si>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</si>
  <si>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</si>
  <si>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</si>
  <si>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</si>
  <si>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</si>
  <si>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</si>
  <si>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</si>
  <si>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</si>
  <si>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</si>
  <si>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</si>
  <si>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</si>
  <si>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</si>
  <si>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</si>
  <si>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</si>
  <si>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</si>
  <si>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</si>
  <si>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</si>
  <si>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</si>
  <si>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</si>
  <si>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</si>
  <si>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</si>
  <si>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</si>
  <si>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</si>
  <si>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</si>
  <si>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</si>
  <si>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</si>
  <si>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</si>
  <si>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</si>
  <si>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</si>
  <si>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</si>
  <si>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</si>
  <si>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</si>
  <si>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</si>
  <si>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</si>
  <si>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</si>
  <si>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</si>
  <si>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</si>
  <si>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</si>
  <si>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</si>
  <si>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</si>
  <si>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</si>
  <si>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</si>
  <si>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</si>
  <si>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</si>
  <si>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</si>
  <si>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</si>
  <si>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</si>
  <si>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</si>
  <si>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</si>
  <si>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</si>
  <si>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</si>
  <si>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</si>
  <si>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</si>
  <si>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</si>
  <si>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</si>
  <si>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</si>
  <si>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</si>
  <si>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</si>
  <si>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</si>
  <si>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</si>
  <si>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</si>
  <si>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</si>
  <si>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</si>
  <si>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</si>
  <si>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</si>
  <si>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</si>
  <si>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</si>
  <si>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</si>
  <si>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</si>
  <si>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</si>
  <si>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</si>
  <si>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</si>
  <si>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</si>
  <si>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</si>
  <si>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</si>
  <si>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</si>
  <si>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</si>
  <si>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</si>
  <si>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</si>
  <si>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</si>
  <si>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</si>
  <si>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</si>
  <si>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</si>
  <si>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</si>
  <si>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</si>
  <si>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</si>
  <si>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</si>
  <si>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</si>
  <si>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</si>
  <si>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</si>
  <si>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</si>
  <si>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</si>
  <si>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</si>
  <si>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</si>
  <si>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</si>
  <si>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</si>
  <si>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</si>
  <si>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</si>
  <si>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</si>
  <si>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</si>
  <si>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</si>
  <si>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</si>
  <si>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</si>
  <si>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</si>
  <si>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</si>
  <si>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</si>
  <si>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</si>
  <si>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</si>
  <si>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</si>
  <si>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</si>
  <si>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</si>
  <si>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</si>
  <si>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</si>
  <si>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</si>
  <si>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</si>
  <si>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</si>
  <si>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</si>
  <si>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</si>
  <si>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</si>
  <si>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</si>
  <si>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</si>
  <si>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</si>
  <si>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</si>
  <si>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</si>
  <si>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</si>
  <si>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</si>
  <si>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</si>
  <si>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</si>
  <si>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</si>
  <si>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</si>
  <si>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</si>
  <si>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</si>
  <si>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</si>
  <si>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</si>
  <si>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</si>
  <si>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</si>
  <si>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</si>
  <si>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</si>
  <si>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</si>
  <si>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</si>
  <si>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</si>
  <si>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</si>
  <si>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</si>
  <si>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</si>
  <si>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</si>
  <si>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</si>
  <si>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</si>
  <si>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</si>
  <si>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</si>
  <si>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</si>
  <si>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</si>
  <si>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</si>
  <si>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</si>
  <si>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</si>
  <si>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</si>
  <si>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</si>
  <si>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</si>
  <si>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</si>
  <si>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</si>
  <si>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</si>
  <si>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</si>
  <si>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</si>
  <si>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</si>
  <si>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</si>
  <si>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</si>
  <si>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</si>
  <si>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</si>
  <si>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</si>
  <si>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</si>
  <si>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</si>
  <si>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</si>
  <si>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</si>
  <si>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</si>
  <si>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</si>
  <si>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</si>
  <si>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</si>
  <si>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</si>
  <si>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</si>
  <si>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</si>
  <si>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</si>
  <si>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</si>
  <si>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</si>
  <si>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</si>
  <si>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</si>
  <si>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</si>
  <si>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</si>
  <si>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</si>
  <si>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</si>
  <si>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</si>
  <si>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</si>
  <si>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</si>
  <si>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</si>
  <si>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</si>
  <si>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</si>
  <si>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</si>
  <si>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</si>
  <si>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</si>
  <si>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</si>
  <si>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</si>
  <si>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</si>
  <si>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</si>
  <si>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</si>
  <si>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</si>
  <si>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</si>
  <si>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</si>
  <si>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</si>
  <si>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</si>
  <si>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</si>
  <si>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</si>
  <si>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</si>
  <si>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</si>
  <si>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</si>
  <si>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</si>
  <si>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</si>
  <si>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</si>
  <si>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</si>
  <si>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</si>
  <si>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</si>
  <si>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</si>
  <si>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</si>
  <si>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</si>
  <si>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</si>
  <si>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</si>
  <si>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</si>
  <si>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</si>
  <si>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</si>
  <si>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</si>
  <si>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</si>
  <si>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</si>
  <si>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</si>
  <si>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</si>
  <si>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</si>
  <si>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</si>
  <si>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</si>
  <si>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</si>
  <si>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</si>
  <si>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</si>
  <si>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</si>
  <si>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</si>
  <si>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</si>
  <si>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</si>
  <si>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</si>
  <si>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</si>
  <si>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</si>
  <si>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</si>
  <si>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</si>
  <si>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</si>
  <si>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</si>
  <si>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</si>
  <si>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</si>
  <si>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</si>
  <si>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</si>
  <si>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</si>
  <si>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</si>
  <si>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</si>
  <si>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</si>
  <si>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</si>
  <si>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</si>
  <si>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</si>
  <si>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</si>
  <si>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</si>
  <si>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</si>
  <si>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</si>
  <si>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</si>
  <si>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</si>
  <si>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</si>
  <si>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</si>
  <si>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</si>
  <si>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</si>
  <si>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</si>
  <si>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</si>
  <si>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</si>
  <si>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</si>
  <si>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</si>
  <si>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</si>
  <si>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</si>
  <si>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</si>
  <si>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</si>
  <si>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</si>
  <si>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</si>
  <si>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</si>
  <si>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</si>
  <si>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</si>
  <si>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</si>
  <si>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</si>
  <si>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</si>
  <si>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</si>
  <si>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</si>
  <si>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</si>
  <si>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</si>
  <si>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</si>
  <si>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</si>
  <si>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</si>
  <si>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</si>
  <si>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</si>
  <si>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</si>
  <si>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</si>
  <si>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</si>
  <si>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</si>
  <si>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</si>
  <si>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</si>
  <si>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</si>
  <si>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</si>
  <si>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</si>
  <si>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</si>
  <si>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</si>
  <si>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</si>
  <si>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</si>
  <si>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</si>
  <si>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</si>
  <si>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</si>
  <si>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</si>
  <si>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</si>
  <si>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</si>
  <si>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</si>
  <si>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</si>
  <si>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</si>
  <si>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</si>
  <si>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</si>
  <si>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</si>
  <si>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</si>
  <si>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</si>
  <si>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</si>
  <si>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</si>
  <si>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</si>
  <si>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</si>
  <si>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</si>
  <si>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</si>
  <si>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</si>
  <si>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</si>
  <si>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</si>
  <si>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</si>
  <si>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</si>
  <si>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</si>
  <si>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</si>
  <si>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</si>
  <si>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</si>
  <si>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</si>
  <si>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</si>
  <si>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</si>
  <si>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</si>
  <si>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</si>
  <si>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</si>
  <si>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</si>
  <si>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</si>
  <si>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</si>
  <si>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</si>
  <si>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</si>
  <si>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</si>
  <si>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</si>
  <si>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</si>
  <si>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</si>
  <si>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</si>
  <si>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</si>
  <si>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</si>
  <si>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</si>
  <si>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</si>
  <si>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</si>
  <si>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</si>
  <si>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</si>
  <si>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</si>
  <si>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</si>
  <si>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</si>
  <si>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</si>
  <si>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</si>
  <si>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</si>
  <si>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</si>
  <si>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</si>
  <si>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</si>
  <si>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</si>
  <si>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</si>
  <si>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</si>
  <si>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</si>
  <si>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</si>
  <si>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</si>
  <si>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</si>
  <si>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</si>
  <si>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</si>
  <si>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</si>
  <si>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</si>
  <si>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</si>
  <si>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</si>
  <si>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</si>
  <si>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</si>
  <si>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</si>
  <si>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</si>
  <si>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</si>
  <si>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</si>
  <si>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</si>
  <si>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</si>
  <si>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</si>
  <si>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</si>
  <si>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</si>
  <si>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</si>
  <si>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</si>
  <si>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</si>
  <si>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</si>
  <si>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</si>
  <si>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</si>
  <si>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</si>
  <si>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</si>
  <si>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</si>
  <si>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</si>
  <si>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</si>
  <si>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</si>
  <si>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</si>
  <si>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</si>
  <si>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</si>
  <si>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</si>
  <si>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</si>
  <si>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</si>
  <si>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</si>
  <si>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</si>
  <si>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</si>
  <si>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</si>
  <si>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</si>
  <si>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</si>
  <si>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</si>
  <si>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</si>
  <si>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</si>
  <si>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</si>
  <si>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</si>
  <si>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</si>
  <si>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</si>
  <si>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</si>
  <si>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</si>
  <si>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</si>
  <si>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</si>
  <si>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</si>
  <si>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</si>
  <si>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</si>
  <si>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</si>
  <si>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</si>
  <si>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</si>
  <si>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</si>
  <si>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</si>
  <si>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</si>
  <si>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</si>
  <si>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</si>
  <si>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</si>
  <si>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</si>
  <si>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</si>
  <si>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</si>
  <si>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</si>
  <si>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</si>
  <si>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</si>
  <si>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</si>
  <si>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</si>
  <si>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</si>
  <si>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</si>
  <si>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</si>
  <si>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</si>
  <si>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</si>
  <si>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</si>
  <si>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</si>
  <si>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</si>
  <si>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</si>
  <si>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</si>
  <si>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</si>
  <si>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</si>
  <si>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</si>
  <si>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</si>
  <si>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</si>
  <si>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</si>
  <si>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</si>
  <si>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</si>
  <si>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</si>
  <si>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</si>
  <si>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</si>
  <si>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</si>
  <si>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</si>
  <si>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</si>
  <si>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</si>
  <si>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</si>
  <si>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</si>
  <si>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</si>
  <si>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</si>
  <si>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</si>
  <si>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</si>
  <si>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</si>
  <si>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</si>
  <si>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</si>
  <si>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</si>
  <si>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</si>
  <si>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</si>
  <si>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</si>
  <si>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</si>
  <si>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</si>
  <si>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</si>
  <si>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</si>
  <si>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</si>
  <si>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</si>
  <si>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</si>
  <si>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</si>
  <si>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</si>
  <si>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</si>
  <si>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</si>
  <si>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</si>
  <si>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</si>
  <si>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</si>
  <si>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</si>
  <si>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</si>
  <si>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</si>
  <si>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</si>
  <si>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</si>
  <si>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</si>
  <si>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</si>
  <si>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</si>
  <si>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</si>
  <si>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</si>
  <si>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</si>
  <si>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</si>
  <si>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</si>
  <si>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</si>
  <si>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</si>
  <si>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</si>
  <si>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</si>
  <si>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</si>
  <si>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</si>
  <si>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</si>
  <si>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</si>
  <si>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</si>
  <si>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</si>
  <si>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</si>
  <si>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</si>
  <si>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</si>
  <si>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</si>
  <si>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</si>
  <si>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</si>
  <si>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</si>
  <si>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</si>
  <si>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</si>
  <si>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</si>
  <si>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</si>
  <si>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</si>
  <si>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</si>
  <si>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</si>
  <si>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</si>
  <si>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</si>
  <si>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</si>
  <si>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</si>
  <si>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</si>
  <si>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</si>
  <si>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</si>
  <si>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</si>
  <si>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</si>
  <si>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</si>
  <si>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</si>
  <si>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</si>
  <si>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</si>
  <si>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</si>
  <si>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</si>
  <si>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</si>
  <si>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</si>
  <si>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</si>
  <si>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</si>
  <si>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</si>
  <si>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</si>
  <si>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</si>
  <si>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</si>
  <si>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</si>
  <si>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</si>
  <si>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</si>
  <si>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</si>
  <si>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</si>
  <si>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</si>
  <si>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</si>
  <si>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</si>
  <si>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</si>
  <si>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</si>
  <si>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</si>
  <si>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</si>
  <si>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</si>
  <si>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</si>
  <si>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</si>
  <si>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</si>
  <si>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</si>
  <si>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</si>
  <si>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</si>
  <si>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</si>
  <si>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</si>
  <si>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</si>
  <si>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</si>
  <si>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</si>
  <si>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</si>
  <si>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</si>
  <si>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</si>
  <si>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</si>
  <si>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</si>
  <si>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</si>
  <si>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</si>
  <si>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</si>
  <si>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</si>
  <si>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</si>
  <si>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</si>
  <si>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</si>
  <si>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</si>
  <si>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</si>
  <si>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</si>
  <si>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</si>
  <si>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</si>
  <si>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</si>
  <si>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</si>
  <si>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</si>
  <si>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</si>
  <si>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</si>
  <si>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</si>
  <si>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</si>
  <si>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</si>
  <si>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</si>
  <si>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</si>
  <si>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</si>
  <si>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</si>
  <si>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</si>
  <si>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</si>
  <si>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</si>
  <si>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</si>
  <si>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</si>
  <si>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</si>
  <si>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</si>
  <si>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</si>
  <si>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</si>
  <si>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</si>
  <si>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</si>
  <si>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</si>
  <si>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</si>
  <si>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</si>
  <si>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</si>
  <si>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</si>
  <si>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</si>
  <si>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</si>
  <si>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</si>
  <si>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</si>
  <si>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</si>
  <si>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</si>
  <si>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</si>
  <si>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</si>
  <si>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</si>
  <si>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</si>
  <si>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</si>
  <si>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</si>
  <si>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</si>
  <si>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</si>
  <si>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</si>
  <si>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</si>
  <si>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</si>
  <si>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</si>
  <si>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</si>
  <si>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</si>
  <si>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</si>
  <si>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</si>
  <si>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</si>
  <si>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</si>
  <si>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</si>
  <si>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</si>
  <si>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</si>
  <si>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</si>
  <si>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</si>
  <si>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</si>
  <si>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</si>
  <si>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</si>
  <si>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</si>
  <si>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</si>
  <si>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</si>
  <si>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</si>
  <si>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</si>
  <si>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</si>
  <si>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</si>
  <si>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</si>
  <si>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</si>
  <si>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</si>
  <si>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</si>
  <si>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</si>
  <si>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</si>
  <si>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</si>
  <si>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</si>
  <si>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</si>
  <si>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</si>
  <si>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</si>
  <si>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</si>
  <si>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</si>
  <si>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</si>
  <si>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</si>
  <si>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</si>
  <si>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</si>
  <si>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</si>
  <si>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</si>
  <si>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</si>
  <si>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</si>
  <si>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</si>
  <si>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</si>
  <si>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</si>
  <si>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</si>
  <si>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</si>
  <si>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</si>
  <si>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</si>
  <si>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</si>
  <si>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</si>
  <si>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</si>
  <si>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</si>
  <si>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</si>
  <si>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</si>
  <si>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</si>
  <si>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</si>
  <si>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</si>
  <si>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</si>
  <si>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</si>
  <si>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</si>
  <si>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</si>
  <si>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</si>
  <si>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</si>
  <si>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</si>
  <si>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</si>
  <si>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</si>
  <si>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</si>
  <si>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</si>
  <si>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</si>
  <si>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</si>
  <si>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</si>
  <si>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</si>
  <si>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</si>
  <si>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</si>
  <si>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</si>
  <si>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</si>
  <si>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</si>
  <si>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</si>
  <si>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</si>
  <si>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</si>
  <si>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</si>
  <si>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</si>
  <si>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</si>
  <si>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</si>
  <si>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</si>
  <si>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</si>
  <si>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</si>
  <si>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</si>
  <si>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</si>
  <si>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</si>
  <si>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</si>
  <si>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</si>
  <si>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</si>
  <si>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</si>
  <si>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</si>
  <si>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</si>
  <si>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</si>
  <si>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</si>
  <si>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</si>
  <si>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</si>
  <si>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</si>
  <si>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</si>
  <si>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</si>
  <si>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</si>
  <si>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</si>
  <si>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</si>
  <si>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</si>
  <si>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</si>
  <si>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</si>
  <si>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</si>
  <si>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</si>
  <si>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</si>
  <si>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</si>
  <si>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</si>
  <si>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</si>
  <si>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</si>
  <si>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</si>
  <si>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</si>
  <si>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</si>
  <si>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</si>
  <si>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</si>
  <si>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</si>
  <si>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</si>
  <si>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</si>
  <si>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</si>
  <si>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</si>
  <si>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</si>
  <si>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</si>
  <si>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</si>
  <si>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</si>
  <si>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</si>
  <si>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</si>
  <si>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</si>
  <si>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</si>
  <si>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</si>
  <si>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</si>
  <si>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</si>
  <si>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</si>
  <si>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</si>
  <si>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</si>
  <si>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</si>
  <si>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</si>
  <si>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</si>
  <si>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</si>
  <si>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</si>
  <si>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</si>
  <si>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</si>
  <si>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</si>
  <si>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</si>
  <si>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</si>
  <si>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</si>
  <si>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</si>
  <si>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</si>
  <si>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</si>
  <si>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</si>
  <si>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</si>
  <si>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</si>
  <si>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</si>
  <si>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</si>
  <si>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</si>
  <si>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</si>
  <si>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</si>
  <si>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</si>
  <si>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</si>
  <si>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</si>
  <si>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</si>
  <si>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</si>
  <si>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</si>
  <si>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</si>
  <si>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</si>
  <si>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</si>
  <si>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</si>
  <si>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</si>
  <si>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</si>
  <si>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</si>
  <si>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</si>
  <si>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</si>
  <si>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</si>
  <si>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</si>
  <si>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</si>
  <si>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</si>
  <si>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</si>
  <si>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</si>
  <si>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</si>
  <si>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</si>
  <si>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</si>
  <si>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</si>
  <si>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</si>
  <si>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</si>
  <si>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</si>
  <si>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</si>
  <si>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</si>
  <si>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</si>
  <si>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</si>
  <si>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</si>
  <si>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</si>
  <si>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</si>
  <si>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</si>
  <si>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</si>
  <si>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</si>
  <si>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</si>
  <si>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</si>
  <si>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</si>
  <si>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</si>
  <si>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</si>
  <si>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</si>
  <si>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</si>
  <si>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</si>
  <si>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</si>
  <si>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</si>
  <si>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</si>
  <si>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</si>
  <si>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</si>
  <si>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</si>
  <si>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</si>
  <si>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</si>
  <si>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</si>
  <si>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</si>
  <si>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</si>
  <si>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</si>
  <si>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</si>
  <si>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</si>
  <si>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</si>
  <si>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</si>
  <si>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</si>
  <si>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</si>
  <si>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</si>
  <si>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</si>
  <si>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</si>
  <si>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</si>
  <si>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</si>
  <si>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</si>
  <si>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</si>
  <si>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</si>
  <si>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</si>
  <si>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</si>
  <si>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</si>
  <si>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</si>
  <si>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</si>
  <si>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</si>
  <si>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</si>
  <si>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</si>
  <si>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</si>
  <si>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</si>
  <si>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</si>
  <si>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</si>
  <si>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</si>
  <si>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</si>
  <si>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</si>
  <si>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</si>
  <si>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</si>
  <si>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</si>
  <si>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</si>
  <si>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</si>
  <si>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</si>
  <si>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</si>
  <si>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</si>
  <si>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</si>
  <si>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</si>
  <si>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</si>
  <si>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</si>
  <si>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</si>
  <si>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</si>
  <si>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</si>
  <si>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</si>
  <si>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</si>
  <si>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</si>
  <si>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</si>
  <si>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</si>
  <si>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</si>
  <si>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</si>
  <si>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</si>
  <si>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</si>
  <si>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</si>
  <si>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</si>
  <si>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</si>
  <si>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</si>
  <si>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</si>
  <si>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</si>
  <si>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</si>
  <si>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</si>
  <si>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</si>
  <si>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</si>
  <si>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</si>
  <si>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</si>
  <si>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</si>
  <si>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</si>
  <si>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</si>
  <si>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</si>
  <si>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</si>
  <si>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</si>
  <si>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</si>
  <si>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</si>
  <si>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</si>
  <si>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</si>
  <si>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</si>
  <si>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</si>
  <si>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</si>
  <si>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</si>
  <si>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</si>
  <si>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</si>
  <si>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</si>
  <si>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</si>
  <si>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</si>
  <si>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</si>
  <si>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</si>
  <si>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</si>
  <si>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</si>
  <si>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</si>
  <si>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</si>
  <si>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</si>
  <si>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</si>
  <si>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</si>
  <si>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</si>
  <si>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</si>
  <si>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</si>
  <si>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</si>
  <si>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</si>
  <si>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</si>
  <si>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</si>
  <si>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</si>
  <si>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</si>
  <si>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</si>
  <si>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</si>
  <si>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</si>
  <si>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</si>
  <si>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</si>
  <si>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</si>
  <si>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</si>
  <si>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</si>
  <si>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</si>
  <si>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</si>
  <si>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</si>
  <si>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</si>
  <si>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</si>
  <si>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</si>
  <si>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</si>
  <si>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</si>
  <si>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</si>
  <si>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</si>
  <si>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</si>
  <si>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</si>
  <si>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</si>
  <si>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</si>
  <si>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</si>
  <si>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</si>
  <si>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</si>
  <si>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</si>
  <si>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</si>
  <si>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</si>
  <si>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</si>
  <si>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</si>
  <si>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</si>
  <si>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</si>
  <si>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</si>
  <si>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</si>
  <si>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</si>
  <si>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</si>
  <si>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</si>
  <si>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</si>
  <si>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</si>
  <si>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</si>
  <si>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</si>
  <si>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</si>
  <si>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</si>
  <si>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</si>
  <si>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</si>
  <si>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</si>
  <si>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</si>
  <si>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</si>
  <si>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</si>
  <si>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</si>
  <si>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</si>
  <si>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</si>
  <si>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</si>
  <si>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</si>
  <si>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</si>
  <si>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</si>
  <si>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</si>
  <si>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</si>
  <si>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</si>
  <si>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</si>
  <si>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</si>
  <si>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</si>
  <si>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</si>
  <si>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</si>
  <si>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</si>
  <si>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</si>
  <si>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</si>
  <si>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</si>
  <si>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</si>
  <si>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</si>
  <si>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</si>
  <si>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</si>
  <si>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</si>
  <si>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</si>
  <si>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</si>
  <si>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</si>
  <si>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</si>
  <si>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</si>
  <si>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</si>
  <si>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</si>
  <si>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</si>
  <si>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</si>
  <si>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</si>
  <si>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</si>
  <si>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</si>
  <si>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</si>
  <si>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</si>
  <si>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</si>
  <si>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</si>
  <si>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</si>
  <si>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</si>
  <si>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</si>
  <si>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</si>
  <si>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</si>
  <si>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</si>
  <si>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</si>
  <si>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</si>
  <si>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</si>
  <si>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</si>
  <si>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</si>
  <si>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</si>
  <si>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</si>
  <si>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</si>
  <si>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</si>
  <si>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</si>
  <si>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</si>
  <si>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</si>
  <si>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</si>
  <si>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</si>
  <si>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</si>
  <si>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</si>
  <si>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</si>
  <si>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</si>
  <si>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</si>
  <si>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</si>
  <si>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</si>
  <si>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</si>
  <si>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</si>
  <si>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</si>
  <si>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</si>
  <si>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</si>
  <si>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</si>
  <si>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</si>
  <si>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</si>
  <si>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</si>
  <si>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</si>
  <si>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</si>
  <si>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</si>
  <si>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</si>
  <si>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</si>
  <si>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</si>
  <si>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</si>
  <si>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</si>
  <si>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</si>
  <si>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</si>
  <si>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</si>
  <si>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</si>
  <si>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</si>
  <si>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</si>
  <si>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</si>
  <si>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</si>
  <si>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</si>
  <si>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</si>
  <si>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</si>
  <si>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</si>
  <si>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</si>
  <si>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</si>
  <si>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</si>
  <si>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</si>
  <si>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</si>
  <si>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</si>
  <si>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</si>
  <si>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</si>
  <si>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</si>
  <si>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</si>
  <si>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</si>
  <si>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</si>
  <si>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</si>
  <si>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</si>
  <si>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</si>
  <si>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</si>
  <si>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</si>
  <si>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</si>
  <si>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</si>
  <si>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</si>
  <si>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</si>
  <si>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</si>
  <si>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</si>
  <si>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</si>
  <si>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</si>
  <si>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</si>
  <si>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</si>
  <si>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</si>
  <si>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</si>
  <si>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</si>
  <si>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</si>
  <si>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</si>
  <si>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</si>
  <si>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</si>
  <si>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</si>
  <si>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</si>
  <si>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</si>
  <si>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</si>
  <si>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</si>
  <si>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</si>
  <si>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</si>
  <si>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</si>
  <si>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</si>
  <si>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</si>
  <si>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</si>
  <si>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</si>
  <si>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</si>
  <si>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</si>
  <si>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</si>
  <si>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</si>
  <si>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</si>
  <si>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</si>
  <si>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</si>
  <si>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</si>
  <si>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</si>
  <si>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</si>
  <si>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</si>
  <si>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</si>
  <si>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</si>
  <si>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</si>
  <si>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</si>
  <si>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</si>
  <si>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</si>
  <si>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</si>
  <si>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</si>
  <si>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</si>
  <si>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</si>
  <si>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</si>
  <si>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</si>
  <si>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</si>
  <si>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</si>
  <si>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</si>
  <si>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</si>
  <si>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</si>
  <si>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</si>
  <si>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</si>
  <si>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</si>
  <si>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</si>
  <si>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</si>
  <si>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</si>
  <si>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</si>
  <si>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</si>
  <si>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</si>
  <si>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</si>
  <si>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</si>
  <si>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</si>
  <si>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</si>
  <si>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</si>
  <si>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</si>
  <si>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</si>
  <si>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</si>
  <si>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</si>
  <si>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</si>
  <si>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</si>
  <si>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</si>
  <si>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</si>
  <si>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</si>
  <si>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</si>
  <si>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</si>
  <si>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</si>
  <si>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</si>
  <si>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</si>
  <si>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</si>
  <si>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</si>
  <si>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</si>
  <si>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</si>
  <si>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</si>
  <si>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</si>
  <si>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</si>
  <si>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</si>
  <si>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</si>
  <si>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</si>
  <si>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</si>
  <si>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</si>
  <si>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</si>
  <si>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</si>
  <si>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</si>
  <si>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</si>
  <si>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</si>
  <si>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</si>
  <si>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</si>
  <si>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</si>
  <si>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</si>
  <si>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</si>
  <si>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</si>
  <si>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</si>
  <si>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</si>
  <si>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</si>
  <si>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</si>
  <si>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</si>
  <si>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</si>
  <si>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</si>
  <si>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</si>
  <si>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</si>
  <si>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</si>
  <si>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</si>
  <si>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</si>
  <si>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</si>
  <si>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</si>
  <si>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</si>
  <si>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</si>
  <si>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</si>
  <si>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</si>
  <si>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</si>
  <si>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</si>
  <si>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</si>
  <si>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</si>
  <si>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</si>
  <si>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</si>
  <si>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</si>
  <si>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</si>
  <si>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</si>
  <si>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</si>
  <si>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</si>
  <si>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</si>
  <si>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</si>
  <si>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</si>
  <si>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</si>
  <si>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</si>
  <si>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</si>
  <si>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</si>
  <si>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</si>
  <si>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</si>
  <si>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</si>
  <si>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</si>
  <si>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</si>
  <si>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</si>
  <si>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</si>
  <si>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</si>
  <si>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</si>
  <si>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</si>
  <si>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</si>
  <si>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</si>
  <si>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</si>
  <si>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</si>
  <si>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</si>
  <si>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</si>
  <si>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</si>
  <si>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</si>
  <si>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</si>
  <si>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</si>
  <si>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</si>
  <si>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</si>
  <si>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</si>
  <si>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</si>
  <si>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</si>
  <si>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</si>
  <si>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</si>
  <si>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</si>
  <si>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</si>
  <si>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</si>
  <si>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</si>
  <si>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</si>
  <si>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</si>
  <si>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</si>
  <si>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</si>
  <si>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</si>
  <si>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</si>
  <si>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</si>
  <si>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</si>
  <si>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</si>
  <si>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</si>
  <si>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</si>
  <si>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</si>
  <si>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</si>
  <si>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</si>
  <si>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</si>
  <si>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</si>
  <si>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</si>
  <si>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</si>
  <si>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</si>
  <si>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</si>
  <si>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</si>
  <si>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</si>
  <si>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</si>
  <si>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</si>
  <si>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</si>
  <si>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</si>
  <si>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</si>
  <si>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</si>
  <si>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</si>
  <si>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</si>
  <si>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</si>
  <si>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</si>
  <si>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</si>
  <si>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</si>
  <si>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</si>
  <si>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</si>
  <si>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</si>
  <si>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</si>
  <si>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</si>
  <si>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</si>
  <si>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</si>
  <si>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</si>
  <si>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</si>
  <si>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</si>
  <si>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</si>
  <si>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</si>
  <si>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</si>
  <si>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</si>
  <si>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</si>
  <si>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</si>
  <si>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</si>
  <si>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</si>
  <si>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</si>
  <si>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</si>
  <si>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</si>
  <si>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</si>
  <si>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</si>
  <si>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</si>
  <si>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</si>
  <si>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</si>
  <si>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</si>
  <si>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</si>
  <si>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</si>
  <si>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</si>
  <si>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</si>
  <si>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</si>
  <si>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</si>
  <si>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</si>
  <si>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</si>
  <si>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</si>
  <si>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</si>
  <si>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</si>
  <si>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</si>
  <si>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</si>
  <si>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</si>
  <si>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</si>
  <si>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</si>
  <si>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</si>
  <si>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</si>
  <si>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</si>
  <si>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</si>
  <si>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</si>
  <si>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</si>
  <si>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</si>
  <si>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</si>
  <si>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</si>
  <si>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</si>
  <si>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</si>
  <si>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</si>
  <si>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</si>
  <si>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</si>
  <si>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</si>
  <si>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</si>
  <si>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</si>
  <si>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</si>
  <si>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</si>
  <si>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</si>
  <si>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</si>
  <si>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</si>
  <si>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</si>
  <si>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</si>
  <si>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</si>
  <si>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</si>
  <si>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</si>
  <si>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</si>
  <si>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</si>
  <si>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</si>
  <si>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</si>
  <si>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</si>
  <si>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</si>
  <si>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</si>
  <si>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</si>
  <si>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</si>
  <si>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</si>
  <si>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</si>
  <si>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</si>
  <si>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</si>
  <si>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</si>
  <si>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</si>
  <si>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</si>
  <si>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</si>
  <si>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</si>
  <si>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</si>
  <si>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</si>
  <si>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</si>
  <si>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</si>
  <si>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</si>
  <si>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</si>
  <si>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</si>
  <si>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</si>
  <si>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</si>
  <si>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</si>
  <si>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</si>
  <si>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</si>
  <si>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</si>
  <si>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</si>
  <si>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</si>
  <si>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</si>
  <si>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</si>
  <si>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</si>
  <si>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</si>
  <si>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</si>
  <si>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</si>
  <si>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</si>
  <si>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</si>
  <si>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</si>
  <si>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</si>
  <si>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</si>
  <si>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</si>
  <si>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</si>
  <si>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</si>
  <si>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</si>
  <si>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</si>
  <si>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</si>
  <si>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</si>
  <si>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</si>
  <si>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</si>
  <si>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</si>
  <si>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</si>
  <si>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</si>
  <si>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</si>
  <si>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</si>
  <si>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</si>
  <si>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</si>
  <si>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</si>
  <si>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</si>
  <si>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</si>
  <si>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</si>
  <si>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</si>
  <si>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</si>
  <si>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</si>
  <si>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</si>
  <si>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</si>
  <si>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</si>
  <si>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</si>
  <si>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</si>
  <si>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</si>
  <si>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</si>
  <si>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</si>
  <si>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</si>
  <si>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</si>
  <si>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</si>
  <si>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</si>
  <si>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</si>
  <si>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</si>
  <si>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</si>
  <si>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</si>
  <si>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</si>
  <si>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</si>
  <si>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</si>
  <si>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</si>
  <si>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</si>
  <si>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</si>
  <si>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</si>
  <si>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</si>
  <si>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</si>
  <si>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</si>
  <si>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</si>
  <si>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</si>
  <si>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</si>
  <si>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</si>
  <si>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</si>
  <si>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</si>
  <si>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</si>
  <si>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</si>
  <si>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</si>
  <si>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</si>
  <si>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</si>
  <si>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</si>
  <si>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</si>
  <si>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</si>
  <si>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</si>
  <si>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</si>
  <si>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</si>
  <si>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</si>
  <si>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</si>
  <si>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</si>
  <si>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</si>
  <si>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</si>
  <si>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</si>
  <si>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</si>
  <si>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</si>
  <si>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</si>
  <si>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</si>
  <si>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</si>
  <si>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</si>
  <si>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</si>
  <si>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</si>
  <si>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</si>
  <si>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</si>
  <si>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</si>
  <si>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</si>
  <si>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</si>
  <si>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</si>
  <si>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</si>
  <si>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</si>
  <si>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</si>
  <si>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</si>
  <si>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</si>
  <si>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</si>
  <si>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</si>
  <si>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</si>
  <si>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</si>
  <si>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</si>
  <si>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</si>
  <si>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</si>
  <si>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</si>
  <si>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</si>
  <si>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</si>
  <si>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</si>
  <si>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</si>
  <si>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</si>
  <si>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</si>
  <si>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</si>
  <si>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</si>
  <si>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</si>
  <si>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</si>
  <si>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</si>
  <si>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</si>
  <si>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</si>
  <si>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</si>
  <si>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</si>
  <si>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</si>
  <si>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</si>
  <si>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</si>
  <si>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</si>
  <si>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</si>
  <si>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</si>
  <si>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</si>
  <si>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</si>
  <si>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</si>
  <si>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</si>
  <si>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</si>
  <si>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</si>
  <si>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</si>
  <si>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</si>
  <si>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</si>
  <si>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</si>
  <si>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</si>
  <si>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</si>
  <si>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</si>
  <si>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</si>
  <si>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</si>
  <si>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</si>
  <si>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</si>
  <si>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</si>
  <si>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</si>
  <si>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</si>
  <si>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</si>
  <si>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</si>
  <si>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</si>
  <si>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</si>
  <si>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</si>
  <si>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</si>
  <si>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</si>
  <si>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</si>
  <si>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</si>
  <si>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</si>
  <si>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</si>
  <si>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</si>
  <si>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</si>
  <si>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</si>
  <si>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</si>
  <si>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</si>
  <si>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</si>
  <si>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</si>
  <si>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</si>
  <si>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</si>
  <si>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</si>
  <si>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</si>
  <si>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</si>
  <si>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</si>
  <si>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</si>
  <si>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</si>
  <si>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</si>
  <si>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</si>
  <si>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</si>
  <si>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</si>
  <si>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</si>
  <si>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</si>
  <si>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</si>
  <si>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</si>
  <si>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</si>
  <si>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</si>
  <si>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</si>
  <si>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</si>
  <si>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</si>
  <si>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</si>
  <si>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</si>
  <si>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</si>
  <si>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</si>
  <si>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</si>
  <si>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</si>
  <si>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</si>
  <si>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</si>
  <si>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</si>
  <si>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</si>
  <si>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</si>
  <si>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</si>
  <si>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</si>
  <si>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</si>
  <si>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</si>
  <si>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</si>
  <si>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</si>
  <si>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</si>
  <si>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</si>
  <si>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</si>
  <si>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</si>
  <si>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</si>
  <si>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</si>
  <si>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</si>
  <si>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</si>
  <si>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</si>
  <si>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</si>
  <si>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</si>
  <si>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</si>
  <si>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</si>
  <si>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</si>
  <si>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</si>
  <si>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</si>
  <si>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</si>
  <si>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</si>
  <si>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</si>
  <si>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</si>
  <si>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</si>
  <si>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</si>
  <si>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</si>
  <si>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</si>
  <si>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</si>
  <si>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</si>
  <si>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</si>
  <si>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</si>
  <si>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</si>
  <si>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</si>
  <si>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</si>
  <si>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</si>
  <si>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</si>
  <si>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</si>
  <si>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</si>
  <si>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</si>
  <si>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</si>
  <si>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</si>
  <si>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</si>
  <si>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</si>
  <si>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</si>
  <si>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</si>
  <si>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</si>
  <si>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</si>
  <si>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</si>
  <si>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</si>
  <si>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</si>
  <si>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</si>
  <si>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</si>
  <si>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</si>
  <si>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</si>
  <si>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</si>
  <si>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</si>
  <si>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</si>
  <si>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</si>
  <si>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</si>
  <si>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</si>
  <si>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</si>
  <si>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</si>
  <si>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</si>
  <si>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</si>
  <si>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</si>
  <si>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</si>
  <si>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</si>
  <si>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</si>
  <si>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</si>
  <si>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</si>
  <si>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</si>
  <si>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</si>
  <si>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</si>
  <si>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</si>
  <si>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</si>
  <si>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</si>
  <si>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</si>
  <si>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</si>
  <si>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</si>
  <si>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</si>
  <si>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</si>
  <si>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</si>
  <si>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</si>
  <si>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</si>
  <si>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</si>
  <si>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</si>
  <si>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</si>
  <si>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</si>
  <si>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</si>
  <si>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</si>
  <si>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</si>
  <si>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</si>
  <si>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</si>
  <si>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</si>
  <si>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</si>
  <si>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</si>
  <si>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</si>
  <si>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</si>
  <si>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</si>
  <si>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</si>
  <si>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</si>
  <si>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</si>
  <si>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</si>
  <si>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</si>
  <si>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</si>
  <si>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</si>
  <si>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</si>
  <si>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</si>
  <si>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</si>
  <si>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</si>
  <si>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</si>
  <si>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</si>
  <si>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</si>
  <si>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</si>
  <si>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</si>
  <si>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</si>
  <si>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</si>
  <si>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</si>
  <si>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</si>
  <si>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</si>
  <si>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</si>
  <si>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</si>
  <si>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</si>
  <si>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</si>
  <si>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</si>
  <si>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</si>
  <si>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</si>
  <si>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</si>
  <si>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</si>
  <si>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</si>
  <si>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</si>
  <si>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</si>
  <si>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</si>
  <si>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</si>
  <si>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</si>
  <si>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</si>
  <si>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</si>
  <si>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</si>
  <si>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</si>
  <si>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</si>
  <si>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</si>
  <si>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</si>
  <si>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</si>
  <si>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</si>
  <si>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</si>
  <si>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</si>
  <si>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</si>
  <si>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</si>
  <si>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</si>
  <si>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</si>
  <si>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</si>
  <si>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</si>
  <si>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</si>
  <si>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</si>
  <si>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</si>
  <si>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</si>
  <si>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</si>
  <si>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</si>
  <si>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</si>
  <si>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</si>
  <si>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</si>
  <si>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</si>
  <si>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</si>
  <si>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</si>
  <si>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</si>
  <si>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</si>
  <si>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</si>
  <si>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</si>
  <si>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</si>
  <si>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</si>
  <si>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</si>
  <si>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</si>
  <si>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</si>
  <si>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</si>
  <si>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</si>
  <si>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</si>
  <si>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</si>
  <si>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</si>
  <si>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</si>
  <si>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</si>
  <si>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</si>
  <si>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</si>
  <si>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</si>
  <si>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</si>
  <si>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</si>
  <si>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</si>
  <si>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</si>
  <si>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</si>
  <si>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</si>
  <si>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</si>
  <si>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</si>
  <si>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</si>
  <si>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</si>
  <si>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</si>
  <si>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</si>
  <si>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</si>
  <si>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</si>
  <si>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</si>
  <si>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</si>
  <si>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</si>
  <si>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</si>
  <si>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</si>
  <si>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</si>
  <si>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</si>
  <si>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</si>
  <si>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</si>
  <si>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</si>
  <si>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</si>
  <si>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</si>
  <si>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</si>
  <si>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</si>
  <si>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</si>
  <si>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</si>
  <si>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</si>
  <si>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</si>
  <si>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</si>
  <si>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</si>
  <si>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</si>
  <si>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</si>
  <si>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</si>
  <si>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</si>
  <si>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</si>
  <si>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</si>
  <si>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</si>
  <si>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</si>
  <si>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</si>
  <si>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</si>
  <si>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</si>
  <si>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</si>
  <si>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</si>
  <si>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</si>
  <si>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</si>
  <si>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</si>
  <si>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</si>
  <si>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</si>
  <si>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</si>
  <si>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</si>
  <si>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</si>
  <si>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</si>
  <si>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</si>
  <si>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</si>
  <si>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</si>
  <si>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</si>
  <si>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</si>
  <si>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</si>
  <si>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</si>
  <si>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</si>
  <si>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</si>
  <si>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</si>
  <si>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</si>
  <si>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</si>
  <si>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</si>
  <si>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</si>
  <si>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</si>
  <si>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</si>
  <si>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</si>
  <si>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</si>
  <si>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</si>
  <si>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</si>
  <si>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</si>
  <si>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</si>
  <si>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</si>
  <si>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</si>
  <si>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</si>
  <si>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</si>
  <si>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</si>
  <si>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</si>
  <si>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</si>
  <si>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</si>
  <si>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</si>
  <si>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</si>
  <si>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</si>
  <si>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</si>
  <si>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</si>
  <si>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</si>
  <si>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</si>
  <si>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</si>
  <si>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</si>
  <si>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</si>
  <si>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</si>
  <si>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</si>
  <si>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</si>
  <si>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</si>
  <si>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</si>
  <si>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</si>
  <si>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</si>
  <si>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</si>
  <si>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</si>
  <si>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</si>
  <si>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</si>
  <si>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</si>
  <si>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</si>
  <si>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</si>
  <si>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</si>
  <si>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</si>
  <si>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</si>
  <si>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</si>
  <si>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</si>
  <si>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</si>
  <si>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</si>
  <si>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</si>
  <si>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</si>
  <si>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</si>
  <si>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</si>
  <si>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</si>
  <si>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</si>
  <si>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</si>
  <si>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</si>
  <si>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</si>
  <si>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</si>
  <si>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</si>
  <si>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</si>
  <si>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</si>
  <si>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</si>
  <si>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</si>
  <si>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</si>
  <si>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</si>
  <si>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</si>
  <si>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</si>
  <si>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</si>
  <si>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</si>
  <si>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</si>
  <si>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</si>
  <si>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</si>
  <si>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</si>
  <si>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</si>
  <si>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</si>
  <si>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</si>
  <si>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</si>
  <si>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</si>
  <si>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</si>
  <si>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</si>
  <si>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</si>
  <si>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</si>
  <si>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</si>
  <si>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</si>
  <si>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</si>
  <si>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</si>
  <si>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</si>
  <si>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</si>
  <si>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</si>
  <si>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</si>
  <si>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</si>
  <si>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</si>
  <si>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</si>
  <si>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</si>
  <si>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</si>
  <si>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</si>
  <si>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</si>
  <si>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</si>
  <si>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</si>
  <si>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</si>
  <si>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</si>
  <si>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</si>
  <si>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</si>
  <si>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</si>
  <si>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</si>
  <si>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</si>
  <si>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</si>
  <si>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</si>
  <si>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</si>
  <si>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</si>
  <si>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</si>
  <si>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</si>
  <si>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</si>
  <si>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</si>
  <si>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</si>
  <si>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</si>
  <si>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</si>
  <si>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</si>
  <si>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</si>
  <si>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</si>
  <si>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</si>
  <si>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</si>
  <si>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</si>
  <si>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</si>
  <si>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</si>
  <si>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</si>
  <si>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</si>
  <si>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</si>
  <si>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</si>
  <si>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</si>
  <si>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</si>
  <si>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</si>
  <si>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</si>
  <si>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</si>
  <si>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</si>
  <si>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</si>
  <si>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</si>
  <si>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</si>
  <si>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</si>
  <si>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</si>
  <si>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</si>
  <si>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</si>
  <si>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</si>
  <si>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</si>
  <si>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</si>
  <si>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</si>
  <si>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</si>
  <si>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</si>
  <si>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</si>
  <si>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</si>
  <si>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</si>
  <si>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</si>
  <si>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</si>
  <si>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</si>
  <si>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</si>
  <si>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</si>
  <si>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</si>
  <si>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</si>
  <si>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</si>
  <si>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</si>
  <si>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</si>
  <si>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</si>
  <si>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</si>
  <si>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</si>
  <si>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</si>
  <si>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</si>
  <si>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</si>
  <si>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</si>
  <si>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</si>
  <si>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</si>
  <si>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</si>
  <si>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</si>
  <si>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</si>
  <si>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</si>
  <si>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</si>
  <si>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</si>
  <si>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</si>
  <si>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</si>
  <si>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</si>
  <si>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</si>
  <si>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</si>
  <si>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</si>
  <si>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</si>
  <si>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</si>
  <si>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</si>
  <si>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</si>
  <si>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</si>
  <si>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</si>
  <si>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</si>
  <si>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</si>
  <si>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</si>
  <si>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</si>
  <si>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</si>
  <si>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</si>
  <si>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</si>
  <si>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</si>
  <si>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</si>
  <si>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</si>
  <si>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</si>
  <si>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</si>
  <si>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</si>
  <si>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</si>
  <si>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</si>
  <si>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</si>
  <si>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</si>
  <si>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</si>
  <si>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</si>
  <si>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</si>
  <si>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</si>
  <si>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</si>
  <si>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</si>
  <si>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</si>
  <si>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</si>
  <si>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</si>
  <si>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</si>
  <si>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</si>
  <si>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</si>
  <si>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</si>
  <si>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</si>
  <si>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</si>
  <si>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</si>
  <si>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</si>
  <si>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</si>
  <si>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</si>
  <si>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</si>
  <si>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</si>
  <si>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</si>
  <si>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</si>
  <si>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</si>
  <si>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</si>
  <si>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</si>
  <si>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</si>
  <si>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</si>
  <si>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</si>
  <si>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</si>
  <si>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</si>
  <si>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</si>
  <si>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</si>
  <si>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</si>
  <si>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</si>
  <si>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</si>
  <si>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</si>
  <si>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</si>
  <si>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</si>
  <si>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</si>
  <si>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</si>
  <si>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</si>
  <si>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</si>
  <si>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</si>
  <si>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</si>
  <si>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</si>
  <si>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</si>
  <si>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</si>
  <si>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</si>
  <si>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</si>
  <si>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</si>
  <si>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</si>
  <si>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</si>
  <si>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</si>
  <si>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</si>
  <si>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</si>
  <si>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</si>
  <si>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</si>
  <si>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</si>
  <si>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</si>
  <si>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</si>
  <si>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</si>
  <si>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</si>
  <si>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</si>
  <si>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</si>
  <si>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</si>
  <si>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</si>
  <si>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</si>
  <si>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</si>
  <si>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</si>
  <si>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</si>
  <si>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</si>
  <si>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</si>
  <si>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</si>
  <si>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</si>
  <si>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</si>
  <si>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</si>
  <si>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</si>
  <si>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</si>
  <si>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</si>
  <si>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</si>
  <si>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</si>
  <si>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</si>
  <si>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</si>
  <si>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</si>
  <si>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</si>
  <si>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</si>
  <si>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</si>
  <si>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</si>
  <si>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</si>
  <si>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</si>
  <si>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</si>
  <si>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</si>
  <si>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</si>
  <si>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</si>
  <si>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</si>
  <si>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</si>
  <si>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</si>
  <si>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</si>
  <si>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</si>
  <si>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</si>
  <si>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</si>
  <si>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</si>
  <si>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</si>
  <si>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</si>
  <si>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</si>
  <si>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</si>
  <si>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</si>
  <si>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</si>
  <si>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</si>
  <si>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</si>
  <si>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</si>
  <si>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</si>
  <si>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</si>
  <si>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</si>
  <si>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</si>
  <si>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</si>
  <si>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</si>
  <si>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</si>
  <si>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</si>
  <si>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</si>
  <si>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</si>
  <si>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</si>
  <si>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</si>
  <si>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</si>
  <si>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</si>
  <si>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</si>
  <si>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</si>
  <si>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</si>
  <si>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</si>
  <si>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</si>
  <si>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</si>
  <si>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</si>
  <si>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</si>
  <si>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</si>
  <si>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</si>
  <si>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</si>
  <si>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</si>
  <si>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</si>
  <si>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</si>
  <si>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</si>
  <si>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</si>
  <si>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</si>
  <si>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</si>
  <si>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</si>
  <si>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</si>
  <si>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</si>
  <si>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</si>
  <si>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</si>
  <si>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</si>
  <si>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</si>
  <si>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</si>
  <si>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</si>
  <si>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</si>
  <si>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</si>
  <si>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</si>
  <si>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</si>
  <si>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</si>
  <si>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</si>
  <si>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</si>
  <si>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</si>
  <si>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</si>
  <si>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</si>
  <si>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</si>
  <si>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</si>
  <si>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</si>
  <si>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</si>
  <si>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</si>
  <si>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</si>
  <si>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</si>
  <si>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</si>
  <si>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</si>
  <si>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</si>
  <si>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</si>
  <si>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</si>
  <si>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</si>
  <si>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</si>
  <si>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</si>
  <si>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</si>
  <si>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</si>
  <si>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</si>
  <si>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</si>
  <si>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</si>
  <si>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</si>
  <si>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</si>
  <si>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</si>
  <si>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</si>
  <si>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</si>
  <si>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</si>
  <si>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</si>
  <si>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</si>
  <si>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</si>
  <si>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</si>
  <si>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</si>
  <si>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</si>
  <si>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</si>
  <si>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</si>
  <si>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</si>
  <si>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</si>
  <si>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</si>
  <si>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</si>
  <si>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</si>
  <si>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</si>
  <si>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</si>
  <si>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</si>
  <si>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</si>
  <si>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</si>
  <si>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</si>
  <si>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</si>
  <si>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</si>
  <si>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</si>
  <si>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</si>
  <si>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</si>
  <si>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</si>
  <si>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</si>
  <si>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</si>
  <si>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</si>
  <si>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</si>
  <si>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</si>
  <si>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</si>
  <si>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</si>
  <si>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</si>
  <si>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</si>
  <si>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</si>
  <si>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</si>
  <si>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</si>
  <si>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</si>
  <si>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</si>
  <si>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</si>
  <si>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</si>
  <si>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</si>
  <si>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</si>
  <si>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</si>
  <si>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</si>
  <si>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</si>
  <si>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</si>
  <si>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</si>
  <si>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</si>
  <si>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</si>
  <si>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</si>
  <si>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</si>
  <si>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</si>
  <si>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</si>
  <si>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</si>
  <si>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</si>
  <si>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</si>
  <si>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</si>
  <si>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</si>
  <si>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</si>
  <si>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</si>
  <si>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</si>
  <si>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</si>
  <si>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</si>
  <si>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</si>
  <si>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</si>
  <si>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</si>
  <si>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</si>
  <si>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</si>
  <si>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</si>
  <si>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</si>
  <si>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</si>
  <si>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</si>
  <si>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</si>
  <si>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</si>
  <si>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</si>
  <si>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</si>
  <si>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</si>
  <si>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</si>
  <si>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</si>
  <si>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</si>
  <si>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</si>
  <si>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</si>
  <si>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</si>
  <si>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</si>
  <si>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</si>
  <si>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</si>
  <si>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</si>
  <si>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</si>
  <si>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</si>
  <si>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</si>
  <si>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</si>
  <si>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</si>
  <si>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</si>
  <si>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</si>
  <si>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</si>
  <si>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</si>
  <si>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</si>
  <si>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</si>
  <si>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</si>
  <si>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</si>
  <si>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</si>
  <si>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</si>
  <si>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</si>
  <si>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</si>
  <si>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</si>
  <si>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</si>
  <si>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</si>
  <si>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</si>
  <si>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</si>
  <si>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</si>
  <si>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</si>
  <si>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</si>
  <si>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</si>
  <si>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</si>
  <si>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</si>
  <si>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</si>
  <si>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</si>
  <si>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</si>
  <si>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</si>
  <si>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</si>
  <si>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</si>
  <si>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</si>
  <si>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</si>
  <si>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</si>
  <si>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</si>
  <si>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</si>
  <si>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</si>
  <si>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</si>
  <si>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</si>
  <si>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</si>
  <si>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</si>
  <si>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</si>
  <si>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</si>
  <si>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</si>
  <si>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</si>
  <si>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</si>
  <si>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</si>
  <si>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</si>
  <si>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</si>
  <si>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</si>
  <si>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</si>
  <si>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</si>
  <si>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</si>
  <si>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</si>
  <si>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</si>
  <si>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</si>
  <si>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</si>
  <si>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</si>
  <si>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</si>
  <si>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</si>
  <si>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</si>
  <si>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</si>
  <si>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</si>
  <si>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</si>
  <si>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</si>
  <si>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</si>
  <si>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</si>
  <si>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</si>
  <si>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</si>
  <si>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</si>
  <si>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</si>
  <si>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</si>
  <si>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</si>
  <si>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</si>
  <si>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</si>
  <si>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</si>
  <si>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</si>
  <si>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</si>
  <si>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</si>
  <si>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</si>
  <si>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</si>
  <si>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</si>
  <si>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</si>
  <si>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</si>
  <si>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</si>
  <si>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</si>
  <si>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</si>
  <si>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</si>
  <si>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</si>
  <si>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</si>
  <si>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</si>
  <si>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</si>
  <si>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</si>
  <si>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</si>
  <si>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</si>
  <si>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</si>
  <si>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</si>
  <si>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</si>
  <si>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</si>
  <si>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</si>
  <si>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</si>
  <si>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</si>
  <si>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</si>
  <si>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</si>
  <si>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</si>
  <si>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</si>
  <si>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</si>
  <si>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</si>
  <si>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</si>
  <si>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</si>
  <si>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</si>
  <si>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</si>
  <si>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</si>
  <si>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</si>
  <si>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</si>
  <si>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</si>
  <si>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</si>
  <si>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</si>
  <si>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</si>
  <si>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</si>
  <si>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</si>
  <si>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</si>
  <si>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</si>
  <si>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</si>
  <si>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</si>
  <si>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</si>
  <si>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</si>
  <si>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</si>
  <si>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</si>
  <si>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</si>
  <si>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</si>
  <si>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</si>
  <si>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</si>
  <si>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</si>
  <si>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</si>
  <si>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</si>
  <si>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</si>
  <si>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</si>
  <si>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</si>
  <si>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</si>
  <si>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</si>
  <si>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</si>
  <si>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</si>
  <si>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</si>
  <si>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</si>
  <si>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</si>
  <si>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</si>
  <si>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</si>
  <si>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</si>
  <si>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</si>
  <si>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</si>
  <si>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</si>
  <si>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</si>
  <si>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</si>
  <si>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</si>
  <si>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</si>
  <si>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</si>
  <si>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</si>
  <si>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</si>
  <si>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</si>
  <si>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</si>
  <si>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</si>
  <si>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</si>
  <si>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</si>
  <si>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</si>
  <si>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</si>
  <si>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</si>
  <si>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</si>
  <si>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</si>
  <si>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</si>
  <si>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</si>
  <si>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</si>
  <si>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</si>
  <si>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</si>
  <si>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</si>
  <si>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</si>
  <si>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</si>
  <si>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</si>
  <si>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</si>
  <si>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</si>
  <si>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</si>
  <si>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</si>
  <si>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</si>
  <si>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</si>
  <si>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</si>
  <si>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</si>
  <si>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</si>
  <si>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</si>
  <si>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</si>
  <si>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</si>
  <si>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</si>
  <si>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</si>
  <si>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</si>
  <si>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</si>
  <si>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</si>
  <si>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</si>
  <si>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</si>
  <si>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</si>
  <si>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</si>
  <si>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</si>
  <si>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</si>
  <si>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</si>
  <si>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</si>
  <si>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</si>
  <si>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</si>
  <si>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</si>
  <si>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</si>
  <si>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</si>
  <si>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</si>
  <si>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</si>
  <si>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</si>
  <si>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</si>
  <si>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</si>
  <si>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</si>
  <si>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</si>
  <si>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</si>
  <si>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</si>
  <si>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</si>
  <si>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</si>
  <si>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</si>
  <si>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</si>
  <si>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</si>
  <si>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</si>
  <si>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</si>
  <si>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</si>
  <si>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</si>
  <si>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</si>
  <si>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</si>
  <si>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</si>
  <si>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</si>
  <si>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</si>
  <si>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</si>
  <si>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</si>
  <si>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</si>
  <si>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</si>
  <si>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</si>
  <si>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</si>
  <si>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</si>
  <si>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</si>
  <si>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</si>
  <si>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</si>
  <si>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</si>
  <si>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</si>
  <si>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</si>
  <si>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</si>
  <si>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</si>
  <si>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</si>
  <si>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</si>
  <si>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</si>
  <si>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</si>
  <si>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</si>
  <si>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</si>
  <si>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</si>
  <si>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</si>
  <si>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</si>
  <si>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</si>
  <si>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</si>
  <si>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</si>
  <si>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</si>
  <si>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</si>
  <si>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</si>
  <si>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</si>
  <si>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</si>
  <si>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</si>
  <si>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</si>
  <si>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</si>
  <si>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</si>
  <si>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</si>
  <si>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</si>
  <si>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</si>
  <si>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</si>
  <si>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</si>
  <si>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</si>
  <si>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</si>
  <si>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</si>
  <si>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</si>
  <si>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</si>
  <si>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</si>
  <si>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</si>
  <si>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</si>
  <si>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</si>
  <si>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</si>
  <si>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</si>
  <si>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</si>
  <si>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</si>
  <si>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</si>
  <si>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</si>
  <si>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</si>
  <si>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</si>
  <si>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</si>
  <si>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</si>
  <si>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</si>
  <si>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</si>
  <si>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</si>
  <si>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</si>
  <si>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</si>
  <si>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</si>
  <si>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</si>
  <si>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</si>
  <si>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</si>
  <si>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</si>
  <si>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</si>
  <si>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</si>
  <si>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</si>
  <si>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</si>
  <si>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</si>
  <si>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</si>
  <si>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</si>
  <si>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</si>
  <si>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</si>
  <si>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</si>
  <si>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</si>
  <si>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</si>
  <si>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</si>
  <si>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</si>
  <si>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</si>
  <si>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</si>
  <si>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</si>
  <si>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</si>
  <si>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</si>
  <si>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</si>
  <si>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</si>
  <si>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</si>
  <si>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</si>
  <si>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</si>
  <si>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</si>
  <si>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</si>
  <si>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</si>
  <si>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</si>
  <si>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</si>
  <si>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</si>
  <si>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</si>
  <si>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</si>
  <si>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</si>
  <si>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</si>
  <si>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</si>
  <si>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</si>
  <si>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</si>
  <si>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</si>
  <si>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</si>
  <si>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</si>
  <si>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</si>
  <si>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</si>
  <si>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</si>
  <si>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</si>
  <si>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</si>
  <si>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</si>
  <si>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</si>
  <si>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</si>
  <si>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</si>
  <si>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</si>
  <si>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</si>
  <si>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</si>
  <si>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</si>
  <si>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</si>
  <si>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</si>
  <si>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</si>
  <si>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</si>
  <si>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</si>
  <si>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</si>
  <si>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</si>
  <si>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</si>
  <si>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</si>
  <si>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</si>
  <si>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</si>
  <si>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</si>
  <si>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</si>
  <si>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</si>
  <si>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</si>
  <si>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</si>
  <si>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</si>
  <si>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</si>
  <si>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</si>
  <si>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</si>
  <si>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</si>
  <si>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</si>
  <si>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</si>
  <si>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</si>
  <si>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</si>
  <si>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</si>
  <si>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</si>
  <si>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</si>
  <si>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</si>
  <si>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</si>
  <si>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</si>
  <si>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</si>
  <si>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</si>
  <si>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</si>
  <si>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</si>
  <si>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</si>
  <si>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</si>
  <si>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</si>
  <si>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</si>
  <si>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</si>
  <si>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</si>
  <si>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</si>
  <si>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</si>
  <si>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</si>
  <si>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</si>
  <si>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</si>
  <si>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</si>
  <si>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</si>
  <si>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</si>
  <si>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</si>
  <si>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</si>
  <si>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</si>
  <si>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</si>
  <si>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</si>
  <si>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</si>
  <si>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</si>
  <si>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</si>
  <si>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</si>
  <si>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</si>
  <si>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</si>
  <si>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</si>
  <si>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</si>
  <si>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</si>
  <si>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</si>
  <si>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</si>
  <si>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</si>
  <si>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</si>
  <si>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</si>
  <si>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</si>
  <si>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</si>
  <si>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</si>
  <si>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</si>
  <si>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</si>
  <si>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</si>
  <si>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</si>
  <si>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</si>
  <si>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</si>
  <si>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</si>
  <si>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</si>
  <si>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</si>
  <si>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</si>
  <si>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</si>
  <si>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</si>
  <si>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</si>
  <si>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</si>
  <si>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</si>
  <si>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</si>
  <si>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</si>
  <si>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</si>
  <si>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</si>
  <si>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</si>
  <si>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</si>
  <si>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</si>
  <si>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</si>
  <si>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</si>
  <si>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</si>
  <si>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</si>
  <si>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</si>
  <si>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</si>
  <si>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</si>
  <si>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</si>
  <si>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</si>
  <si>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</si>
  <si>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</si>
  <si>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</si>
  <si>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</si>
  <si>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</si>
  <si>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</si>
  <si>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</si>
  <si>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</si>
  <si>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</si>
  <si>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</si>
  <si>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</si>
  <si>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</si>
  <si>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</si>
  <si>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</si>
  <si>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</si>
  <si>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</si>
  <si>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</si>
  <si>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</si>
  <si>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</si>
  <si>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</si>
  <si>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</si>
  <si>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</si>
  <si>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</si>
  <si>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</si>
  <si>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</si>
  <si>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</si>
  <si>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</si>
  <si>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</si>
  <si>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</si>
  <si>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</si>
  <si>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</si>
  <si>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</si>
  <si>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</si>
  <si>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</si>
  <si>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</si>
  <si>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</si>
  <si>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</si>
  <si>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</si>
  <si>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</si>
  <si>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</si>
  <si>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</si>
  <si>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</si>
  <si>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</si>
  <si>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</si>
  <si>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</si>
  <si>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</si>
  <si>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</si>
  <si>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</si>
  <si>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</si>
  <si>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</si>
  <si>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</si>
  <si>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</si>
  <si>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</si>
  <si>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</si>
  <si>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</si>
  <si>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</si>
  <si>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</si>
  <si>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</si>
  <si>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</si>
  <si>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</si>
  <si>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</si>
  <si>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</si>
  <si>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</si>
  <si>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</si>
  <si>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</si>
  <si>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</si>
  <si>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</si>
  <si>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</si>
  <si>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</si>
  <si>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</si>
  <si>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</si>
  <si>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</si>
  <si>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</si>
  <si>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</si>
  <si>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</si>
  <si>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</si>
  <si>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</si>
  <si>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</si>
  <si>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</si>
  <si>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</si>
  <si>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</si>
  <si>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</si>
  <si>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</si>
  <si>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</si>
  <si>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</si>
  <si>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</si>
  <si>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</si>
  <si>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</si>
  <si>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</si>
  <si>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</si>
  <si>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</si>
  <si>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</si>
  <si>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</si>
  <si>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</si>
  <si>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</si>
  <si>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</si>
  <si>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</si>
  <si>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</si>
  <si>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</si>
  <si>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</si>
  <si>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</si>
  <si>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</si>
  <si>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</si>
  <si>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</si>
  <si>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</si>
  <si>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</si>
  <si>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</si>
  <si>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</si>
  <si>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</si>
  <si>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</si>
  <si>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</si>
  <si>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</si>
  <si>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</si>
  <si>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</si>
  <si>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</si>
  <si>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</si>
  <si>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</si>
  <si>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</si>
  <si>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</si>
  <si>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</si>
  <si>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</si>
  <si>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</si>
  <si>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</si>
  <si>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</si>
  <si>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</si>
  <si>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</si>
  <si>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</si>
  <si>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</si>
  <si>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</si>
  <si>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</si>
  <si>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</si>
  <si>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</si>
  <si>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</si>
  <si>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</si>
  <si>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</si>
  <si>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</si>
  <si>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</si>
  <si>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</si>
  <si>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</si>
  <si>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</si>
  <si>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</si>
  <si>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</si>
  <si>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</si>
  <si>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</si>
  <si>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</si>
  <si>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</si>
  <si>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</si>
  <si>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</si>
  <si>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</si>
  <si>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</si>
  <si>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</si>
  <si>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</si>
  <si>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</si>
  <si>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</si>
  <si>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</si>
  <si>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</si>
  <si>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</si>
  <si>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</si>
  <si>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</si>
  <si>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</si>
  <si>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</si>
  <si>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</si>
  <si>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</si>
  <si>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</si>
  <si>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</si>
  <si>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</si>
  <si>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</si>
  <si>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</si>
  <si>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</si>
  <si>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</si>
  <si>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</si>
  <si>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</si>
  <si>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</si>
  <si>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</si>
  <si>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</si>
  <si>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</si>
  <si>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</si>
  <si>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</si>
  <si>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</si>
  <si>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</si>
  <si>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</si>
  <si>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</si>
  <si>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</si>
  <si>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</si>
  <si>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</si>
  <si>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</si>
  <si>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</si>
  <si>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</si>
  <si>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</si>
  <si>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</si>
  <si>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</si>
  <si>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</si>
  <si>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</si>
  <si>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</si>
  <si>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</si>
  <si>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</si>
  <si>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</si>
  <si>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</si>
  <si>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</si>
  <si>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</si>
  <si>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</si>
  <si>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</si>
  <si>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</si>
  <si>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</si>
  <si>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</si>
  <si>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</si>
  <si>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</si>
  <si>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</si>
  <si>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</si>
  <si>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</si>
  <si>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</si>
  <si>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</si>
  <si>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</si>
  <si>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</si>
  <si>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</si>
  <si>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</si>
  <si>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</si>
  <si>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</si>
  <si>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</si>
  <si>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</si>
  <si>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</si>
  <si>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</si>
  <si>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</si>
  <si>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</si>
  <si>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</si>
  <si>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</si>
  <si>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</si>
  <si>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</si>
  <si>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</si>
  <si>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</si>
  <si>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</si>
  <si>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</si>
  <si>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</si>
  <si>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</si>
  <si>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</si>
  <si>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</si>
  <si>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</si>
  <si>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</si>
  <si>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</si>
  <si>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</si>
  <si>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</si>
  <si>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</si>
  <si>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</si>
  <si>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</si>
  <si>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</si>
  <si>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</si>
  <si>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</si>
  <si>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</si>
  <si>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</si>
  <si>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</si>
  <si>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</si>
  <si>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</si>
  <si>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</si>
  <si>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</si>
  <si>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</si>
  <si>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</si>
  <si>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</si>
  <si>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</si>
  <si>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</si>
  <si>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</si>
  <si>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</si>
  <si>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</si>
  <si>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</si>
  <si>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</si>
  <si>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</si>
  <si>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</si>
  <si>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</si>
  <si>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</si>
  <si>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</si>
  <si>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</si>
  <si>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</si>
  <si>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</si>
  <si>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</si>
  <si>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</si>
  <si>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</si>
  <si>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</si>
  <si>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</si>
  <si>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</si>
  <si>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</si>
  <si>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</si>
  <si>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</si>
  <si>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</si>
  <si>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</si>
  <si>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</si>
  <si>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</si>
  <si>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</si>
  <si>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</si>
  <si>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</si>
  <si>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</si>
  <si>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</si>
  <si>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</si>
  <si>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</si>
  <si>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</si>
  <si>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</si>
  <si>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</si>
  <si>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</si>
  <si>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</si>
  <si>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</si>
  <si>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</si>
  <si>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</si>
  <si>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</si>
  <si>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</si>
  <si>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</si>
  <si>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</si>
  <si>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</si>
  <si>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</si>
  <si>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</si>
  <si>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</si>
  <si>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</si>
  <si>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</si>
  <si>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</si>
  <si>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</si>
  <si>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</si>
  <si>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</si>
  <si>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</si>
  <si>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</si>
  <si>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</si>
  <si>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</si>
  <si>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</si>
  <si>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</si>
  <si>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</si>
  <si>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</si>
  <si>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</si>
  <si>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</si>
  <si>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</si>
  <si>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</si>
  <si>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</si>
  <si>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</si>
  <si>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</si>
  <si>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</si>
  <si>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</si>
  <si>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</si>
  <si>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</si>
  <si>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</si>
  <si>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</si>
  <si>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</si>
  <si>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</si>
  <si>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</si>
  <si>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</si>
  <si>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</si>
  <si>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</si>
  <si>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</si>
  <si>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</si>
  <si>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</si>
  <si>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</si>
  <si>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</si>
  <si>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</si>
  <si>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</si>
  <si>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</si>
  <si>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</si>
  <si>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</si>
  <si>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</si>
  <si>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</si>
  <si>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</si>
  <si>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</si>
  <si>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</si>
  <si>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</si>
  <si>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</si>
  <si>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</si>
  <si>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</si>
  <si>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</si>
  <si>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</si>
  <si>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</si>
  <si>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</si>
  <si>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</si>
  <si>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</si>
  <si>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</si>
  <si>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</si>
  <si>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</si>
  <si>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</si>
  <si>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</si>
  <si>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</si>
  <si>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</si>
  <si>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</si>
  <si>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</si>
  <si>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</si>
  <si>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</si>
  <si>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</si>
  <si>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</si>
  <si>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</si>
  <si>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</si>
  <si>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</si>
  <si>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</si>
  <si>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</si>
  <si>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</si>
  <si>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</si>
  <si>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</si>
  <si>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</si>
  <si>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</si>
  <si>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</si>
  <si>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</si>
  <si>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</si>
  <si>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</si>
  <si>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</si>
  <si>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</si>
  <si>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</si>
  <si>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</si>
  <si>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</si>
  <si>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</si>
  <si>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</si>
  <si>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</si>
  <si>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</si>
  <si>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</si>
  <si>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</si>
  <si>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</si>
  <si>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</si>
  <si>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</si>
  <si>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</si>
  <si>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</si>
  <si>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</si>
  <si>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</si>
  <si>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</si>
  <si>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</si>
  <si>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</si>
  <si>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</si>
  <si>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</si>
  <si>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</si>
  <si>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</si>
  <si>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</si>
  <si>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</si>
  <si>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</si>
  <si>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</si>
  <si>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</si>
  <si>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</si>
  <si>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</si>
  <si>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</si>
  <si>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</si>
  <si>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</si>
  <si>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</si>
  <si>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</si>
  <si>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</si>
  <si>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</si>
  <si>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</si>
  <si>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</si>
  <si>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</si>
  <si>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</si>
  <si>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</si>
  <si>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</si>
  <si>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</si>
  <si>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</si>
  <si>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</si>
  <si>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</si>
  <si>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</si>
  <si>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</si>
  <si>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</si>
  <si>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</si>
  <si>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</si>
  <si>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</si>
  <si>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</si>
  <si>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</si>
  <si>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</si>
  <si>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</si>
  <si>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</si>
  <si>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</si>
  <si>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</si>
  <si>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</si>
  <si>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</si>
  <si>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</si>
  <si>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</si>
  <si>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</si>
  <si>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</si>
  <si>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</si>
  <si>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</si>
  <si>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办公</t>
    <phoneticPr fontId="7" type="noConversion"/>
  </si>
  <si>
    <t>成新度</t>
  </si>
  <si>
    <t>收益法 (元)</t>
  </si>
  <si>
    <t>押一</t>
  </si>
  <si>
    <t>钢混</t>
  </si>
  <si>
    <t>非生产用房</t>
  </si>
  <si>
    <t>比较法-办公</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</si>
  <si>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</si>
  <si>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</si>
  <si>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</si>
  <si>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</si>
  <si>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</si>
  <si>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</si>
  <si>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</si>
  <si>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</si>
  <si>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</si>
  <si>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</si>
  <si>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</si>
  <si>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</si>
  <si>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中电信息大厦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</si>
  <si>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</si>
  <si>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</si>
  <si>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</si>
  <si>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</si>
  <si>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</si>
  <si>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</si>
  <si>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</si>
  <si>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</si>
  <si>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</si>
  <si>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</si>
  <si>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</si>
  <si>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</si>
  <si>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</si>
  <si>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</si>
  <si>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</si>
  <si>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</si>
  <si>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</si>
  <si>
    <t>普通</t>
    <phoneticPr fontId="3" type="noConversion"/>
  </si>
  <si>
    <t>专业</t>
  </si>
  <si>
    <t>标准层高</t>
  </si>
  <si>
    <t>标准层高</t>
    <phoneticPr fontId="31" type="noConversion"/>
  </si>
  <si>
    <t>中区</t>
  </si>
  <si>
    <t>丹棱SOHO</t>
    <phoneticPr fontId="3" type="noConversion"/>
  </si>
  <si>
    <t>低区</t>
  </si>
  <si>
    <t>现房</t>
  </si>
  <si>
    <t>项目局部</t>
  </si>
  <si>
    <r>
      <t>1201</t>
    </r>
    <r>
      <rPr>
        <sz val="10"/>
        <color indexed="8"/>
        <rFont val="宋体"/>
        <family val="3"/>
        <charset val="134"/>
      </rPr>
      <t>、</t>
    </r>
    <r>
      <rPr>
        <sz val="10"/>
        <color indexed="8"/>
        <rFont val="Arial"/>
        <family val="2"/>
      </rPr>
      <t>1202</t>
    </r>
    <r>
      <rPr>
        <sz val="10"/>
        <color indexed="8"/>
        <rFont val="宋体"/>
        <family val="3"/>
        <charset val="134"/>
      </rPr>
      <t>、</t>
    </r>
    <r>
      <rPr>
        <sz val="10"/>
        <color indexed="8"/>
        <rFont val="Arial"/>
        <family val="2"/>
      </rPr>
      <t>1203</t>
    </r>
    <r>
      <rPr>
        <sz val="10"/>
        <color indexed="8"/>
        <rFont val="宋体"/>
        <family val="3"/>
        <charset val="134"/>
      </rPr>
      <t>、</t>
    </r>
    <r>
      <rPr>
        <sz val="10"/>
        <color indexed="8"/>
        <rFont val="Arial"/>
        <family val="2"/>
      </rPr>
      <t>1205</t>
    </r>
    <r>
      <rPr>
        <sz val="10"/>
        <color indexed="8"/>
        <rFont val="宋体"/>
        <family val="3"/>
        <charset val="134"/>
      </rPr>
      <t>、</t>
    </r>
    <r>
      <rPr>
        <sz val="10"/>
        <color indexed="8"/>
        <rFont val="Arial"/>
        <family val="2"/>
      </rPr>
      <t>1212</t>
    </r>
    <phoneticPr fontId="3" type="noConversion"/>
  </si>
  <si>
    <t>写字楼</t>
    <phoneticPr fontId="3" type="noConversion"/>
  </si>
  <si>
    <t>写字楼</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</si>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</sst>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估价对象为房地产，为所有。根据《国有土地使用证》[]，估价对象（分摊）出让国有建设用地使用权面积为0平方米，建筑面积为1058.25平方米。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估价对象为房地产,属开发建设的，该项目尚在开发建设中。根据《国有土地使用证》[]，估价对象（分摊）出让国有建设用地使用权面积为0平方米，规划建筑面积为1058.25平方米。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2025年4月10日（评估专业人员实地查勘之日）</v>
      </c>
    </row>
    <row r="13" spans="1:2">
      <c r="A13" s="1119" t="s">
        <v>529</v>
      </c>
      <c r="B13" s="1120"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3555</v>
      </c>
    </row>
    <row r="21" spans="1:2">
      <c r="A21" s="1119" t="s">
        <v>537</v>
      </c>
      <c r="B21" s="1120">
        <f ca="1">'预评函-2'!D7</f>
        <v>33590</v>
      </c>
    </row>
    <row r="22" spans="1:2">
      <c r="A22" s="1119" t="s">
        <v>538</v>
      </c>
      <c r="B22" s="1120" t="str">
        <f ca="1">'预评函-2'!D6</f>
        <v>叁仟伍佰伍拾伍万元整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3555</v>
      </c>
    </row>
    <row r="31" spans="1:2">
      <c r="A31" s="1119" t="s">
        <v>576</v>
      </c>
      <c r="B31" s="1120">
        <f ca="1">'预评函-2'!D15</f>
        <v>33590</v>
      </c>
    </row>
    <row r="32" spans="1:2">
      <c r="A32" s="1119" t="s">
        <v>543</v>
      </c>
      <c r="B32" s="1120" t="str">
        <f ca="1">'预评函-2'!D14</f>
        <v>叁仟伍佰伍拾伍万元整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1058.25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12" t="s">
        <v>2575</v>
      </c>
      <c r="J2" s="3212"/>
      <c r="K2" s="3212"/>
      <c r="L2" s="3212"/>
      <c r="M2" s="3212"/>
      <c r="N2" s="3212"/>
      <c r="O2" s="3212"/>
      <c r="P2" s="3212"/>
      <c r="Q2" s="3212"/>
      <c r="R2" s="3212"/>
    </row>
    <row r="3" spans="1:18">
      <c r="A3" s="2762" t="s">
        <v>2496</v>
      </c>
      <c r="B3" s="2763">
        <f>项目基本情况!D3</f>
        <v>45757</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1.69</v>
      </c>
      <c r="D5" s="2767">
        <f>IF(ISERROR(ROUND(POWER(1+E5,A5-C5)*(POWER(1+E5,C5)-1)/(POWER(1+E5,A5)-1),3)),0,ROUND(POWER(1+E5,A5-C5)*(POWER(1+E5,C5)-1)/(POWER(1+E5,A5)-1),4))</f>
        <v>8.1000000000000003E-2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11.7</v>
      </c>
      <c r="D6" s="2767">
        <f>IF(ISERROR(ROUND(POWER(1+E6,A6-C6)*(POWER(1+E6,C6)-1)/(POWER(1+E6,A6)-1),3)),0,ROUND(POWER(1+E6,A6-C6)*(POWER(1+E6,C6)-1)/(POWER(1+E6,A6)-1),4))</f>
        <v>0.42830000000000001</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31.71</v>
      </c>
      <c r="D7" s="2767">
        <f>IF(ISERROR(ROUND(POWER(1+E7,A7-C7)*(POWER(1+E7,C7)-1)/(POWER(1+E7,A7)-1),3)),0,ROUND(POWER(1+E7,A7-C7)*(POWER(1+E7,C7)-1)/(POWER(1+E7,A7)-1),4))</f>
        <v>0.76049999999999995</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5" sqref="K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3" t="str">
        <f>IF(B10="北京市","北京市",C10)&amp;F10&amp;IF(结果表!G1="在建","出让国有建设用地使用权及在建建筑物",IF(结果表!G1="土地","出让国有建设用地使用权",))&amp;B9&amp;"预评估"</f>
        <v>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5">
        <v>45757</v>
      </c>
      <c r="C3" s="2186" t="s">
        <v>2170</v>
      </c>
      <c r="D3" s="2185">
        <f>B3</f>
        <v>45757</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3408</v>
      </c>
      <c r="C8" s="2201"/>
      <c r="D8" s="3216" t="s">
        <v>2176</v>
      </c>
      <c r="E8" s="2202"/>
      <c r="F8" s="2203"/>
      <c r="G8" s="2441"/>
      <c r="H8" s="2441"/>
      <c r="I8" s="2441"/>
      <c r="J8" s="2245"/>
      <c r="K8" s="2399"/>
      <c r="L8" s="2398"/>
      <c r="M8" s="2398"/>
      <c r="N8" s="2245"/>
      <c r="O8" s="1670"/>
      <c r="P8" s="2245"/>
      <c r="Q8" s="2245"/>
      <c r="R8" s="2245"/>
    </row>
    <row r="9" spans="1:30" ht="13.5" thickBot="1">
      <c r="A9" s="2204" t="s">
        <v>2177</v>
      </c>
      <c r="B9" s="2205" t="s">
        <v>3409</v>
      </c>
      <c r="C9" s="2206"/>
      <c r="D9" s="3217"/>
      <c r="E9" s="2205"/>
      <c r="F9" s="2207"/>
      <c r="G9" s="2442"/>
      <c r="H9" s="2442"/>
      <c r="I9" s="2442"/>
      <c r="J9" s="2245"/>
      <c r="K9" s="2401"/>
      <c r="L9" s="2398"/>
      <c r="M9" s="2398"/>
      <c r="N9" s="2245"/>
      <c r="O9" s="1670"/>
      <c r="P9" s="2245"/>
      <c r="Q9" s="2245"/>
      <c r="R9" s="2245"/>
    </row>
    <row r="10" spans="1:30" ht="13.5" thickTop="1">
      <c r="A10" s="2208" t="s">
        <v>2178</v>
      </c>
      <c r="B10" s="2209"/>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c r="C11" s="2214"/>
      <c r="D11" s="2215"/>
      <c r="E11" s="2182"/>
      <c r="F11" s="2182"/>
      <c r="G11" s="2182"/>
      <c r="H11" s="2182"/>
      <c r="I11" s="2182"/>
      <c r="J11" s="2801"/>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0" t="s">
        <v>2571</v>
      </c>
      <c r="J12" s="2802"/>
      <c r="K12" s="2398"/>
      <c r="L12" s="2398"/>
      <c r="M12" s="2245"/>
      <c r="N12" s="1670"/>
      <c r="O12" s="2245"/>
      <c r="P12" s="2245"/>
      <c r="Q12" s="2245"/>
      <c r="AD12" s="1618"/>
    </row>
    <row r="13" spans="1:30">
      <c r="A13" s="3121" t="s">
        <v>3327</v>
      </c>
      <c r="B13" s="2218" t="s">
        <v>2189</v>
      </c>
      <c r="C13" s="803"/>
      <c r="D13" s="803"/>
      <c r="E13" s="803">
        <v>52352</v>
      </c>
      <c r="F13" s="803"/>
      <c r="G13" s="803"/>
      <c r="H13" s="803"/>
      <c r="I13" s="803"/>
      <c r="J13" s="2802"/>
      <c r="K13" s="2398"/>
      <c r="L13" s="2398"/>
      <c r="M13" s="2245"/>
      <c r="N13" s="1670"/>
      <c r="O13" s="2245"/>
      <c r="P13" s="2245"/>
      <c r="Q13" s="2245"/>
      <c r="AD13" s="1618"/>
    </row>
    <row r="14" spans="1:30">
      <c r="A14" s="1018"/>
      <c r="B14" s="2218" t="s">
        <v>2190</v>
      </c>
      <c r="C14" s="2219"/>
      <c r="D14" s="2219"/>
      <c r="E14" s="2219">
        <v>50</v>
      </c>
      <c r="F14" s="2219"/>
      <c r="G14" s="2219"/>
      <c r="H14" s="2219"/>
      <c r="I14" s="2219"/>
      <c r="J14" s="2803"/>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18.059999999999999</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2192</v>
      </c>
      <c r="B16" s="3223"/>
      <c r="C16" s="3224"/>
      <c r="D16" s="3225"/>
      <c r="E16" s="2222" t="s">
        <v>2193</v>
      </c>
      <c r="F16" s="3226"/>
      <c r="G16" s="3227"/>
      <c r="H16" s="3227"/>
      <c r="I16" s="3228"/>
      <c r="J16" s="2245"/>
      <c r="K16" s="2402"/>
      <c r="L16" s="1670"/>
      <c r="M16" s="1670"/>
      <c r="N16" s="2245"/>
      <c r="O16" s="1670"/>
      <c r="P16" s="2245"/>
      <c r="Q16" s="2245"/>
      <c r="R16" s="2245"/>
    </row>
    <row r="17" spans="1:28">
      <c r="A17" s="305" t="s">
        <v>2194</v>
      </c>
      <c r="B17" s="294" t="s">
        <v>2195</v>
      </c>
      <c r="C17" s="8">
        <f>'数据-汇总表'!E3</f>
        <v>1058.25</v>
      </c>
      <c r="D17" s="1256" t="s">
        <v>2196</v>
      </c>
      <c r="E17" s="3229" t="s">
        <v>2197</v>
      </c>
      <c r="F17" s="3230"/>
      <c r="G17" s="3230"/>
      <c r="H17" s="3230"/>
      <c r="I17" s="3231"/>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32" t="s">
        <v>2201</v>
      </c>
      <c r="F18" s="3233"/>
      <c r="G18" s="3233"/>
      <c r="H18" s="3233"/>
      <c r="I18" s="3234"/>
      <c r="J18" s="2245"/>
      <c r="K18" s="2403"/>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19" t="s">
        <v>2205</v>
      </c>
      <c r="C20" s="3220"/>
      <c r="D20" s="3221" t="s">
        <v>2206</v>
      </c>
      <c r="E20" s="3222"/>
      <c r="F20" s="2429" t="s">
        <v>1056</v>
      </c>
      <c r="G20" s="2441"/>
      <c r="H20" s="2441"/>
      <c r="I20" s="2441"/>
      <c r="J20" s="2245"/>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2208</v>
      </c>
      <c r="C21" s="2295" t="s">
        <v>1057</v>
      </c>
      <c r="D21" s="1460" t="s">
        <v>2209</v>
      </c>
      <c r="E21" s="2418" t="s">
        <v>1057</v>
      </c>
      <c r="F21" s="2430"/>
      <c r="G21" s="2441"/>
      <c r="H21" s="2441"/>
      <c r="I21" s="2441"/>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2210</v>
      </c>
      <c r="C22" s="2295" t="s">
        <v>1058</v>
      </c>
      <c r="D22" s="2441"/>
      <c r="E22" s="2441"/>
      <c r="F22" s="2441"/>
      <c r="G22" s="2441"/>
      <c r="H22" s="2441"/>
      <c r="I22" s="2441"/>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36" t="s">
        <v>2213</v>
      </c>
      <c r="B27" s="312" t="s">
        <v>2214</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6"/>
      <c r="B28" s="294" t="s">
        <v>2215</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6"/>
      <c r="B29" s="294" t="s">
        <v>2216</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7"/>
      <c r="B30" s="294" t="s">
        <v>2217</v>
      </c>
      <c r="C30" s="3238"/>
      <c r="D30" s="3239"/>
      <c r="E30" s="2441"/>
      <c r="F30" s="2441"/>
      <c r="G30" s="2441"/>
      <c r="H30" s="2441"/>
      <c r="I30" s="2441"/>
      <c r="J30" s="2245"/>
      <c r="K30" s="2401"/>
      <c r="L30" s="2398"/>
      <c r="M30" s="2398"/>
      <c r="N30" s="2245"/>
      <c r="O30" s="1670"/>
      <c r="P30" s="2245"/>
      <c r="Q30" s="2245"/>
      <c r="R30" s="2245"/>
      <c r="S30" s="2245"/>
      <c r="T30" s="2245"/>
      <c r="U30" s="2245"/>
      <c r="V30" s="2245"/>
    </row>
    <row r="31" spans="1:28">
      <c r="A31" s="3240" t="s">
        <v>2218</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c r="C34" s="1870"/>
      <c r="D34" s="1870"/>
      <c r="E34" s="1870"/>
      <c r="F34" s="1870"/>
      <c r="G34" s="1870"/>
      <c r="H34" s="1870"/>
      <c r="I34" s="2441"/>
      <c r="J34" s="2245"/>
      <c r="K34" s="8">
        <f>COUNTIF(B34:H34,"——")</f>
        <v>0</v>
      </c>
      <c r="L34" s="315" t="s">
        <v>2220</v>
      </c>
      <c r="M34" s="315" t="s">
        <v>2221</v>
      </c>
      <c r="N34" s="315" t="s">
        <v>2222</v>
      </c>
      <c r="O34" s="315" t="s">
        <v>2223</v>
      </c>
      <c r="P34" s="315" t="s">
        <v>2224</v>
      </c>
      <c r="Q34" s="315" t="s">
        <v>2225</v>
      </c>
      <c r="R34" s="315" t="s">
        <v>2226</v>
      </c>
      <c r="S34" s="3235" t="s">
        <v>2227</v>
      </c>
      <c r="T34" s="315" t="str">
        <f>NUMBERSTRING(7-K34,1)&amp;"通"</f>
        <v>七通</v>
      </c>
      <c r="U34" s="2245"/>
      <c r="V34" s="2245"/>
    </row>
    <row r="35" spans="1:30">
      <c r="A35" s="2236"/>
      <c r="B35" s="3235" t="s">
        <v>2228</v>
      </c>
      <c r="C35" s="3235"/>
      <c r="D35" s="3235"/>
      <c r="E35" s="3235"/>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5"/>
      <c r="V35" s="2245"/>
    </row>
    <row r="36" spans="1:30">
      <c r="A36" s="2183"/>
      <c r="B36" s="8" t="s">
        <v>2184</v>
      </c>
      <c r="C36" s="8" t="s">
        <v>2185</v>
      </c>
      <c r="D36" s="8" t="s">
        <v>2183</v>
      </c>
      <c r="E36" s="8" t="s">
        <v>2188</v>
      </c>
      <c r="F36" s="2800" t="s">
        <v>2574</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2230</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1058.25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1058.25</v>
      </c>
      <c r="H5" s="13">
        <f t="shared" ref="H5:AT5" si="0">SUM(H13:H656)</f>
        <v>1058.25</v>
      </c>
      <c r="I5" s="13">
        <f t="shared" si="0"/>
        <v>1058.25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1058.25</v>
      </c>
      <c r="BA5" s="15">
        <f t="shared" si="1"/>
        <v>1058.25</v>
      </c>
      <c r="BB5" s="15">
        <f t="shared" si="1"/>
        <v>1058.25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628" t="s">
        <v>3459</v>
      </c>
      <c r="B13" s="628"/>
      <c r="C13" s="628"/>
      <c r="D13" s="1513" t="s">
        <v>3410</v>
      </c>
      <c r="E13" s="13">
        <f>IF($C$3="是",ROUND($A$3*G13/$B$3,2),ROUND($A$3*(G13-AT13)/$B$3,2))</f>
        <v>0</v>
      </c>
      <c r="F13" s="29"/>
      <c r="G13" s="30">
        <f>H13+AC13+AT13</f>
        <v>1058.25</v>
      </c>
      <c r="H13" s="17">
        <f>SUMIF(I$12:AB$12,"总值",I13:AB13)</f>
        <v>1058.25</v>
      </c>
      <c r="I13" s="1514">
        <v>1058.25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1201、1202、1203、1205、1212</v>
      </c>
      <c r="AW13" s="8">
        <f t="shared" si="6"/>
        <v>0</v>
      </c>
      <c r="AX13" s="8">
        <f t="shared" si="6"/>
        <v>0</v>
      </c>
      <c r="AY13" s="1260">
        <f>ROUND($AY$6*AZ13/$AZ$5,2)</f>
        <v>0</v>
      </c>
      <c r="AZ13" s="13">
        <f>BA13+BL13</f>
        <v>1058.25</v>
      </c>
      <c r="BA13" s="13">
        <f>SUM(BB13:BK13)</f>
        <v>1058.25</v>
      </c>
      <c r="BB13" s="13">
        <f>IF($D13="是",I13-J13,0)</f>
        <v>1058.25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T33" sqref="T3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1" t="s">
        <v>1131</v>
      </c>
      <c r="B2" s="3251"/>
      <c r="C2" s="3251"/>
      <c r="D2" s="748" t="s">
        <v>1107</v>
      </c>
      <c r="E2" s="1523" t="s">
        <v>1108</v>
      </c>
      <c r="F2" s="2438"/>
      <c r="G2" s="2431"/>
      <c r="H2" s="2432"/>
      <c r="I2" s="2146" t="s">
        <v>1132</v>
      </c>
      <c r="J2" s="2438"/>
      <c r="K2" s="2438"/>
      <c r="L2" s="2438"/>
      <c r="M2" s="2438"/>
      <c r="N2" s="2439"/>
      <c r="O2" s="2438"/>
      <c r="P2" s="2438"/>
    </row>
    <row r="3" spans="1:16" ht="15.75" thickBot="1">
      <c r="A3" s="3252" t="s">
        <v>1105</v>
      </c>
      <c r="B3" s="3252"/>
      <c r="C3" s="3252"/>
      <c r="D3" s="41">
        <f>'数据-基础表'!AY6</f>
        <v>0</v>
      </c>
      <c r="E3" s="41">
        <f>'数据-基础表'!AZ5</f>
        <v>1058.25</v>
      </c>
      <c r="F3" s="2438"/>
      <c r="G3" s="42"/>
      <c r="H3" s="43" t="s">
        <v>1106</v>
      </c>
      <c r="I3" s="802" t="e">
        <f>ROUND('数据-基础表'!B3/'数据-基础表'!A3,2)</f>
        <v>#DIV/0!</v>
      </c>
      <c r="J3" s="2438"/>
      <c r="K3" s="2438"/>
      <c r="L3" s="2438"/>
      <c r="M3" s="2438"/>
      <c r="N3" s="2439"/>
      <c r="O3" s="2438"/>
      <c r="P3" s="2438"/>
    </row>
    <row r="4" spans="1:16" ht="15">
      <c r="A4" s="3253"/>
      <c r="B4" s="3254"/>
      <c r="C4" s="32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6" t="s">
        <v>1110</v>
      </c>
      <c r="C5" s="325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6" t="s">
        <v>1111</v>
      </c>
      <c r="C6" s="3256"/>
      <c r="D6" s="43">
        <f>ROUND($D$3*E6/$E$3,2)</f>
        <v>0</v>
      </c>
      <c r="E6" s="44">
        <f>E3-E5</f>
        <v>1058.25</v>
      </c>
      <c r="F6" s="2438"/>
      <c r="G6" s="1529" t="s">
        <v>1112</v>
      </c>
      <c r="H6" s="45" t="s">
        <v>1113</v>
      </c>
      <c r="I6" s="2434" t="e">
        <f>ROUND(F31/D31,2)</f>
        <v>#DIV/0!</v>
      </c>
      <c r="J6" s="2438"/>
      <c r="K6" s="2438"/>
      <c r="L6" s="2438"/>
      <c r="M6" s="2438"/>
      <c r="N6" s="2438"/>
      <c r="O6" s="2438"/>
      <c r="P6" s="2438"/>
    </row>
    <row r="7" spans="1:16" ht="15.75" thickBot="1">
      <c r="A7" s="3248"/>
      <c r="B7" s="3249"/>
      <c r="C7" s="3250"/>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1058.25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1058.25</v>
      </c>
      <c r="F16" s="2438"/>
      <c r="G16" s="2438"/>
      <c r="H16" s="1531" t="s">
        <v>1135</v>
      </c>
      <c r="I16" s="1532"/>
      <c r="J16" s="1071"/>
      <c r="K16" s="3245" t="s">
        <v>1135</v>
      </c>
      <c r="L16" s="3246"/>
      <c r="M16" s="3246"/>
      <c r="N16" s="3246"/>
      <c r="O16" s="3246"/>
      <c r="P16" s="3247"/>
    </row>
    <row r="17" spans="1:19" ht="15">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3413</v>
      </c>
      <c r="D19" s="43">
        <f>ROUND($D$3*E19/$E$3,2)</f>
        <v>0</v>
      </c>
      <c r="E19" s="51">
        <f t="shared" ref="E19:E26" si="1">SUM(F19:G19)</f>
        <v>1058.25</v>
      </c>
      <c r="F19" s="2557">
        <f>'数据-基础表'!I13</f>
        <v>1058.25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1058.25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1058.25</v>
      </c>
      <c r="F27" s="1072">
        <f>IF(SUM(F19:F26)=E8,SUM(F19:F26),"地上面积有误")</f>
        <v>1058.25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1058.25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1058.25</v>
      </c>
      <c r="F31" s="644">
        <f>F27+F30</f>
        <v>1058.25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18"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45757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52352</v>
      </c>
      <c r="F6" s="61">
        <f>SUMIF(项目基本情况!C$12:I$12,C6,项目基本情况!C$15:I$15)</f>
        <v>18.059999999999999</v>
      </c>
      <c r="G6" s="62">
        <f>IF(ISERROR(ROUND(POWER(1+H6,D6-F6)*(POWER(1+H6,F6)-1)/(POWER(1+H6,D6)-1),3)),0,ROUND(POWER(1+H6,D6-F6)*(POWER(1+H6,F6)-1)/(POWER(1+H6,D6)-1),3))</f>
        <v>0.64200000000000002</v>
      </c>
      <c r="H6" s="691">
        <v>0.05</v>
      </c>
      <c r="I6" s="691">
        <v>5.5E-2</v>
      </c>
      <c r="J6" s="63">
        <v>7.0000000000000007E-2</v>
      </c>
      <c r="K6" s="970">
        <f>SUMIF('数据-汇总表'!C$19:C$33,A6,'数据-汇总表'!E$19:E$33)</f>
        <v>1058.25</v>
      </c>
      <c r="L6" s="692">
        <v>4500</v>
      </c>
      <c r="M6" s="64">
        <f t="shared" ref="M6:M14" si="0">ROUND(K6*L6/10000,0)</f>
        <v>476</v>
      </c>
      <c r="N6" s="690">
        <f>N21</f>
        <v>0.69</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4.5</v>
      </c>
      <c r="V6" s="67">
        <v>0.02</v>
      </c>
      <c r="W6" s="67">
        <v>0.1</v>
      </c>
      <c r="X6" s="979"/>
      <c r="Y6" s="68">
        <f>N6</f>
        <v>0.69</v>
      </c>
      <c r="Z6" s="69"/>
      <c r="AA6" s="63"/>
      <c r="AB6" s="63"/>
      <c r="AC6" s="979"/>
      <c r="AD6" s="70"/>
      <c r="AE6" s="980">
        <f ca="1">IF(AN6="",0,SUMIF(INDIRECT("'"&amp;AN6&amp;"'"&amp;"!E:E"),$AE$5,INDIRECT("'"&amp;AN6&amp;"'"&amp;"!F:F")))</f>
        <v>18.059999999999999</v>
      </c>
      <c r="AF6" s="74"/>
      <c r="AG6" s="130">
        <f>IF(AF6="",0,AE6-AF6)</f>
        <v>0</v>
      </c>
      <c r="AH6" s="71"/>
      <c r="AI6" s="73">
        <v>365</v>
      </c>
      <c r="AJ6" s="74"/>
      <c r="AK6" s="75">
        <v>3.0000000000000001E-3</v>
      </c>
      <c r="AL6" s="76">
        <v>1E-3</v>
      </c>
      <c r="AM6" s="77">
        <v>5.0000000000000001E-3</v>
      </c>
      <c r="AN6" s="1589" t="s">
        <v>3415</v>
      </c>
      <c r="AO6" s="50">
        <f ca="1">SUMIF(INDIRECT("'"&amp;AN6&amp;"'"&amp;"!A:A"),"总价",INDIRECT("'"&amp;AN6&amp;"'"&amp;"!B:B"))</f>
        <v>1731.2409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0.64200000000000002</v>
      </c>
      <c r="H16" s="84">
        <f>ROUND(SUMPRODUCT(H6:H13,K6:K13)/SUMPRODUCT((H6:H13&gt;0)*(K6:K13)),3)</f>
        <v>0.05</v>
      </c>
      <c r="I16" s="85"/>
      <c r="J16" s="85"/>
      <c r="K16" s="86">
        <f>SUM(K6:K15)</f>
        <v>1058.25</v>
      </c>
      <c r="L16" s="87">
        <f>ROUND(M16*10000/SUM(K6:K14),0)</f>
        <v>4498</v>
      </c>
      <c r="M16" s="87">
        <f>SUM(M6:M14)</f>
        <v>476</v>
      </c>
      <c r="N16" s="88">
        <f>ROUND(SUMPRODUCT(M6:M14,N6:N14)/M16,3)</f>
        <v>0.69</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1999</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2297</v>
      </c>
      <c r="D19" s="2451"/>
      <c r="E19" s="2438"/>
      <c r="F19" s="2438"/>
      <c r="G19" s="2438"/>
      <c r="H19" s="2438"/>
      <c r="I19" s="2438"/>
      <c r="J19" s="2438"/>
      <c r="K19" s="2449"/>
      <c r="L19" s="2449"/>
      <c r="M19" s="2448"/>
      <c r="N19" s="2448">
        <f>ROUND(1-(2025-N18)/60,2)</f>
        <v>0.56999999999999995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2295</v>
      </c>
      <c r="D20" s="2451"/>
      <c r="E20" s="2438"/>
      <c r="F20" s="2438"/>
      <c r="G20" s="2438"/>
      <c r="H20" s="2438"/>
      <c r="I20" s="2438"/>
      <c r="J20" s="2438"/>
      <c r="K20" s="2449"/>
      <c r="L20" s="2449"/>
      <c r="M20" s="2448"/>
      <c r="N20" s="2448">
        <v>0.8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f>ROUND((N19+N20)/2,2)</f>
        <v>0.69</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57" t="s">
        <v>2281</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2277</v>
      </c>
      <c r="D2" s="1595"/>
      <c r="E2" s="2260"/>
      <c r="F2" s="2263"/>
      <c r="G2" s="2262" t="s">
        <v>2278</v>
      </c>
      <c r="H2" s="751"/>
      <c r="I2" s="751"/>
      <c r="J2" s="751"/>
      <c r="K2" s="751"/>
      <c r="L2" s="751"/>
      <c r="M2" s="751"/>
      <c r="N2" s="751"/>
      <c r="O2" s="751"/>
      <c r="P2" s="751"/>
      <c r="Q2" s="751"/>
    </row>
    <row r="3" spans="1:29" ht="25.5">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24">
      <c r="A5" s="2248"/>
      <c r="B5" s="315" t="s">
        <v>2256</v>
      </c>
      <c r="C5" s="3164" t="s">
        <v>3426</v>
      </c>
      <c r="D5" s="2266"/>
      <c r="E5" s="2270"/>
      <c r="F5" s="315" t="s">
        <v>2257</v>
      </c>
      <c r="G5" s="2271" t="s">
        <v>2258</v>
      </c>
      <c r="H5" s="751"/>
      <c r="I5" s="751"/>
      <c r="J5" s="751"/>
      <c r="K5" s="751"/>
      <c r="L5" s="751"/>
      <c r="M5" s="751"/>
      <c r="N5" s="751"/>
      <c r="O5" s="751"/>
      <c r="P5" s="751"/>
      <c r="Q5" s="751"/>
    </row>
    <row r="6" spans="1:29" ht="36">
      <c r="A6" s="2248"/>
      <c r="B6" s="315" t="s">
        <v>2259</v>
      </c>
      <c r="C6" s="3165" t="s">
        <v>3427</v>
      </c>
      <c r="D6" s="2266"/>
      <c r="E6" s="2270"/>
      <c r="F6" s="315" t="s">
        <v>2260</v>
      </c>
      <c r="G6" s="2271" t="s">
        <v>2261</v>
      </c>
      <c r="H6" s="751"/>
      <c r="I6" s="751"/>
      <c r="J6" s="751"/>
      <c r="K6" s="751"/>
      <c r="L6" s="751"/>
      <c r="M6" s="751"/>
      <c r="N6" s="751"/>
      <c r="O6" s="751"/>
      <c r="P6" s="751"/>
      <c r="Q6" s="751"/>
    </row>
    <row r="7" spans="1:29" ht="24.75" thickBot="1">
      <c r="A7" s="2248"/>
      <c r="B7" s="315" t="s">
        <v>2257</v>
      </c>
      <c r="C7" s="3165" t="s">
        <v>3430</v>
      </c>
      <c r="D7" s="2245"/>
      <c r="E7" s="2272"/>
      <c r="F7" s="2273" t="s">
        <v>2262</v>
      </c>
      <c r="G7" s="2274" t="s">
        <v>2263</v>
      </c>
      <c r="H7" s="751"/>
      <c r="I7" s="751"/>
      <c r="J7" s="751"/>
      <c r="K7" s="751"/>
      <c r="L7" s="751"/>
      <c r="M7" s="751"/>
      <c r="N7" s="751"/>
      <c r="O7" s="751"/>
      <c r="P7" s="751"/>
      <c r="Q7" s="751"/>
    </row>
    <row r="8" spans="1:29" ht="32.450000000000003" customHeight="1">
      <c r="A8" s="2248"/>
      <c r="B8" s="315" t="s">
        <v>2260</v>
      </c>
      <c r="C8" s="3165" t="s">
        <v>3429</v>
      </c>
      <c r="D8" s="2245"/>
      <c r="E8" s="2245"/>
      <c r="F8" s="121"/>
      <c r="G8" s="121"/>
      <c r="H8" s="751"/>
      <c r="I8" s="751"/>
      <c r="J8" s="751"/>
      <c r="K8" s="751"/>
      <c r="L8" s="751"/>
      <c r="M8" s="751"/>
      <c r="N8" s="751"/>
      <c r="O8" s="751"/>
      <c r="P8" s="751"/>
      <c r="Q8" s="751"/>
    </row>
    <row r="9" spans="1:29" ht="36">
      <c r="A9" s="2248"/>
      <c r="B9" s="315" t="s">
        <v>2264</v>
      </c>
      <c r="C9" s="3164" t="s">
        <v>3428</v>
      </c>
      <c r="D9" s="2266"/>
      <c r="E9" s="2245"/>
      <c r="F9" s="121"/>
      <c r="G9" s="121"/>
      <c r="H9" s="751"/>
      <c r="I9" s="751"/>
      <c r="J9" s="751"/>
      <c r="K9" s="751"/>
      <c r="L9" s="751"/>
      <c r="M9" s="751"/>
      <c r="N9" s="751"/>
      <c r="O9" s="751"/>
      <c r="P9" s="751"/>
      <c r="Q9" s="751"/>
    </row>
    <row r="10" spans="1:29" ht="15" thickBot="1">
      <c r="A10" s="2249"/>
      <c r="B10" s="2275" t="s">
        <v>2265</v>
      </c>
      <c r="C10" s="3166" t="s">
        <v>3431</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2282</v>
      </c>
      <c r="B13" s="2279"/>
      <c r="C13" s="2279"/>
      <c r="D13" s="2278"/>
      <c r="E13" s="2279"/>
      <c r="F13" s="2279"/>
      <c r="G13" s="2279"/>
    </row>
    <row r="14" spans="1:29" ht="15" thickBot="1">
      <c r="A14" s="2284"/>
      <c r="B14" s="2284"/>
      <c r="C14" s="2285" t="s">
        <v>2266</v>
      </c>
      <c r="D14" s="2266"/>
      <c r="E14" s="2286"/>
      <c r="F14" s="2286"/>
      <c r="G14" s="2262" t="s">
        <v>2267</v>
      </c>
    </row>
    <row r="15" spans="1:29" ht="25.5">
      <c r="A15" s="2250" t="s">
        <v>2268</v>
      </c>
      <c r="B15" s="2287" t="s">
        <v>2251</v>
      </c>
      <c r="C15" s="2288">
        <f>C3</f>
        <v>0</v>
      </c>
      <c r="D15" s="2266"/>
      <c r="E15" s="2251" t="s">
        <v>2269</v>
      </c>
      <c r="F15" s="2287" t="s">
        <v>2270</v>
      </c>
      <c r="G15" s="2289" t="str">
        <f>G3</f>
        <v>估价对象位于XX开发区，园区建设成熟度XX，产业集聚程度XX</v>
      </c>
    </row>
    <row r="16" spans="1:29" ht="38.25">
      <c r="A16" s="2252"/>
      <c r="B16" s="2290" t="s">
        <v>2253</v>
      </c>
      <c r="C16" s="2291">
        <f>C4</f>
        <v>0</v>
      </c>
      <c r="D16" s="2266"/>
      <c r="E16" s="2253"/>
      <c r="F16" s="2292" t="s">
        <v>2254</v>
      </c>
      <c r="G16" s="2293" t="str">
        <f>G4</f>
        <v>估价对象周边道路状况、公共交通通达情况、停车便捷程度，综合评价交通便捷度较好</v>
      </c>
    </row>
    <row r="17" spans="1:17" ht="25.5">
      <c r="A17" s="2252"/>
      <c r="B17" s="2290" t="s">
        <v>2256</v>
      </c>
      <c r="C17" s="2291" t="str">
        <f>C5</f>
        <v>周边有铸诚大厦、天作国际等较多办公项目，办公集聚程度较好</v>
      </c>
      <c r="D17" s="2245"/>
      <c r="E17" s="2253"/>
      <c r="F17" s="2292" t="s">
        <v>2271</v>
      </c>
      <c r="G17" s="2294"/>
    </row>
    <row r="18" spans="1:17" ht="38.25">
      <c r="A18" s="2252"/>
      <c r="B18" s="2292" t="s">
        <v>2259</v>
      </c>
      <c r="C18" s="2293" t="str">
        <f>C6</f>
        <v>有695、323、425路等公交路线经过，紧邻地铁4号线——人民大学站，交通便捷度较好</v>
      </c>
      <c r="D18" s="2245"/>
      <c r="E18" s="2253"/>
      <c r="F18" s="2292" t="s">
        <v>2262</v>
      </c>
      <c r="G18" s="2293" t="str">
        <f>G7</f>
        <v>该园区内是否有污染型企业，绿化情况，卫生条件，整体环境状况判断</v>
      </c>
    </row>
    <row r="19" spans="1:17" ht="25.5">
      <c r="A19" s="2252"/>
      <c r="B19" s="2292" t="s">
        <v>2272</v>
      </c>
      <c r="C19" s="2294"/>
      <c r="D19" s="2266"/>
      <c r="E19" s="2253"/>
      <c r="F19" s="315" t="s">
        <v>2257</v>
      </c>
      <c r="G19" s="2293" t="str">
        <f>G5</f>
        <v>估价对象所在区域公共配套设施齐备情况</v>
      </c>
    </row>
    <row r="20" spans="1:17" ht="38.25">
      <c r="A20" s="2252"/>
      <c r="B20" s="2292" t="s">
        <v>2273</v>
      </c>
      <c r="C20" s="2291" t="str">
        <f>C9</f>
        <v>周边有动物园、北京艺术博物馆、双榆树公园等自然人文环境，质量较好</v>
      </c>
      <c r="D20" s="2245"/>
      <c r="E20" s="2253"/>
      <c r="F20" s="315" t="s">
        <v>2260</v>
      </c>
      <c r="G20" s="2293" t="str">
        <f>G6</f>
        <v>估价对象所在区域基础设施水平</v>
      </c>
    </row>
    <row r="21" spans="1:17" ht="25.5">
      <c r="A21" s="2252"/>
      <c r="B21" s="315" t="s">
        <v>2257</v>
      </c>
      <c r="C21" s="2293" t="str">
        <f>C7</f>
        <v>估价对象所在区域公共配套设施较齐备</v>
      </c>
      <c r="D21" s="2266"/>
      <c r="E21" s="2253"/>
      <c r="F21" s="2292" t="s">
        <v>2274</v>
      </c>
      <c r="G21" s="2295"/>
    </row>
    <row r="22" spans="1:17" ht="13.5" customHeight="1">
      <c r="A22" s="2252"/>
      <c r="B22" s="315" t="s">
        <v>2260</v>
      </c>
      <c r="C22" s="2293" t="str">
        <f>C8</f>
        <v>估价对象所在区域基础设施水平较好</v>
      </c>
      <c r="D22" s="2266"/>
      <c r="E22" s="2253"/>
      <c r="F22" s="2292" t="s">
        <v>2265</v>
      </c>
      <c r="G22" s="2294"/>
    </row>
    <row r="23" spans="1:17" s="751" customFormat="1" ht="15" thickBot="1">
      <c r="A23" s="2252"/>
      <c r="B23" s="2292" t="s">
        <v>2274</v>
      </c>
      <c r="C23" s="2295"/>
      <c r="D23" s="1614"/>
      <c r="E23" s="2254"/>
      <c r="F23" s="2296" t="s">
        <v>2275</v>
      </c>
      <c r="G23" s="2297"/>
      <c r="H23" s="2276"/>
      <c r="I23" s="2276"/>
      <c r="J23" s="2276"/>
      <c r="K23" s="2276"/>
      <c r="L23" s="2276"/>
      <c r="M23" s="2276"/>
      <c r="N23" s="2276"/>
      <c r="O23" s="2276"/>
      <c r="P23" s="2276"/>
      <c r="Q23" s="2276"/>
    </row>
    <row r="24" spans="1:17" s="751" customFormat="1" ht="15" thickBot="1">
      <c r="A24" s="2255"/>
      <c r="B24" s="2296" t="s">
        <v>2276</v>
      </c>
      <c r="C24" s="2298" t="str">
        <f>C10</f>
        <v>次干道-中关村南大街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7" sqref="H3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1058.25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45757</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3554.6617999999999</v>
      </c>
      <c r="C5" s="2299">
        <f ca="1">IF(B5=D14,结果表!H102,ROUND(B5*10000/$B$1,0))</f>
        <v>33590</v>
      </c>
      <c r="D5" s="2299" t="e">
        <f ca="1">ROUND(B5*10000/$B$2,0)</f>
        <v>#DIV/0!</v>
      </c>
      <c r="E5" s="2461"/>
      <c r="F5" s="2462"/>
      <c r="G5" s="2462"/>
      <c r="H5" s="2462"/>
      <c r="I5" s="2462"/>
      <c r="J5" s="2462"/>
      <c r="K5" s="2462"/>
    </row>
    <row r="6" spans="1:11" ht="16.5">
      <c r="A6" s="2299" t="s">
        <v>656</v>
      </c>
      <c r="B6" s="2299">
        <f ca="1">SUM(G14:G23)</f>
        <v>3554.6617999999999</v>
      </c>
      <c r="C6" s="2299">
        <f ca="1">IF(B6=G14,结果表!H108,ROUND(B6*10000/$B$1,0))</f>
        <v>33590</v>
      </c>
      <c r="D6" s="2299" t="e">
        <f ca="1">ROUND(B6*10000/$B$2,0)</f>
        <v>#DIV/0!</v>
      </c>
      <c r="E6" s="3259" t="str">
        <f ca="1">NUMBERSTRING(INT(B6*10000),2)&amp;"元整"</f>
        <v>叁仟伍佰伍拾肆万陆仟陆佰壹拾捌元整</v>
      </c>
      <c r="F6" s="3260"/>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3351</v>
      </c>
      <c r="D10" s="2299" t="s">
        <v>3352</v>
      </c>
      <c r="E10" s="3136"/>
      <c r="F10" s="3140" t="s">
        <v>3353</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1058.25</v>
      </c>
      <c r="C14" s="2305"/>
      <c r="D14" s="2305">
        <f ca="1">ROUND(E14*B14/10000,4)</f>
        <v>3554.6617999999999</v>
      </c>
      <c r="E14" s="2305">
        <f ca="1">结果表!G20</f>
        <v>33590</v>
      </c>
      <c r="F14" s="2305" t="e">
        <f ca="1">ROUND(D14*10000/C14,0)</f>
        <v>#DIV/0!</v>
      </c>
      <c r="G14" s="2305">
        <f ca="1">D14</f>
        <v>3554.6617999999999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mergeCells count="1">
    <mergeCell ref="E6:F6"/>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13" zoomScaleNormal="100" zoomScaleSheetLayoutView="100" zoomScalePageLayoutView="80" workbookViewId="0">
      <selection activeCell="H25" sqref="H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3457</v>
      </c>
      <c r="H1" s="1621" t="str">
        <f>IF(G1="现房","——","估价对象范围")</f>
        <v>——</v>
      </c>
      <c r="I1" s="1622" t="s">
        <v>3458</v>
      </c>
    </row>
    <row r="2" spans="1:12" ht="21.75" customHeight="1" thickBot="1">
      <c r="A2" s="3328" t="str">
        <f>项目基本情况!S2</f>
        <v>房地产</v>
      </c>
      <c r="B2" s="3329"/>
      <c r="C2" s="3329"/>
      <c r="D2" s="3329"/>
      <c r="E2" s="3329"/>
      <c r="F2" s="3329"/>
      <c r="G2" s="3329"/>
      <c r="H2" s="3329"/>
      <c r="I2" s="3330"/>
    </row>
    <row r="3" spans="1:12" ht="12.75">
      <c r="A3" s="3332" t="s">
        <v>1264</v>
      </c>
      <c r="B3" s="3333"/>
      <c r="C3" s="3333"/>
      <c r="D3" s="3333"/>
      <c r="E3" s="3333"/>
      <c r="F3" s="3333"/>
      <c r="G3" s="3333"/>
      <c r="H3" s="3333"/>
      <c r="I3" s="3333"/>
    </row>
    <row r="4" spans="1:12" ht="14.25">
      <c r="A4" s="1624" t="s">
        <v>1265</v>
      </c>
      <c r="B4" s="1625" t="s">
        <v>1266</v>
      </c>
      <c r="C4" s="1626" t="s">
        <v>3419</v>
      </c>
      <c r="D4" s="1626" t="s">
        <v>3415</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1268</v>
      </c>
      <c r="B5" s="3331">
        <v>25</v>
      </c>
      <c r="C5" s="3334"/>
      <c r="D5" s="3322"/>
      <c r="E5" s="123" t="s">
        <v>1269</v>
      </c>
      <c r="F5" s="1627"/>
      <c r="G5" s="1627"/>
      <c r="H5" s="1627"/>
      <c r="I5" s="1281"/>
    </row>
    <row r="6" spans="1:12" ht="12.75">
      <c r="A6" s="3276"/>
      <c r="B6" s="3331"/>
      <c r="C6" s="3336"/>
      <c r="D6" s="3322"/>
      <c r="E6" s="123" t="s">
        <v>1270</v>
      </c>
      <c r="F6" s="1627"/>
      <c r="G6" s="1627"/>
      <c r="H6" s="1627"/>
      <c r="I6" s="1281"/>
    </row>
    <row r="7" spans="1:12" ht="12.75">
      <c r="A7" s="3276"/>
      <c r="B7" s="3331"/>
      <c r="C7" s="3335"/>
      <c r="D7" s="3322"/>
      <c r="E7" s="123" t="s">
        <v>1271</v>
      </c>
      <c r="F7" s="1627"/>
      <c r="G7" s="1627"/>
      <c r="H7" s="1627"/>
      <c r="I7" s="1281"/>
    </row>
    <row r="8" spans="1:12" ht="12.75">
      <c r="A8" s="3276" t="s">
        <v>1272</v>
      </c>
      <c r="B8" s="3331">
        <v>15</v>
      </c>
      <c r="C8" s="3334"/>
      <c r="D8" s="3322"/>
      <c r="E8" s="123" t="s">
        <v>1273</v>
      </c>
      <c r="F8" s="1627"/>
      <c r="G8" s="1627"/>
      <c r="H8" s="1627"/>
      <c r="I8" s="1281"/>
    </row>
    <row r="9" spans="1:12" ht="12.75">
      <c r="A9" s="3276"/>
      <c r="B9" s="3331"/>
      <c r="C9" s="3335"/>
      <c r="D9" s="3322"/>
      <c r="E9" s="123" t="s">
        <v>1274</v>
      </c>
      <c r="F9" s="1627"/>
      <c r="G9" s="1627"/>
      <c r="H9" s="1627"/>
      <c r="I9" s="1281"/>
    </row>
    <row r="10" spans="1:12" ht="12.75">
      <c r="A10" s="3276" t="s">
        <v>1275</v>
      </c>
      <c r="B10" s="3331">
        <v>15</v>
      </c>
      <c r="C10" s="3334"/>
      <c r="D10" s="3322"/>
      <c r="E10" s="123" t="s">
        <v>1276</v>
      </c>
      <c r="F10" s="1627"/>
      <c r="G10" s="1627"/>
      <c r="H10" s="1627"/>
      <c r="I10" s="1281"/>
    </row>
    <row r="11" spans="1:12" ht="12.75">
      <c r="A11" s="3276"/>
      <c r="B11" s="3331"/>
      <c r="C11" s="3335"/>
      <c r="D11" s="3322"/>
      <c r="E11" s="123" t="s">
        <v>1277</v>
      </c>
      <c r="F11" s="1627"/>
      <c r="G11" s="1627"/>
      <c r="H11" s="1627"/>
      <c r="I11" s="1281"/>
    </row>
    <row r="12" spans="1:12" ht="12.75">
      <c r="A12" s="3276" t="s">
        <v>1278</v>
      </c>
      <c r="B12" s="3331">
        <v>15</v>
      </c>
      <c r="C12" s="3334"/>
      <c r="D12" s="3322"/>
      <c r="E12" s="123" t="s">
        <v>1279</v>
      </c>
      <c r="F12" s="1627"/>
      <c r="G12" s="1627"/>
      <c r="H12" s="1627"/>
      <c r="I12" s="1281"/>
    </row>
    <row r="13" spans="1:12" ht="12.75">
      <c r="A13" s="3276"/>
      <c r="B13" s="3331"/>
      <c r="C13" s="3335"/>
      <c r="D13" s="3322"/>
      <c r="E13" s="123" t="s">
        <v>1280</v>
      </c>
      <c r="F13" s="1627"/>
      <c r="G13" s="1627"/>
      <c r="H13" s="1627"/>
      <c r="I13" s="1281"/>
    </row>
    <row r="14" spans="1:12" ht="12.75">
      <c r="A14" s="3276" t="s">
        <v>1281</v>
      </c>
      <c r="B14" s="3331">
        <v>30</v>
      </c>
      <c r="C14" s="3334">
        <v>7</v>
      </c>
      <c r="D14" s="3322">
        <v>3</v>
      </c>
      <c r="E14" s="123" t="s">
        <v>1282</v>
      </c>
      <c r="F14" s="1627"/>
      <c r="G14" s="1627"/>
      <c r="H14" s="1627"/>
      <c r="I14" s="1281"/>
    </row>
    <row r="15" spans="1:12" ht="12.75">
      <c r="A15" s="3276"/>
      <c r="B15" s="3331"/>
      <c r="C15" s="3336"/>
      <c r="D15" s="3322"/>
      <c r="E15" s="123" t="s">
        <v>1283</v>
      </c>
      <c r="F15" s="1627"/>
      <c r="G15" s="1627"/>
      <c r="H15" s="1627"/>
      <c r="I15" s="1281"/>
    </row>
    <row r="16" spans="1:12" ht="12.75">
      <c r="A16" s="3276"/>
      <c r="B16" s="3331"/>
      <c r="C16" s="3335"/>
      <c r="D16" s="3322"/>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3" t="s">
        <v>2130</v>
      </c>
      <c r="F18" s="3354"/>
      <c r="G18" s="3354"/>
      <c r="H18" s="3354"/>
      <c r="I18" s="3354"/>
      <c r="K18" s="294" t="s">
        <v>1289</v>
      </c>
      <c r="L18" s="294">
        <f>IF(C1="",'数据-汇总表'!E3,SUMIF(项目类型,C1,'数据-汇总表'!E17:E26)+SUMIF(项目类型,C1,'数据-汇总表'!I17:I26))</f>
        <v>1058.25</v>
      </c>
      <c r="M18" s="294">
        <f>IF(C1="",'数据-汇总表'!E3,SUMIF(项目类型,C1,'数据-汇总表'!E17:E26))</f>
        <v>1058.25</v>
      </c>
    </row>
    <row r="19" spans="1:36" ht="15">
      <c r="A19" s="1630" t="s">
        <v>1290</v>
      </c>
      <c r="B19" s="1631" t="s">
        <v>1291</v>
      </c>
      <c r="C19" s="126">
        <f ca="1">SUMIF(INDIRECT("'"&amp;C4&amp;"'"&amp;"!A:A"),结果表!B19,INDIRECT("'"&amp;C4&amp;"'"&amp;"!B:B"))</f>
        <v>4336.0735999999997</v>
      </c>
      <c r="D19" s="127">
        <f ca="1">SUMIF(INDIRECT("'"&amp;D4&amp;"'"&amp;"!A:A"),结果表!B19,INDIRECT("'"&amp;D4&amp;"'"&amp;"!B:B"))</f>
        <v>1731.2409</v>
      </c>
      <c r="E19" s="1630" t="s">
        <v>1292</v>
      </c>
      <c r="F19" s="1631" t="s">
        <v>1291</v>
      </c>
      <c r="G19" s="128">
        <f ca="1">ROUND(C19*$C$18+D19*$D$18,0)</f>
        <v>3555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40974</v>
      </c>
      <c r="D20" s="130">
        <f ca="1">SUMIF(INDIRECT("'"&amp;D4&amp;"'"&amp;"!A:A"),结果表!B20,INDIRECT("'"&amp;D4&amp;"'"&amp;"!B:B"))</f>
        <v>16359</v>
      </c>
      <c r="E20" s="1633"/>
      <c r="F20" s="43" t="s">
        <v>1295</v>
      </c>
      <c r="G20" s="131">
        <f ca="1">ROUND(C20*$C$18+D20*$D$18,0)</f>
        <v>33590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1.5046044140939596</v>
      </c>
      <c r="E22" s="121"/>
      <c r="F22" s="121"/>
      <c r="G22" s="121"/>
      <c r="H22" s="121"/>
      <c r="I22" s="121"/>
    </row>
    <row r="23" spans="1:36" ht="13.5" thickBot="1">
      <c r="A23" s="646"/>
      <c r="B23" s="646"/>
      <c r="C23" s="646"/>
      <c r="D23" s="646"/>
      <c r="E23" s="121"/>
      <c r="F23" s="121"/>
      <c r="G23" s="121"/>
      <c r="H23" s="121"/>
      <c r="I23" s="121"/>
    </row>
    <row r="24" spans="1:36" ht="14.25">
      <c r="A24" s="3346" t="s">
        <v>1299</v>
      </c>
      <c r="B24" s="1631" t="s">
        <v>1291</v>
      </c>
      <c r="C24" s="128">
        <f>IF(B30=0,0,D30)</f>
        <v>0</v>
      </c>
      <c r="D24" s="1637"/>
      <c r="E24" s="121"/>
      <c r="F24" s="121"/>
      <c r="G24" s="121">
        <f ca="1">ROUND(G20*L18,0)</f>
        <v>35546618</v>
      </c>
      <c r="H24" s="121"/>
      <c r="I24" s="121"/>
    </row>
    <row r="25" spans="1:36" ht="14.25">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33590</v>
      </c>
      <c r="D32" s="1641" t="s">
        <v>3462</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3" t="s">
        <v>1312</v>
      </c>
      <c r="B36" s="1652" t="s">
        <v>1313</v>
      </c>
      <c r="C36" s="137"/>
      <c r="D36" s="1653"/>
      <c r="E36" s="1567"/>
      <c r="F36" s="1654"/>
      <c r="G36" s="121"/>
      <c r="H36" s="121"/>
      <c r="I36" s="121"/>
    </row>
    <row r="37" spans="1:15" ht="15.75" thickBot="1">
      <c r="A37" s="3324"/>
      <c r="B37" s="1555" t="s">
        <v>1314</v>
      </c>
      <c r="C37" s="139"/>
      <c r="D37" s="1071"/>
      <c r="E37" s="1071"/>
      <c r="F37" s="1654"/>
      <c r="G37" s="121"/>
      <c r="H37" s="121"/>
      <c r="I37" s="121"/>
    </row>
    <row r="38" spans="1:15" ht="15.75" thickBot="1">
      <c r="A38" s="332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3555</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09">
        <v>1</v>
      </c>
      <c r="K46" s="3264" t="s">
        <v>1331</v>
      </c>
      <c r="L46" s="3264"/>
      <c r="M46" s="3265"/>
      <c r="N46" s="3265"/>
      <c r="O46" s="3265"/>
    </row>
    <row r="47" spans="1:15" ht="12" customHeight="1">
      <c r="A47" s="152" t="s">
        <v>1332</v>
      </c>
      <c r="B47" s="153"/>
      <c r="C47" s="154"/>
      <c r="D47" s="1024" t="s">
        <v>1333</v>
      </c>
      <c r="E47" s="294" t="s">
        <v>1334</v>
      </c>
      <c r="F47" s="155" t="s">
        <v>1335</v>
      </c>
      <c r="G47" s="2332" t="s">
        <v>1336</v>
      </c>
      <c r="H47" s="2333"/>
      <c r="I47" s="151"/>
      <c r="J47" s="2309">
        <v>2</v>
      </c>
      <c r="K47" s="3264" t="s">
        <v>1337</v>
      </c>
      <c r="L47" s="3264"/>
      <c r="M47" s="3266">
        <f>'数据-取费表'!B2</f>
        <v>45757</v>
      </c>
      <c r="N47" s="3266"/>
      <c r="O47" s="3266"/>
    </row>
    <row r="48" spans="1:15" ht="25.5">
      <c r="A48" s="3326" t="s">
        <v>1338</v>
      </c>
      <c r="B48" s="3327"/>
      <c r="C48" s="332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4" t="s">
        <v>1340</v>
      </c>
      <c r="L48" s="3264"/>
      <c r="M48" s="3267">
        <f ca="1">H101</f>
        <v>3555</v>
      </c>
      <c r="N48" s="3267"/>
      <c r="O48" s="3267"/>
    </row>
    <row r="49" spans="1:35" ht="25.5" customHeight="1">
      <c r="A49" s="2152" t="s">
        <v>1341</v>
      </c>
      <c r="B49" s="3312" t="s">
        <v>1342</v>
      </c>
      <c r="C49" s="3312"/>
      <c r="D49" s="1478">
        <v>0</v>
      </c>
      <c r="E49" s="316" t="s">
        <v>1343</v>
      </c>
      <c r="F49" s="2233" t="s">
        <v>28</v>
      </c>
      <c r="G49" s="3295"/>
      <c r="H49" s="2134" t="s">
        <v>2133</v>
      </c>
      <c r="I49" s="2135"/>
      <c r="J49" s="2309">
        <v>4</v>
      </c>
      <c r="K49" s="3264" t="str">
        <f>IF(项目基本情况!E8="房地产抵押价值","房地产抵押价值","抵押担保权已注销时的房地产抵押价值")</f>
        <v>抵押担保权已注销时的房地产抵押价值</v>
      </c>
      <c r="L49" s="3264"/>
      <c r="M49" s="3267" t="str">
        <f>IF(项目基本情况!E8="房地产抵押价值",H107,H109)</f>
        <v>——</v>
      </c>
      <c r="N49" s="3267"/>
      <c r="O49" s="3267"/>
    </row>
    <row r="50" spans="1:35" ht="25.5" customHeight="1">
      <c r="A50" s="2337"/>
      <c r="B50" s="3312" t="s">
        <v>1344</v>
      </c>
      <c r="C50" s="3312"/>
      <c r="D50" s="2189"/>
      <c r="E50" s="323"/>
      <c r="F50" s="2233"/>
      <c r="G50" s="3296"/>
      <c r="H50" s="2136" t="s">
        <v>2134</v>
      </c>
      <c r="I50" s="2135"/>
      <c r="J50" s="3263" t="s">
        <v>1345</v>
      </c>
      <c r="K50" s="3263"/>
      <c r="L50" s="3263"/>
      <c r="M50" s="3263"/>
      <c r="N50" s="3263"/>
      <c r="O50" s="3263"/>
    </row>
    <row r="51" spans="1:35" ht="20.45" customHeight="1">
      <c r="A51" s="2338"/>
      <c r="B51" s="3312" t="s">
        <v>1346</v>
      </c>
      <c r="C51" s="3312"/>
      <c r="D51" s="1024"/>
      <c r="E51" s="319"/>
      <c r="F51" s="2233"/>
      <c r="G51" s="3297"/>
      <c r="H51" s="2136" t="s">
        <v>2135</v>
      </c>
      <c r="I51" s="2135"/>
      <c r="J51" s="2310" t="s">
        <v>1347</v>
      </c>
      <c r="K51" s="3264" t="s">
        <v>1348</v>
      </c>
      <c r="L51" s="3264"/>
      <c r="M51" s="2310" t="s">
        <v>1349</v>
      </c>
      <c r="N51" s="2310" t="s">
        <v>1350</v>
      </c>
      <c r="O51" s="2310" t="s">
        <v>1351</v>
      </c>
    </row>
    <row r="52" spans="1:35" ht="24" customHeight="1">
      <c r="A52" s="2153" t="s">
        <v>1352</v>
      </c>
      <c r="B52" s="3312" t="s">
        <v>1353</v>
      </c>
      <c r="C52" s="3312"/>
      <c r="D52" s="1024">
        <f ca="1">ROUND(D45*'数据-取费表'!B41/(1+'数据-取费表'!C42),0)</f>
        <v>190</v>
      </c>
      <c r="E52" s="1256" t="s">
        <v>1354</v>
      </c>
      <c r="F52" s="2339">
        <f>'数据-取费表'!B41</f>
        <v>5.6000000000000001E-2</v>
      </c>
      <c r="G52" s="2340"/>
      <c r="H52" s="2330"/>
      <c r="I52" s="1669"/>
      <c r="J52" s="2309">
        <v>1</v>
      </c>
      <c r="K52" s="3289" t="s">
        <v>1355</v>
      </c>
      <c r="L52" s="3289"/>
      <c r="M52" s="2311" t="b">
        <f>D48</f>
        <v>0</v>
      </c>
      <c r="N52" s="2309" t="str">
        <f>E48</f>
        <v>销售额×税（费）率</v>
      </c>
      <c r="O52" s="2312">
        <f>F48</f>
        <v>5.6000000000000001E-2</v>
      </c>
    </row>
    <row r="53" spans="1:35" ht="12" customHeight="1">
      <c r="A53" s="2153" t="s">
        <v>1356</v>
      </c>
      <c r="B53" s="3313" t="s">
        <v>2286</v>
      </c>
      <c r="C53" s="3314"/>
      <c r="D53" s="1024">
        <f ca="1">ROUND(D45*'数据-取费表'!B41/(1+'数据-取费表'!C42),0)</f>
        <v>190</v>
      </c>
      <c r="E53" s="1256" t="s">
        <v>1354</v>
      </c>
      <c r="F53" s="2339">
        <f>'数据-取费表'!B41</f>
        <v>5.6000000000000001E-2</v>
      </c>
      <c r="G53" s="2340"/>
      <c r="H53" s="2330"/>
      <c r="I53" s="1669"/>
      <c r="J53" s="2309">
        <v>2</v>
      </c>
      <c r="K53" s="3289" t="s">
        <v>1357</v>
      </c>
      <c r="L53" s="3289"/>
      <c r="M53" s="2311">
        <f t="shared" ref="M53:O54" ca="1" si="0">D55</f>
        <v>2</v>
      </c>
      <c r="N53" s="2309" t="str">
        <f t="shared" si="0"/>
        <v>销售额×税（费）率</v>
      </c>
      <c r="O53" s="2312" t="str">
        <f t="shared" si="0"/>
        <v>免征</v>
      </c>
    </row>
    <row r="54" spans="1:35" ht="12" customHeight="1">
      <c r="A54" s="2153" t="s">
        <v>1358</v>
      </c>
      <c r="B54" s="3313" t="s">
        <v>2287</v>
      </c>
      <c r="C54" s="3314"/>
      <c r="D54" s="1024">
        <f ca="1">C68</f>
        <v>190</v>
      </c>
      <c r="E54" s="319" t="s">
        <v>1359</v>
      </c>
      <c r="F54" s="2339">
        <f>'数据-取费表'!B41</f>
        <v>5.6000000000000001E-2</v>
      </c>
      <c r="G54" s="2340"/>
      <c r="H54" s="2341"/>
      <c r="I54" s="1669"/>
      <c r="J54" s="2309">
        <v>3</v>
      </c>
      <c r="K54" s="3289" t="s">
        <v>1360</v>
      </c>
      <c r="L54" s="3289"/>
      <c r="M54" s="2311">
        <f t="shared" ca="1" si="0"/>
        <v>2013</v>
      </c>
      <c r="N54" s="2309" t="str">
        <f t="shared" si="0"/>
        <v>增值额×税（费）率</v>
      </c>
      <c r="O54" s="2313" t="str">
        <f t="shared" si="0"/>
        <v>免征</v>
      </c>
    </row>
    <row r="55" spans="1:35" ht="24" customHeight="1">
      <c r="A55" s="3349" t="s">
        <v>1361</v>
      </c>
      <c r="B55" s="3327"/>
      <c r="C55" s="3327"/>
      <c r="D55" s="12">
        <f ca="1">IF(H55="个人住宅",0,ROUND(D45*I55,0))</f>
        <v>2</v>
      </c>
      <c r="E55" s="1256" t="s">
        <v>1362</v>
      </c>
      <c r="F55" s="2339" t="str">
        <f>IF(H55="正常",I55,"免征")</f>
        <v>免征</v>
      </c>
      <c r="G55" s="2340"/>
      <c r="H55" s="2336"/>
      <c r="I55" s="157">
        <f>'数据-取费表'!B49</f>
        <v>5.0000000000000001E-4</v>
      </c>
      <c r="J55" s="2309">
        <f>IF(H59="非个人房产","",4)</f>
        <v>4</v>
      </c>
      <c r="K55" s="3289" t="str">
        <f>IF(H59="非个人房产","——","个人所得税")</f>
        <v>个人所得税</v>
      </c>
      <c r="L55" s="3289"/>
      <c r="M55" s="2314">
        <f ca="1">D59</f>
        <v>34</v>
      </c>
      <c r="N55" s="1883" t="str">
        <f>E59</f>
        <v>差额计税</v>
      </c>
      <c r="O55" s="2315">
        <f>F59</f>
        <v>0.01</v>
      </c>
    </row>
    <row r="56" spans="1:35" ht="24.75">
      <c r="A56" s="3349" t="s">
        <v>1363</v>
      </c>
      <c r="B56" s="3327"/>
      <c r="C56" s="3327"/>
      <c r="D56" s="12">
        <f ca="1">IF(H56="个人住宅",D57,D58)</f>
        <v>2013</v>
      </c>
      <c r="E56" s="1256" t="s">
        <v>1364</v>
      </c>
      <c r="F56" s="2339" t="str">
        <f>IF(H56="正常",F58,"免征")</f>
        <v>免征</v>
      </c>
      <c r="G56" s="2342" t="s">
        <v>1365</v>
      </c>
      <c r="H56" s="2343"/>
      <c r="I56" s="1670"/>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2.75">
      <c r="A57" s="2153" t="s">
        <v>1341</v>
      </c>
      <c r="B57" s="3313" t="s">
        <v>1366</v>
      </c>
      <c r="C57" s="3314"/>
      <c r="D57" s="1478">
        <v>0</v>
      </c>
      <c r="E57" s="316" t="s">
        <v>1343</v>
      </c>
      <c r="F57" s="294"/>
      <c r="G57" s="2340"/>
      <c r="H57" s="2344"/>
      <c r="I57" s="1670"/>
      <c r="J57" s="3289">
        <f>IF(AND(J55="",J56=""),4,IF(项目基本情况!K6="上海银行",结果表!J56+1,结果表!J55+1))</f>
        <v>5</v>
      </c>
      <c r="K57" s="3289" t="s">
        <v>1367</v>
      </c>
      <c r="L57" s="2316" t="s">
        <v>1368</v>
      </c>
      <c r="M57" s="2317"/>
      <c r="N57" s="2318">
        <f ca="1">SUMIF(M52:M56,"&lt;9e307")</f>
        <v>2049</v>
      </c>
      <c r="O57" s="2319"/>
      <c r="P57" s="2464" t="e">
        <f ca="1">N57/M49</f>
        <v>#VALUE!</v>
      </c>
    </row>
    <row r="58" spans="1:35" ht="24.75">
      <c r="A58" s="2153" t="s">
        <v>1352</v>
      </c>
      <c r="B58" s="3313" t="s">
        <v>1369</v>
      </c>
      <c r="C58" s="3312"/>
      <c r="D58" s="12">
        <f ca="1">IF(H58="转让取得",C81,C97)</f>
        <v>2013</v>
      </c>
      <c r="E58" s="1256" t="s">
        <v>1364</v>
      </c>
      <c r="F58" s="294" t="s">
        <v>28</v>
      </c>
      <c r="G58" s="2340"/>
      <c r="H58" s="2343"/>
      <c r="I58" s="1670"/>
      <c r="J58" s="3289"/>
      <c r="K58" s="3289"/>
      <c r="L58" s="2316" t="s">
        <v>1370</v>
      </c>
      <c r="M58" s="2320"/>
      <c r="N58" s="2321" t="str">
        <f ca="1">NUMBERSTRING(INT(N57*10000),2)&amp;"元整"</f>
        <v>贰仟零肆拾玖万元整</v>
      </c>
      <c r="O58" s="2322"/>
    </row>
    <row r="59" spans="1:35" ht="24.75" thickBot="1">
      <c r="A59" s="3293" t="s">
        <v>1371</v>
      </c>
      <c r="B59" s="3294"/>
      <c r="C59" s="3294"/>
      <c r="D59" s="2345">
        <f ca="1">IF(H59="非个人房产","——",IF(H59="个人住宅（满五唯一有凭证）",0,IF(H59="个人其他（无凭证）",ROUND(D45*F59,0),ROUND(C67*F59,0))))</f>
        <v>34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1">
        <f>J57+1</f>
        <v>6</v>
      </c>
      <c r="K59" s="3289" t="s">
        <v>1372</v>
      </c>
      <c r="L59" s="2309" t="s">
        <v>1368</v>
      </c>
      <c r="M59" s="2323"/>
      <c r="N59" s="2324" t="e">
        <f ca="1">M49-N57</f>
        <v>#VALUE!</v>
      </c>
      <c r="O59" s="2325"/>
    </row>
    <row r="60" spans="1:35" ht="12" customHeight="1">
      <c r="A60" s="1671"/>
      <c r="B60" s="646"/>
      <c r="C60" s="646"/>
      <c r="D60" s="646"/>
      <c r="E60" s="1466"/>
      <c r="F60" s="1670"/>
      <c r="G60" s="1670"/>
      <c r="H60" s="151"/>
      <c r="I60" s="121"/>
      <c r="J60" s="3292"/>
      <c r="K60" s="3289"/>
      <c r="L60" s="2316" t="s">
        <v>1370</v>
      </c>
      <c r="M60" s="2320"/>
      <c r="N60" s="2321" t="e">
        <f ca="1">NUMBERSTRING(INT(N59*10000),2)&amp;"元整"</f>
        <v>#VALUE!</v>
      </c>
      <c r="O60" s="2322"/>
    </row>
    <row r="61" spans="1:35" ht="13.5" thickBot="1">
      <c r="A61" s="3348" t="s">
        <v>1373</v>
      </c>
      <c r="B61" s="3348"/>
      <c r="C61" s="3348"/>
      <c r="D61" s="3348"/>
      <c r="E61" s="3348"/>
      <c r="F61" s="1670"/>
      <c r="G61" s="1670"/>
      <c r="H61" s="151"/>
      <c r="I61" s="121"/>
      <c r="J61" s="2309">
        <f>J59+1</f>
        <v>7</v>
      </c>
      <c r="K61" s="3289" t="s">
        <v>1374</v>
      </c>
      <c r="L61" s="3289"/>
      <c r="M61" s="2326"/>
      <c r="N61" s="2327" t="e">
        <f ca="1">ROUND(N59*10000/'数据-汇总表'!E3,0)</f>
        <v>#VALUE!</v>
      </c>
      <c r="O61" s="2328"/>
    </row>
    <row r="62" spans="1:35" ht="12.75">
      <c r="A62" s="3308" t="s">
        <v>1375</v>
      </c>
      <c r="B62" s="3309"/>
      <c r="C62" s="1865"/>
      <c r="D62" s="1865" t="s">
        <v>1376</v>
      </c>
      <c r="E62" s="158" t="s">
        <v>1377</v>
      </c>
      <c r="F62" s="1670"/>
      <c r="G62" s="1670"/>
      <c r="H62" s="151"/>
      <c r="I62" s="121"/>
    </row>
    <row r="63" spans="1:35" ht="12.75">
      <c r="A63" s="165" t="s">
        <v>330</v>
      </c>
      <c r="B63" s="159" t="s">
        <v>1378</v>
      </c>
      <c r="C63" s="2349">
        <f ca="1">ROUND((C64+C65)/(1+'数据-取费表'!C42),0)</f>
        <v>3386</v>
      </c>
      <c r="D63" s="159"/>
      <c r="E63" s="160"/>
      <c r="F63" s="1670"/>
      <c r="G63" s="1670"/>
      <c r="H63" s="151"/>
      <c r="I63" s="121"/>
      <c r="J63" s="327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3555</v>
      </c>
      <c r="D64" s="162" t="s">
        <v>26</v>
      </c>
      <c r="E64" s="164"/>
      <c r="F64" s="1670"/>
      <c r="G64" s="1670"/>
      <c r="H64" s="151"/>
      <c r="I64" s="121"/>
      <c r="J64" s="327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2"/>
      <c r="K66" s="1245" t="s">
        <v>1387</v>
      </c>
      <c r="L66" s="1245" t="e">
        <f>M49*0.5%</f>
        <v>#VALUE!</v>
      </c>
      <c r="M66" s="294" t="e">
        <f>IF(L66&gt;0.5,0.5,ROUND(L66,0))</f>
        <v>#VALUE!</v>
      </c>
      <c r="N66" s="2330" t="s">
        <v>1388</v>
      </c>
      <c r="Z66" s="1623"/>
      <c r="AI66" s="1561"/>
    </row>
    <row r="67" spans="1:35" ht="14.25" customHeight="1">
      <c r="A67" s="165" t="s">
        <v>328</v>
      </c>
      <c r="B67" s="166" t="s">
        <v>1389</v>
      </c>
      <c r="C67" s="2353">
        <f ca="1">C63-C66</f>
        <v>3386</v>
      </c>
      <c r="D67" s="162" t="s">
        <v>26</v>
      </c>
      <c r="E67" s="164"/>
      <c r="F67" s="1670"/>
      <c r="G67" s="1670"/>
      <c r="H67" s="151"/>
      <c r="I67" s="121"/>
      <c r="J67" s="327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190</v>
      </c>
      <c r="D68" s="2355">
        <f>'数据-取费表'!B41</f>
        <v>5.6000000000000001E-2</v>
      </c>
      <c r="E68" s="170"/>
      <c r="F68" s="1670"/>
      <c r="G68" s="1670"/>
      <c r="H68" s="151"/>
      <c r="I68" s="121"/>
      <c r="J68" s="327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2"/>
      <c r="K69" s="1245" t="s">
        <v>1393</v>
      </c>
      <c r="L69" s="1245"/>
      <c r="M69" s="294" t="e">
        <f>ROUND(SUM(M63:M68),0)</f>
        <v>#VALUE!</v>
      </c>
      <c r="N69" s="2331" t="e">
        <f>M69/M49</f>
        <v>#VALUE!</v>
      </c>
      <c r="Z69" s="1623"/>
      <c r="AI69" s="1561"/>
    </row>
    <row r="70" spans="1:35" s="642" customFormat="1" ht="1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3386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20</v>
      </c>
      <c r="D78" s="2362">
        <f>'数据-取费表'!B43</f>
        <v>6.000000000000001E-3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3366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168.3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2013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3386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20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74" t="s">
        <v>2128</v>
      </c>
      <c r="H90" s="3275"/>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5" t="s">
        <v>1422</v>
      </c>
      <c r="F92" s="3306"/>
      <c r="G92" s="3306"/>
      <c r="H92" s="3307"/>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20</v>
      </c>
      <c r="D93" s="2362">
        <f>'数据-取费表'!B43</f>
        <v>6.000000000000001E-3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3366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168.3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2013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90"/>
      <c r="E100" s="3254" t="s">
        <v>1429</v>
      </c>
      <c r="F100" s="3254"/>
      <c r="G100" s="3254"/>
      <c r="H100" s="3290"/>
      <c r="I100" s="121"/>
    </row>
    <row r="101" spans="1:35" ht="18.75" customHeight="1">
      <c r="A101" s="3298" t="s">
        <v>1430</v>
      </c>
      <c r="B101" s="3299"/>
      <c r="C101" s="2370" t="str">
        <f>C4</f>
        <v>比较法-办公</v>
      </c>
      <c r="D101" s="2371" t="str">
        <f>D4</f>
        <v>收益法 (元)</v>
      </c>
      <c r="E101" s="3268" t="s">
        <v>1431</v>
      </c>
      <c r="F101" s="3269"/>
      <c r="G101" s="1687" t="s">
        <v>1432</v>
      </c>
      <c r="H101" s="2380">
        <f ca="1">H118</f>
        <v>3555</v>
      </c>
      <c r="I101" s="121"/>
    </row>
    <row r="102" spans="1:35" ht="18.75" customHeight="1">
      <c r="A102" s="3300" t="s">
        <v>1433</v>
      </c>
      <c r="B102" s="2369" t="s">
        <v>1432</v>
      </c>
      <c r="C102" s="2370">
        <f ca="1">IF(D32="楼面单价",ROUND(C19,0),C19)</f>
        <v>4336</v>
      </c>
      <c r="D102" s="2371">
        <f ca="1">IF(D32="楼面单价",ROUND(D19,0),D19)</f>
        <v>1731</v>
      </c>
      <c r="E102" s="3268"/>
      <c r="F102" s="3269"/>
      <c r="G102" s="1687" t="s">
        <v>1434</v>
      </c>
      <c r="H102" s="2340">
        <f ca="1">I118</f>
        <v>33590</v>
      </c>
      <c r="I102" s="121"/>
    </row>
    <row r="103" spans="1:35" ht="42.75" customHeight="1">
      <c r="A103" s="3300"/>
      <c r="B103" s="2369" t="s">
        <v>1434</v>
      </c>
      <c r="C103" s="2372">
        <f ca="1">C20</f>
        <v>40974</v>
      </c>
      <c r="D103" s="2373">
        <f ca="1">D20</f>
        <v>16359</v>
      </c>
      <c r="E103" s="3261" t="s">
        <v>1435</v>
      </c>
      <c r="F103" s="3262"/>
      <c r="G103" s="1688" t="s">
        <v>1436</v>
      </c>
      <c r="H103" s="2380">
        <f>IF(D36="正常操作",H104+H105+H106,H105+H106)</f>
        <v>0</v>
      </c>
      <c r="I103" s="121"/>
    </row>
    <row r="104" spans="1:35" ht="18.75" customHeight="1">
      <c r="A104" s="3300" t="s">
        <v>1437</v>
      </c>
      <c r="B104" s="2374" t="s">
        <v>1432</v>
      </c>
      <c r="C104" s="2375">
        <f ca="1">H118</f>
        <v>3555</v>
      </c>
      <c r="D104" s="2376"/>
      <c r="E104" s="1555" t="s">
        <v>1438</v>
      </c>
      <c r="F104" s="1548"/>
      <c r="G104" s="1688" t="s">
        <v>1436</v>
      </c>
      <c r="H104" s="2381">
        <f>IF(D36="同一抵押权人同一抵押物续贷",C36&amp;"（续贷，未扣减，详见特别提示）",C36)</f>
        <v>0</v>
      </c>
      <c r="I104" s="121"/>
    </row>
    <row r="105" spans="1:35" ht="18.75" customHeight="1" thickBot="1">
      <c r="A105" s="3310"/>
      <c r="B105" s="2377" t="s">
        <v>1434</v>
      </c>
      <c r="C105" s="2378">
        <f ca="1">I118</f>
        <v>33590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1" t="str">
        <f>IF(项目基本情况!E8="已注销","——","3.房地产抵押价值")</f>
        <v>3.房地产抵押价值</v>
      </c>
      <c r="F107" s="3269"/>
      <c r="G107" s="1687" t="s">
        <v>1432</v>
      </c>
      <c r="H107" s="2380">
        <f ca="1">IF(E107="——","——",H101-H103)</f>
        <v>3555</v>
      </c>
      <c r="I107" s="121"/>
    </row>
    <row r="108" spans="1:35" ht="18.75" customHeight="1">
      <c r="A108" s="121"/>
      <c r="B108" s="121"/>
      <c r="C108" s="121"/>
      <c r="D108" s="121"/>
      <c r="E108" s="3301"/>
      <c r="F108" s="3269"/>
      <c r="G108" s="1687" t="s">
        <v>1434</v>
      </c>
      <c r="H108" s="2340">
        <f ca="1">IF(H107=H101,H102,ROUND(H107*10000/'数据-汇总表'!E3,0))</f>
        <v>33590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3" t="str">
        <f>IF(E109="——","——",H101-H105-H106)</f>
        <v>——</v>
      </c>
      <c r="I109" s="121"/>
    </row>
    <row r="110" spans="1:35" ht="18.75" customHeight="1">
      <c r="A110" s="121"/>
      <c r="B110" s="121"/>
      <c r="C110" s="121"/>
      <c r="D110" s="121"/>
      <c r="E110" s="3301"/>
      <c r="F110" s="3269"/>
      <c r="G110" s="1687" t="s">
        <v>1434</v>
      </c>
      <c r="H110" s="2340"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0" t="str">
        <f>IF(E111="——","——",N59)</f>
        <v>——</v>
      </c>
      <c r="I111" s="121"/>
    </row>
    <row r="112" spans="1:35" ht="18.75" customHeight="1" thickBot="1">
      <c r="A112" s="121"/>
      <c r="B112" s="121"/>
      <c r="C112" s="121"/>
      <c r="D112" s="121"/>
      <c r="E112" s="3303"/>
      <c r="F112" s="3304"/>
      <c r="G112" s="1690" t="s">
        <v>1434</v>
      </c>
      <c r="H112" s="2384"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5" t="str">
        <f>项目基本情况!S2</f>
        <v>房地产</v>
      </c>
      <c r="B118" s="2150">
        <f>M18</f>
        <v>1058.25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3555</v>
      </c>
      <c r="I118" s="2150">
        <f ca="1">ROUND(IF(D32="楼面单价",C32,H118*10000/B118),0)</f>
        <v>33590</v>
      </c>
    </row>
    <row r="119" spans="1:27" ht="18.75" customHeight="1">
      <c r="A119" s="3276" t="s">
        <v>1452</v>
      </c>
      <c r="B119" s="3276"/>
      <c r="C119" s="3276"/>
      <c r="D119" s="3282" t="e">
        <f ca="1">NUMBERSTRING(INT(D118*10000),2)&amp;"元整"</f>
        <v>#REF!</v>
      </c>
      <c r="E119" s="3283"/>
      <c r="F119" s="3282" t="e">
        <f ca="1">NUMBERSTRING(INT(F118*10000),2)&amp;"元整"</f>
        <v>#REF!</v>
      </c>
      <c r="G119" s="3283"/>
      <c r="H119" s="3282" t="str">
        <f ca="1">NUMBERSTRING(INT(H118*10000),2)&amp;"元整"</f>
        <v>叁仟伍佰伍拾伍万元整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3555</v>
      </c>
      <c r="E122" s="3278"/>
      <c r="F122" s="3278"/>
      <c r="G122" s="3278"/>
      <c r="H122" s="3278"/>
      <c r="I122" s="3279"/>
      <c r="AA122" s="684"/>
    </row>
    <row r="123" spans="1:27" ht="18.75" customHeight="1">
      <c r="A123" s="3276" t="s">
        <v>1452</v>
      </c>
      <c r="B123" s="3276"/>
      <c r="C123" s="3276"/>
      <c r="D123" s="3282" t="str">
        <f ca="1">NUMBERSTRING(INT(D122*10000),2)&amp;"元整"</f>
        <v>叁仟伍佰伍拾伍万元整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502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4744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21</v>
      </c>
      <c r="D10" s="795">
        <f ca="1">IF(B1="",'数据-汇总表'!E6,IF(INDIRECT("'数据-取费表'!c"&amp;$G$1)="住宅",INDIRECT("'数据-取费表'!s"&amp;$G$1),INDIRECT("'数据-取费表'!k"&amp;$G$1)+INDIRECT("'数据-取费表'!s"&amp;$G$1)))</f>
        <v>1058.25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21</v>
      </c>
      <c r="D19" s="204">
        <f ca="1">D9+D10</f>
        <v>1058.25</v>
      </c>
      <c r="E19" s="203">
        <f>'数据-取费表'!B31</f>
        <v>200</v>
      </c>
      <c r="F19" s="223"/>
      <c r="G19" s="1714"/>
    </row>
    <row r="20" spans="1:7" s="206" customFormat="1" ht="13.5" customHeight="1">
      <c r="A20" s="247" t="s">
        <v>1493</v>
      </c>
      <c r="B20" s="202" t="s">
        <v>1494</v>
      </c>
      <c r="C20" s="224">
        <f ca="1">ROUND((C5+C19)*F20,0)</f>
        <v>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476</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21</v>
      </c>
      <c r="D37" s="209">
        <f ca="1">D19</f>
        <v>1058.25</v>
      </c>
      <c r="E37" s="241">
        <f>'数据-取费表'!B35</f>
        <v>200</v>
      </c>
      <c r="F37" s="251"/>
      <c r="G37" s="253" t="s">
        <v>1532</v>
      </c>
    </row>
    <row r="38" spans="1:7" ht="13.5" customHeight="1">
      <c r="A38" s="734" t="s">
        <v>354</v>
      </c>
      <c r="B38" s="207" t="s">
        <v>1533</v>
      </c>
      <c r="C38" s="212">
        <f ca="1">ROUND(C34*F38,0)</f>
        <v>10</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16</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81</v>
      </c>
      <c r="D45" s="227">
        <f ca="1">C47</f>
        <v>3.0000000000000001E-3</v>
      </c>
      <c r="E45" s="228" t="s">
        <v>1539</v>
      </c>
      <c r="F45" s="238">
        <f ca="1">F27</f>
        <v>0.15</v>
      </c>
      <c r="G45" s="239" t="s">
        <v>1548</v>
      </c>
    </row>
    <row r="46" spans="1:7" s="206" customFormat="1" ht="13.5" customHeight="1">
      <c r="A46" s="734" t="s">
        <v>346</v>
      </c>
      <c r="B46" s="240" t="s">
        <v>1549</v>
      </c>
      <c r="C46" s="241">
        <f ca="1">ROUND((C33+C39)*F27,0)</f>
        <v>81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687</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474</v>
      </c>
      <c r="D51" s="224"/>
      <c r="E51" s="224"/>
      <c r="F51" s="256"/>
      <c r="G51" s="226" t="s">
        <v>1560</v>
      </c>
    </row>
    <row r="52" spans="1:7" s="200" customFormat="1" ht="16.5" thickBot="1">
      <c r="A52" s="257" t="s">
        <v>1561</v>
      </c>
      <c r="B52" s="258"/>
      <c r="C52" s="259">
        <f ca="1">C31+C51</f>
        <v>502</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1" t="str">
        <f>项目基本情况!B1</f>
        <v>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531.14160000000004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5019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211650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211650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211650</v>
      </c>
      <c r="D10" s="795">
        <f ca="1">IF(B1="",'数据-汇总表'!E6,IF(INDIRECT("'数据-取费表'!c"&amp;$G$1)="住宅",INDIRECT("'数据-取费表'!s"&amp;$G$1),INDIRECT("'数据-取费表'!k"&amp;$G$1)+INDIRECT("'数据-取费表'!s"&amp;$G$1)))</f>
        <v>1058.25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211650</v>
      </c>
      <c r="D19" s="204">
        <f ca="1">D9+D10</f>
        <v>1058.25</v>
      </c>
      <c r="E19" s="203">
        <f>'数据-取费表'!B31</f>
        <v>200</v>
      </c>
      <c r="F19" s="223"/>
      <c r="G19" s="1714"/>
    </row>
    <row r="20" spans="1:7" s="206" customFormat="1" ht="13.5" customHeight="1">
      <c r="A20" s="247" t="s">
        <v>1574</v>
      </c>
      <c r="B20" s="202" t="s">
        <v>1575</v>
      </c>
      <c r="C20" s="224">
        <f ca="1">ROUND((C5+C19)*F20,0)</f>
        <v>12699</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27046</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13326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13326</v>
      </c>
      <c r="D24" s="230"/>
      <c r="E24" s="230"/>
      <c r="F24" s="231"/>
      <c r="G24" s="232" t="s">
        <v>1586</v>
      </c>
    </row>
    <row r="25" spans="1:7" s="206" customFormat="1" ht="24">
      <c r="A25" s="734" t="s">
        <v>1476</v>
      </c>
      <c r="B25" s="207" t="s">
        <v>1587</v>
      </c>
      <c r="C25" s="230">
        <f ca="1">ROUND(IF('数据-取费表'!B22&lt;=1,C20*F22*'数据-取费表'!B22/2,C20*(POWER((1+F22),'数据-取费表'!B22/2)-1)),0)</f>
        <v>394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65400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65400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572468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5211882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4762125</v>
      </c>
      <c r="D34" s="209"/>
      <c r="E34" s="212"/>
      <c r="F34" s="249"/>
      <c r="G34" s="211"/>
    </row>
    <row r="35" spans="1:7" ht="13.5" customHeight="1">
      <c r="A35" s="734" t="s">
        <v>351</v>
      </c>
      <c r="B35" s="207" t="s">
        <v>1527</v>
      </c>
      <c r="C35" s="212">
        <f ca="1">ROUND(C34*F35,0)</f>
        <v>142864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211650</v>
      </c>
      <c r="D37" s="209">
        <f ca="1">D19</f>
        <v>1058.25</v>
      </c>
      <c r="E37" s="241">
        <f>'数据-取费表'!B35</f>
        <v>200</v>
      </c>
      <c r="F37" s="251"/>
      <c r="G37" s="253"/>
    </row>
    <row r="38" spans="1:7" ht="13.5" customHeight="1">
      <c r="A38" s="734" t="s">
        <v>354</v>
      </c>
      <c r="B38" s="207" t="s">
        <v>1533</v>
      </c>
      <c r="C38" s="212">
        <f ca="1">ROUND(C34*F38,0)</f>
        <v>95243</v>
      </c>
      <c r="D38" s="212"/>
      <c r="E38" s="212"/>
      <c r="F38" s="251">
        <f>'数据-取费表'!B36</f>
        <v>0.02</v>
      </c>
      <c r="G38" s="211" t="s">
        <v>1528</v>
      </c>
    </row>
    <row r="39" spans="1:7" s="206" customFormat="1" ht="13.5" customHeight="1">
      <c r="A39" s="247" t="s">
        <v>1534</v>
      </c>
      <c r="B39" s="202" t="s">
        <v>1535</v>
      </c>
      <c r="C39" s="224">
        <f ca="1">ROUND(C33*F20,0)</f>
        <v>156356</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166415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161568</v>
      </c>
      <c r="D42" s="230"/>
      <c r="E42" s="230"/>
      <c r="F42" s="231"/>
      <c r="G42" s="3355" t="s">
        <v>1591</v>
      </c>
    </row>
    <row r="43" spans="1:7" ht="13.5" customHeight="1">
      <c r="A43" s="734" t="s">
        <v>347</v>
      </c>
      <c r="B43" s="207" t="s">
        <v>1545</v>
      </c>
      <c r="C43" s="230">
        <f ca="1">ROUND(IF('数据-取费表'!B22&lt;=1,C39*F22*'数据-取费表'!B20/2,C39*(POWER((1+F22),'数据-取费表'!B20/2)-1)),0)</f>
        <v>4847</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805236</v>
      </c>
      <c r="D45" s="227">
        <f ca="1">C47</f>
        <v>3.0000000000000001E-3</v>
      </c>
      <c r="E45" s="228" t="s">
        <v>1539</v>
      </c>
      <c r="F45" s="238">
        <f ca="1">F27</f>
        <v>0.15</v>
      </c>
      <c r="G45" s="239" t="s">
        <v>1548</v>
      </c>
    </row>
    <row r="46" spans="1:7" s="206" customFormat="1" ht="13.5" customHeight="1">
      <c r="A46" s="734" t="s">
        <v>346</v>
      </c>
      <c r="B46" s="240" t="s">
        <v>1549</v>
      </c>
      <c r="C46" s="241">
        <f ca="1">ROUND((C33+C39)*F27,0)</f>
        <v>805236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6868041</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4738948</v>
      </c>
      <c r="D51" s="224"/>
      <c r="E51" s="224"/>
      <c r="F51" s="256"/>
      <c r="G51" s="226" t="s">
        <v>1560</v>
      </c>
    </row>
    <row r="52" spans="1:7" s="200" customFormat="1" ht="16.5" thickBot="1">
      <c r="A52" s="257" t="s">
        <v>1561</v>
      </c>
      <c r="B52" s="258"/>
      <c r="C52" s="259">
        <f ca="1">C31+C51</f>
        <v>5311416</v>
      </c>
      <c r="D52" s="258"/>
      <c r="E52" s="258"/>
      <c r="F52" s="258"/>
      <c r="G52" s="260"/>
    </row>
    <row r="55" spans="1:7" ht="15">
      <c r="B55" s="262" t="s">
        <v>1562</v>
      </c>
      <c r="C55" s="263"/>
    </row>
    <row r="56" spans="1:7">
      <c r="B56" s="265" t="s">
        <v>802</v>
      </c>
      <c r="C56" s="267">
        <f ca="1">1-C57</f>
        <v>0.10799999999999998</v>
      </c>
    </row>
    <row r="57" spans="1:7">
      <c r="B57" s="265" t="s">
        <v>803</v>
      </c>
      <c r="C57" s="266">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-24</v>
      </c>
      <c r="C2" s="268" t="s">
        <v>1595</v>
      </c>
      <c r="D2" s="268"/>
      <c r="E2" s="2567"/>
      <c r="F2" s="2567"/>
      <c r="G2" s="2567"/>
      <c r="H2" s="2567"/>
      <c r="I2" s="2567"/>
      <c r="J2" s="2567"/>
      <c r="K2" s="2567"/>
    </row>
    <row r="3" spans="1:33" ht="18" customHeight="1" thickBot="1">
      <c r="A3" s="195" t="s">
        <v>1464</v>
      </c>
      <c r="B3" s="196">
        <f ca="1">ROUND(B2*10000/IF(C1="",'数据-汇总表'!E3,INDIRECT("'数据-取费表'!K"&amp;$K$1)),0)</f>
        <v>-227</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1058.25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1058.25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21</v>
      </c>
      <c r="D20" s="796">
        <f ca="1">IF(C1="",'数据-汇总表'!E6,IF(INDIRECT("'数据-取费表'!c"&amp;$K$1)="住宅",INDIRECT("'数据-取费表'!s"&amp;$K$1),INDIRECT("'数据-取费表'!k"&amp;$K$1)+INDIRECT("'数据-取费表'!s"&amp;$K$1)))</f>
        <v>1058.25</v>
      </c>
      <c r="E20" s="21">
        <f>'数据-取费表'!B28</f>
        <v>200</v>
      </c>
      <c r="F20" s="756"/>
      <c r="G20" s="12"/>
      <c r="H20" s="761"/>
      <c r="I20" s="761"/>
      <c r="J20" s="761"/>
      <c r="K20" s="762"/>
    </row>
    <row r="21" spans="1:33" s="755" customFormat="1" ht="13.5" customHeight="1">
      <c r="A21" s="744" t="s">
        <v>357</v>
      </c>
      <c r="B21" s="765" t="s">
        <v>1628</v>
      </c>
      <c r="C21" s="766">
        <f ca="1">C16+C17+C18</f>
        <v>21</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2108</v>
      </c>
      <c r="E6" s="294" t="s">
        <v>696</v>
      </c>
      <c r="F6" s="295">
        <f ca="1">INDIRECT("'数据-取费表'!u"&amp;$G$1)</f>
        <v>0</v>
      </c>
      <c r="G6" s="1292"/>
      <c r="H6" s="1006" t="s">
        <v>398</v>
      </c>
      <c r="I6" s="3360" t="s">
        <v>694</v>
      </c>
      <c r="J6" s="293">
        <f ca="1">ROUND(M6*M8*M7*(1-M9)/10000,0)</f>
        <v>0</v>
      </c>
      <c r="K6" s="147"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F63" sqref="F63"/>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3420</v>
      </c>
      <c r="F1" s="1735" t="s">
        <v>3421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4336.0735999999997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40974</v>
      </c>
      <c r="C3" s="344" t="s">
        <v>1768</v>
      </c>
      <c r="D3" s="343">
        <f>IF(D1="",'数据-汇总表'!E3,SUMIF('数据-汇总表'!$C19:$C33,D1,'数据-汇总表'!$E19:$E33))</f>
        <v>1058.25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68" t="s">
        <v>1771</v>
      </c>
      <c r="S4" s="3369"/>
      <c r="T4" s="3368" t="s">
        <v>1772</v>
      </c>
      <c r="U4" s="3369"/>
      <c r="V4" s="3394" t="s">
        <v>1773</v>
      </c>
      <c r="W4" s="3394"/>
      <c r="X4" s="1809"/>
      <c r="Y4" s="3368" t="s">
        <v>1775</v>
      </c>
      <c r="Z4" s="3369"/>
      <c r="AA4" s="3363" t="s">
        <v>1771</v>
      </c>
      <c r="AB4" s="3363" t="s">
        <v>1772</v>
      </c>
      <c r="AC4" s="3379" t="s">
        <v>1773</v>
      </c>
    </row>
    <row r="5" spans="1:29" ht="13.9" customHeight="1">
      <c r="A5" s="348"/>
      <c r="B5" s="349"/>
      <c r="C5" s="3372" t="s">
        <v>3432</v>
      </c>
      <c r="D5" s="3373"/>
      <c r="E5" s="3372" t="s">
        <v>3432</v>
      </c>
      <c r="F5" s="3373"/>
      <c r="G5" s="3372" t="s">
        <v>3432</v>
      </c>
      <c r="H5" s="3373"/>
      <c r="I5" s="3372" t="s">
        <v>3455</v>
      </c>
      <c r="J5" s="3373"/>
      <c r="K5" s="537"/>
      <c r="L5" s="2486"/>
      <c r="M5" s="2487"/>
      <c r="N5" s="2487"/>
      <c r="O5" s="2487"/>
      <c r="P5" s="3388"/>
      <c r="Q5" s="3389"/>
      <c r="R5" s="3370"/>
      <c r="S5" s="3371"/>
      <c r="T5" s="3370"/>
      <c r="U5" s="3371"/>
      <c r="V5" s="3395"/>
      <c r="W5" s="3395"/>
      <c r="X5" s="1265"/>
      <c r="Y5" s="3370"/>
      <c r="Z5" s="3371"/>
      <c r="AA5" s="3364"/>
      <c r="AB5" s="3364"/>
      <c r="AC5" s="3380"/>
    </row>
    <row r="6" spans="1:29" ht="15.75" thickBot="1">
      <c r="A6" s="350"/>
      <c r="B6" s="351"/>
      <c r="C6" s="3374" t="s">
        <v>1677</v>
      </c>
      <c r="D6" s="3375"/>
      <c r="E6" s="3376" t="s">
        <v>1677</v>
      </c>
      <c r="F6" s="3377"/>
      <c r="G6" s="3374" t="s">
        <v>1677</v>
      </c>
      <c r="H6" s="3375"/>
      <c r="I6" s="3374" t="s">
        <v>1677</v>
      </c>
      <c r="J6" s="3375"/>
      <c r="K6" s="537" t="s">
        <v>1678</v>
      </c>
      <c r="L6" s="2486"/>
      <c r="M6" s="2487"/>
      <c r="N6" s="2487"/>
      <c r="O6" s="2487"/>
      <c r="P6" s="3390"/>
      <c r="Q6" s="3391"/>
      <c r="R6" s="3370"/>
      <c r="S6" s="3371"/>
      <c r="T6" s="3392"/>
      <c r="U6" s="3393"/>
      <c r="V6" s="3395"/>
      <c r="W6" s="3395"/>
      <c r="X6" s="1265"/>
      <c r="Y6" s="3392"/>
      <c r="Z6" s="3393"/>
      <c r="AA6" s="3365"/>
      <c r="AB6" s="3365"/>
      <c r="AC6" s="3381"/>
    </row>
    <row r="7" spans="1:29" s="102" customFormat="1" ht="15.75" thickBot="1">
      <c r="A7" s="352" t="s">
        <v>1679</v>
      </c>
      <c r="B7" s="353"/>
      <c r="C7" s="354">
        <f>'数据-取费表'!B2</f>
        <v>45757</v>
      </c>
      <c r="D7" s="355">
        <v>100</v>
      </c>
      <c r="E7" s="356">
        <v>45748</v>
      </c>
      <c r="F7" s="357">
        <f>SUMIF(59:59,YEAR(E7)&amp;"-"&amp;MONTH(E7),60:60)</f>
        <v>100</v>
      </c>
      <c r="G7" s="356">
        <v>45748</v>
      </c>
      <c r="H7" s="355">
        <f>SUMIF(59:59,YEAR(G7)&amp;"-"&amp;MONTH(G7),60:60)</f>
        <v>100</v>
      </c>
      <c r="I7" s="356">
        <v>45748</v>
      </c>
      <c r="J7" s="355">
        <f>SUMIF(59:59,YEAR(I7)&amp;"-"&amp;MONTH(I7),60:60)</f>
        <v>100</v>
      </c>
      <c r="K7" s="38"/>
      <c r="L7" s="2488"/>
      <c r="M7" s="2439"/>
      <c r="N7" s="2439"/>
      <c r="O7" s="2439"/>
      <c r="P7" s="3396" t="s">
        <v>1680</v>
      </c>
      <c r="Q7" s="3397"/>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802">
        <f>D7/J7</f>
        <v>1</v>
      </c>
    </row>
    <row r="8" spans="1:29" s="102" customFormat="1" ht="15.75" thickBot="1">
      <c r="A8" s="352" t="s">
        <v>1681</v>
      </c>
      <c r="B8" s="353"/>
      <c r="C8" s="358" t="s">
        <v>3424</v>
      </c>
      <c r="D8" s="355">
        <v>100</v>
      </c>
      <c r="E8" s="358" t="s">
        <v>3425</v>
      </c>
      <c r="F8" s="357">
        <f>SUMIF(62:62,E8,63:63)-SUMIF(62:62,C8,63:63)+100</f>
        <v>102</v>
      </c>
      <c r="G8" s="358" t="s">
        <v>3425</v>
      </c>
      <c r="H8" s="355">
        <f>SUMIF(62:62,G8,63:63)-SUMIF(62:62,C8,63:63)+100</f>
        <v>102</v>
      </c>
      <c r="I8" s="358" t="s">
        <v>3425</v>
      </c>
      <c r="J8" s="355">
        <f>SUMIF(62:62,I8,63:63)-SUMIF(62:62,C8,63:63)+100</f>
        <v>102</v>
      </c>
      <c r="K8" s="38"/>
      <c r="L8" s="2488"/>
      <c r="M8" s="2439"/>
      <c r="N8" s="2439"/>
      <c r="O8" s="2439"/>
      <c r="P8" s="3396" t="s">
        <v>1683</v>
      </c>
      <c r="Q8" s="3367"/>
      <c r="R8" s="664" t="s">
        <v>14</v>
      </c>
      <c r="S8" s="665">
        <f t="shared" si="0"/>
        <v>102</v>
      </c>
      <c r="T8" s="664" t="s">
        <v>14</v>
      </c>
      <c r="U8" s="665">
        <f t="shared" si="1"/>
        <v>102</v>
      </c>
      <c r="V8" s="664" t="s">
        <v>14</v>
      </c>
      <c r="W8" s="665">
        <f t="shared" si="2"/>
        <v>102</v>
      </c>
      <c r="X8" s="666"/>
      <c r="Y8" s="3366" t="s">
        <v>1683</v>
      </c>
      <c r="Z8" s="3367"/>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63" t="s">
        <v>3423</v>
      </c>
      <c r="D9" s="59">
        <v>100</v>
      </c>
      <c r="E9" s="362" t="s">
        <v>21</v>
      </c>
      <c r="F9" s="59">
        <f>SUMIF(64:64,E9,65:65)-SUMIF(64:64,C9,65:65)+100</f>
        <v>100</v>
      </c>
      <c r="G9" s="362" t="s">
        <v>21</v>
      </c>
      <c r="H9" s="59">
        <f>SUMIF(64:64,G9,65:65)-SUMIF(64:64,C9,65:65)+100</f>
        <v>100</v>
      </c>
      <c r="I9" s="362" t="s">
        <v>21</v>
      </c>
      <c r="J9" s="59">
        <f>SUMIF(64:64,I9,65:65)-SUMIF(64:64,C9,65:65)+100</f>
        <v>100</v>
      </c>
      <c r="K9" s="38"/>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8"/>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7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65.45" customHeight="1">
      <c r="A15" s="379" t="s">
        <v>1690</v>
      </c>
      <c r="B15" s="554" t="s">
        <v>1811</v>
      </c>
      <c r="C15" s="1811" t="str">
        <f>估价对象房地状况!C5</f>
        <v>周边有铸诚大厦、天作国际等较多办公项目，办公集聚程度较好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8" t="s">
        <v>1691</v>
      </c>
      <c r="Q15" s="1263" t="str">
        <f t="shared" si="6"/>
        <v>办公集聚程度</v>
      </c>
      <c r="R15" s="667" t="s">
        <v>14</v>
      </c>
      <c r="S15" s="668">
        <f t="shared" si="0"/>
        <v>100</v>
      </c>
      <c r="T15" s="667" t="s">
        <v>14</v>
      </c>
      <c r="U15" s="668">
        <f t="shared" si="1"/>
        <v>100</v>
      </c>
      <c r="V15" s="667" t="s">
        <v>14</v>
      </c>
      <c r="W15" s="668">
        <f t="shared" si="2"/>
        <v>100</v>
      </c>
      <c r="X15" s="1265"/>
      <c r="Y15" s="3400" t="s">
        <v>1691</v>
      </c>
      <c r="Z15" s="1264" t="str">
        <f t="shared" si="7"/>
        <v>办公集聚程度</v>
      </c>
      <c r="AA15" s="1264">
        <f t="shared" si="3"/>
        <v>1</v>
      </c>
      <c r="AB15" s="1264">
        <f t="shared" si="4"/>
        <v>1</v>
      </c>
      <c r="AC15" s="1812">
        <f t="shared" si="5"/>
        <v>1</v>
      </c>
    </row>
    <row r="16" spans="1:29" ht="15">
      <c r="A16" s="367"/>
      <c r="B16" s="555"/>
      <c r="C16" s="1758" t="s">
        <v>3433</v>
      </c>
      <c r="D16" s="387"/>
      <c r="E16" s="1758" t="s">
        <v>3433</v>
      </c>
      <c r="F16" s="387"/>
      <c r="G16" s="1758" t="s">
        <v>3433</v>
      </c>
      <c r="H16" s="389"/>
      <c r="I16" s="1758" t="s">
        <v>3433</v>
      </c>
      <c r="J16" s="387"/>
      <c r="K16" s="541"/>
      <c r="L16" s="2492"/>
      <c r="M16" s="2487"/>
      <c r="N16" s="2487"/>
      <c r="O16" s="2487"/>
      <c r="P16" s="3399"/>
      <c r="Q16" s="1263"/>
      <c r="R16" s="667"/>
      <c r="S16" s="668"/>
      <c r="T16" s="667"/>
      <c r="U16" s="668"/>
      <c r="V16" s="667"/>
      <c r="W16" s="668"/>
      <c r="X16" s="1265"/>
      <c r="Y16" s="3401"/>
      <c r="Z16" s="1264"/>
      <c r="AA16" s="1264">
        <v>1</v>
      </c>
      <c r="AB16" s="1264">
        <v>1</v>
      </c>
      <c r="AC16" s="1812">
        <v>1</v>
      </c>
    </row>
    <row r="17" spans="1:29" ht="71.25">
      <c r="A17" s="367"/>
      <c r="B17" s="556" t="s">
        <v>1259</v>
      </c>
      <c r="C17" s="1813" t="str">
        <f>估价对象房地状况!C6</f>
        <v>有695、323、425路等公交路线经过，紧邻地铁4号线——人民大学站，交通便捷度较好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9"/>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812">
        <f t="shared" si="5"/>
        <v>1</v>
      </c>
    </row>
    <row r="18" spans="1:29" ht="15">
      <c r="A18" s="367"/>
      <c r="B18" s="401"/>
      <c r="C18" s="1758" t="s">
        <v>3433</v>
      </c>
      <c r="D18" s="389"/>
      <c r="E18" s="1758" t="s">
        <v>3433</v>
      </c>
      <c r="F18" s="389"/>
      <c r="G18" s="1758" t="s">
        <v>3433</v>
      </c>
      <c r="H18" s="387"/>
      <c r="I18" s="1758" t="s">
        <v>3433</v>
      </c>
      <c r="J18" s="387"/>
      <c r="K18" s="541"/>
      <c r="L18" s="2492"/>
      <c r="M18" s="2487"/>
      <c r="N18" s="2487"/>
      <c r="O18" s="2487"/>
      <c r="P18" s="3399"/>
      <c r="Q18" s="1263"/>
      <c r="R18" s="667"/>
      <c r="S18" s="668"/>
      <c r="T18" s="667"/>
      <c r="U18" s="668"/>
      <c r="V18" s="667"/>
      <c r="W18" s="668"/>
      <c r="X18" s="1265"/>
      <c r="Y18" s="3401"/>
      <c r="Z18" s="1264"/>
      <c r="AA18" s="1264">
        <v>1</v>
      </c>
      <c r="AB18" s="1264">
        <v>1</v>
      </c>
      <c r="AC18" s="1812">
        <v>1</v>
      </c>
    </row>
    <row r="19" spans="1:29" ht="28.5">
      <c r="A19" s="367"/>
      <c r="B19" s="556" t="s">
        <v>1812</v>
      </c>
      <c r="C19" s="1813" t="str">
        <f>估价对象房地状况!C7</f>
        <v>估价对象所在区域公共配套设施较齐备</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9"/>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812">
        <f t="shared" si="5"/>
        <v>1</v>
      </c>
    </row>
    <row r="20" spans="1:29" ht="15">
      <c r="A20" s="367"/>
      <c r="B20" s="401"/>
      <c r="C20" s="1758" t="s">
        <v>3433</v>
      </c>
      <c r="D20" s="387"/>
      <c r="E20" s="1758" t="s">
        <v>3433</v>
      </c>
      <c r="F20" s="387"/>
      <c r="G20" s="1758" t="s">
        <v>3433</v>
      </c>
      <c r="H20" s="387"/>
      <c r="I20" s="1758" t="s">
        <v>3433</v>
      </c>
      <c r="J20" s="387"/>
      <c r="K20" s="541"/>
      <c r="L20" s="2492"/>
      <c r="M20" s="2487"/>
      <c r="N20" s="2487"/>
      <c r="O20" s="2487"/>
      <c r="P20" s="3399"/>
      <c r="Q20" s="1263"/>
      <c r="R20" s="667"/>
      <c r="S20" s="668"/>
      <c r="T20" s="667"/>
      <c r="U20" s="668"/>
      <c r="V20" s="667"/>
      <c r="W20" s="668"/>
      <c r="X20" s="1265"/>
      <c r="Y20" s="3401"/>
      <c r="Z20" s="1264"/>
      <c r="AA20" s="1264">
        <v>1</v>
      </c>
      <c r="AB20" s="1264">
        <v>1</v>
      </c>
      <c r="AC20" s="1812">
        <v>1</v>
      </c>
    </row>
    <row r="21" spans="1:29" ht="28.5">
      <c r="A21" s="367"/>
      <c r="B21" s="557" t="s">
        <v>1813</v>
      </c>
      <c r="C21" s="1813" t="str">
        <f>估价对象房地状况!C8</f>
        <v>估价对象所在区域基础设施水平较好</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9"/>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1814" t="s">
        <v>3434</v>
      </c>
      <c r="F22" s="387"/>
      <c r="G22" s="1814" t="s">
        <v>3434</v>
      </c>
      <c r="H22" s="387"/>
      <c r="I22" s="1814" t="s">
        <v>3434</v>
      </c>
      <c r="J22" s="387"/>
      <c r="K22" s="1064"/>
      <c r="L22" s="2492"/>
      <c r="M22" s="2487"/>
      <c r="N22" s="2487"/>
      <c r="O22" s="2487"/>
      <c r="P22" s="3399"/>
      <c r="Q22" s="1263"/>
      <c r="R22" s="667"/>
      <c r="S22" s="668"/>
      <c r="T22" s="667"/>
      <c r="U22" s="668"/>
      <c r="V22" s="667"/>
      <c r="W22" s="668"/>
      <c r="X22" s="1265"/>
      <c r="Y22" s="3401"/>
      <c r="Z22" s="1264"/>
      <c r="AA22" s="1264">
        <v>1</v>
      </c>
      <c r="AB22" s="1264">
        <v>1</v>
      </c>
      <c r="AC22" s="1812">
        <v>1</v>
      </c>
    </row>
    <row r="23" spans="1:29" ht="57">
      <c r="A23" s="367"/>
      <c r="B23" s="556" t="s">
        <v>1814</v>
      </c>
      <c r="C23" s="1813" t="str">
        <f>估价对象房地状况!C9</f>
        <v>周边有动物园、北京艺术博物馆、双榆树公园等自然人文环境，质量较好</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9"/>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812">
        <f t="shared" si="5"/>
        <v>1</v>
      </c>
    </row>
    <row r="24" spans="1:29" ht="15">
      <c r="A24" s="367"/>
      <c r="B24" s="557"/>
      <c r="C24" s="1758" t="s">
        <v>3433</v>
      </c>
      <c r="D24" s="387"/>
      <c r="E24" s="1758" t="s">
        <v>3433</v>
      </c>
      <c r="F24" s="387"/>
      <c r="G24" s="1758" t="s">
        <v>3433</v>
      </c>
      <c r="H24" s="387"/>
      <c r="I24" s="1758" t="s">
        <v>3433</v>
      </c>
      <c r="J24" s="387"/>
      <c r="K24" s="541"/>
      <c r="L24" s="2492"/>
      <c r="M24" s="2487"/>
      <c r="N24" s="2487"/>
      <c r="O24" s="2487"/>
      <c r="P24" s="3399"/>
      <c r="Q24" s="1263"/>
      <c r="R24" s="667"/>
      <c r="S24" s="668"/>
      <c r="T24" s="667"/>
      <c r="U24" s="668"/>
      <c r="V24" s="667"/>
      <c r="W24" s="668"/>
      <c r="X24" s="1265"/>
      <c r="Y24" s="340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9"/>
      <c r="Q25" s="1263" t="str">
        <f>B25</f>
        <v>毗邻道路的类型与等级</v>
      </c>
      <c r="R25" s="667" t="s">
        <v>14</v>
      </c>
      <c r="S25" s="668">
        <f>F25</f>
        <v>100</v>
      </c>
      <c r="T25" s="667" t="s">
        <v>14</v>
      </c>
      <c r="U25" s="668">
        <f>H25</f>
        <v>100</v>
      </c>
      <c r="V25" s="667" t="s">
        <v>14</v>
      </c>
      <c r="W25" s="668">
        <f>J25</f>
        <v>100</v>
      </c>
      <c r="X25" s="1265"/>
      <c r="Y25" s="340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9"/>
      <c r="Q26" s="1263"/>
      <c r="R26" s="667"/>
      <c r="S26" s="668"/>
      <c r="T26" s="667"/>
      <c r="U26" s="668"/>
      <c r="V26" s="667"/>
      <c r="W26" s="668"/>
      <c r="X26" s="1265"/>
      <c r="Y26" s="3401"/>
      <c r="Z26" s="1264"/>
      <c r="AA26" s="1264">
        <v>1</v>
      </c>
      <c r="AB26" s="1264">
        <v>1</v>
      </c>
      <c r="AC26" s="1812">
        <v>1</v>
      </c>
    </row>
    <row r="27" spans="1:29" ht="15">
      <c r="A27" s="367"/>
      <c r="B27" s="401" t="s">
        <v>1783</v>
      </c>
      <c r="C27" s="558" t="s">
        <v>3454</v>
      </c>
      <c r="D27" s="374">
        <v>100</v>
      </c>
      <c r="E27" s="558" t="s">
        <v>3454</v>
      </c>
      <c r="F27" s="374">
        <f>SUMIF(89:89,E27,90:90)-SUMIF(89:89,C27,90:90)+100</f>
        <v>100</v>
      </c>
      <c r="G27" s="558" t="s">
        <v>3454</v>
      </c>
      <c r="H27" s="374">
        <f>SUMIF(89:89,G27,90:90)-SUMIF(89:89,C27,90:90)+100</f>
        <v>100</v>
      </c>
      <c r="I27" s="542" t="s">
        <v>3456</v>
      </c>
      <c r="J27" s="374">
        <f>SUMIF(89:89,I27,90:90)-SUMIF(89:89,C27,90:90)+100</f>
        <v>98</v>
      </c>
      <c r="K27" s="538">
        <v>2</v>
      </c>
      <c r="L27" s="2492"/>
      <c r="M27" s="2487"/>
      <c r="N27" s="2487"/>
      <c r="O27" s="2487"/>
      <c r="P27" s="3399"/>
      <c r="Q27" s="1263" t="str">
        <f t="shared" ref="Q27:Q47" si="11">B27</f>
        <v>楼层</v>
      </c>
      <c r="R27" s="667" t="s">
        <v>14</v>
      </c>
      <c r="S27" s="668">
        <f>F27</f>
        <v>100</v>
      </c>
      <c r="T27" s="667" t="s">
        <v>14</v>
      </c>
      <c r="U27" s="668">
        <f>H27</f>
        <v>100</v>
      </c>
      <c r="V27" s="667" t="s">
        <v>14</v>
      </c>
      <c r="W27" s="668">
        <f>J27</f>
        <v>98</v>
      </c>
      <c r="X27" s="1265"/>
      <c r="Y27" s="3401"/>
      <c r="Z27" s="1264" t="str">
        <f>Q27</f>
        <v>楼层</v>
      </c>
      <c r="AA27" s="1264">
        <f t="shared" si="3"/>
        <v>1</v>
      </c>
      <c r="AB27" s="1264">
        <f t="shared" si="4"/>
        <v>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9"/>
      <c r="Q28" s="530" t="str">
        <f t="shared" si="11"/>
        <v>朝向</v>
      </c>
      <c r="R28" s="664" t="s">
        <v>14</v>
      </c>
      <c r="S28" s="665">
        <f>F28</f>
        <v>100</v>
      </c>
      <c r="T28" s="664" t="s">
        <v>14</v>
      </c>
      <c r="U28" s="665">
        <f>H28</f>
        <v>100</v>
      </c>
      <c r="V28" s="664" t="s">
        <v>14</v>
      </c>
      <c r="W28" s="665">
        <f>J28</f>
        <v>100</v>
      </c>
      <c r="X28" s="666"/>
      <c r="Y28" s="340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40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9"/>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9"/>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9"/>
      <c r="Q32" s="1263">
        <f t="shared" si="11"/>
        <v>111</v>
      </c>
      <c r="R32" s="667" t="s">
        <v>14</v>
      </c>
      <c r="S32" s="668">
        <f t="shared" si="12"/>
        <v>100</v>
      </c>
      <c r="T32" s="667" t="s">
        <v>14</v>
      </c>
      <c r="U32" s="668">
        <f t="shared" si="13"/>
        <v>100</v>
      </c>
      <c r="V32" s="667" t="s">
        <v>14</v>
      </c>
      <c r="W32" s="668">
        <f t="shared" si="14"/>
        <v>100</v>
      </c>
      <c r="X32" s="1265"/>
      <c r="Y32" s="3401"/>
      <c r="Z32" s="1264">
        <f t="shared" si="15"/>
        <v>111</v>
      </c>
      <c r="AA32" s="1264">
        <f t="shared" si="3"/>
        <v>1</v>
      </c>
      <c r="AB32" s="1264">
        <f t="shared" si="4"/>
        <v>1</v>
      </c>
      <c r="AC32" s="1812">
        <f t="shared" si="5"/>
        <v>1</v>
      </c>
    </row>
    <row r="33" spans="1:29" ht="15">
      <c r="A33" s="379" t="s">
        <v>1694</v>
      </c>
      <c r="B33" s="60" t="s">
        <v>1817</v>
      </c>
      <c r="C33" s="1764" t="s">
        <v>3461</v>
      </c>
      <c r="D33" s="405">
        <v>100</v>
      </c>
      <c r="E33" s="1764" t="s">
        <v>3461</v>
      </c>
      <c r="F33" s="400">
        <f>SUMIF(101:101,E33,102:102)-SUMIF(101:101,C33,102:102)+100</f>
        <v>100</v>
      </c>
      <c r="G33" s="1764" t="s">
        <v>3461</v>
      </c>
      <c r="H33" s="374">
        <f>SUMIF(101:101,G33,102:102)-SUMIF(101:101,C33,102:102)+100</f>
        <v>100</v>
      </c>
      <c r="I33" s="1764" t="s">
        <v>3461</v>
      </c>
      <c r="J33" s="405">
        <f>SUMIF(101:101,I33,102:102)-SUMIF(101:101,C33,102:102)+100</f>
        <v>100</v>
      </c>
      <c r="K33" s="538"/>
      <c r="L33" s="2492"/>
      <c r="M33" s="2487"/>
      <c r="N33" s="2487"/>
      <c r="O33" s="2487"/>
      <c r="P33" s="3402" t="s">
        <v>1696</v>
      </c>
      <c r="Q33" s="1263" t="str">
        <f t="shared" si="11"/>
        <v>建筑类型</v>
      </c>
      <c r="R33" s="667" t="s">
        <v>14</v>
      </c>
      <c r="S33" s="668">
        <f t="shared" si="12"/>
        <v>100</v>
      </c>
      <c r="T33" s="667" t="s">
        <v>14</v>
      </c>
      <c r="U33" s="668">
        <f t="shared" si="13"/>
        <v>100</v>
      </c>
      <c r="V33" s="667" t="s">
        <v>14</v>
      </c>
      <c r="W33" s="668">
        <f t="shared" si="14"/>
        <v>100</v>
      </c>
      <c r="X33" s="1265"/>
      <c r="Y33" s="3405"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1058.25</v>
      </c>
      <c r="D34" s="119">
        <v>100</v>
      </c>
      <c r="E34" s="407">
        <v>585.62</v>
      </c>
      <c r="F34" s="364">
        <f>LOOKUP(E34,104:104,105:105)-LOOKUP(C34,104:104,105:105)+100</f>
        <v>101</v>
      </c>
      <c r="G34" s="407">
        <v>350</v>
      </c>
      <c r="H34" s="119">
        <f>LOOKUP(G34,104:104,105:105)-LOOKUP(C34,104:104,105:105)+100</f>
        <v>102</v>
      </c>
      <c r="I34" s="407">
        <v>174.15</v>
      </c>
      <c r="J34" s="119">
        <f>LOOKUP(I34,104:104,105:105)-LOOKUP(C34,104:104,105:105)+100</f>
        <v>101</v>
      </c>
      <c r="K34" s="539"/>
      <c r="L34" s="2491"/>
      <c r="M34" s="2493"/>
      <c r="N34" s="2493"/>
      <c r="O34" s="2493"/>
      <c r="P34" s="3403"/>
      <c r="Q34" s="531" t="str">
        <f t="shared" si="11"/>
        <v>项目建筑规模</v>
      </c>
      <c r="R34" s="669" t="s">
        <v>14</v>
      </c>
      <c r="S34" s="670">
        <f t="shared" si="12"/>
        <v>101</v>
      </c>
      <c r="T34" s="669" t="s">
        <v>14</v>
      </c>
      <c r="U34" s="670">
        <f t="shared" si="13"/>
        <v>102</v>
      </c>
      <c r="V34" s="669" t="s">
        <v>14</v>
      </c>
      <c r="W34" s="670">
        <f t="shared" si="14"/>
        <v>101</v>
      </c>
      <c r="X34" s="671"/>
      <c r="Y34" s="3405"/>
      <c r="Z34" s="672" t="str">
        <f t="shared" si="15"/>
        <v>项目建筑规模</v>
      </c>
      <c r="AA34" s="1264">
        <f t="shared" si="3"/>
        <v>0.99009900990099009</v>
      </c>
      <c r="AB34" s="1264">
        <f t="shared" si="4"/>
        <v>0.98039215686274506</v>
      </c>
      <c r="AC34" s="1812">
        <f t="shared" si="5"/>
        <v>0.99009900990099009</v>
      </c>
    </row>
    <row r="35" spans="1:29" ht="15">
      <c r="A35" s="409"/>
      <c r="B35" s="364" t="s">
        <v>1698</v>
      </c>
      <c r="C35" s="399" t="s">
        <v>3417</v>
      </c>
      <c r="D35" s="374">
        <v>100</v>
      </c>
      <c r="E35" s="399" t="s">
        <v>3417</v>
      </c>
      <c r="F35" s="400">
        <f>SUMIF(106:106,E35,107:107)-SUMIF(106:106,C35,107:107)+100</f>
        <v>100</v>
      </c>
      <c r="G35" s="399" t="s">
        <v>3417</v>
      </c>
      <c r="H35" s="374">
        <f>SUMIF(106:106,G35,107:107)-SUMIF(106:106,C35,107:107)+100</f>
        <v>100</v>
      </c>
      <c r="I35" s="399" t="s">
        <v>3417</v>
      </c>
      <c r="J35" s="374">
        <f>SUMIF(106:106,I35,107:107)-SUMIF(106:106,C35,107:107)+100</f>
        <v>100</v>
      </c>
      <c r="K35" s="538">
        <v>2</v>
      </c>
      <c r="L35" s="2492"/>
      <c r="M35" s="2487"/>
      <c r="N35" s="2487"/>
      <c r="O35" s="2487"/>
      <c r="P35" s="3403"/>
      <c r="Q35" s="1263" t="str">
        <f t="shared" si="11"/>
        <v>建筑结构</v>
      </c>
      <c r="R35" s="667" t="s">
        <v>14</v>
      </c>
      <c r="S35" s="668">
        <f t="shared" si="12"/>
        <v>100</v>
      </c>
      <c r="T35" s="667" t="s">
        <v>14</v>
      </c>
      <c r="U35" s="668">
        <f t="shared" si="13"/>
        <v>100</v>
      </c>
      <c r="V35" s="667" t="s">
        <v>14</v>
      </c>
      <c r="W35" s="668">
        <f t="shared" si="14"/>
        <v>100</v>
      </c>
      <c r="X35" s="1265"/>
      <c r="Y35" s="340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3"/>
      <c r="Q36" s="1263" t="str">
        <f t="shared" si="11"/>
        <v>公共部分装修</v>
      </c>
      <c r="R36" s="667" t="s">
        <v>14</v>
      </c>
      <c r="S36" s="668">
        <f t="shared" si="12"/>
        <v>100</v>
      </c>
      <c r="T36" s="667" t="s">
        <v>14</v>
      </c>
      <c r="U36" s="668">
        <f t="shared" si="13"/>
        <v>100</v>
      </c>
      <c r="V36" s="667" t="s">
        <v>14</v>
      </c>
      <c r="W36" s="668">
        <f t="shared" si="14"/>
        <v>100</v>
      </c>
      <c r="X36" s="1265"/>
      <c r="Y36" s="3405"/>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'数据-取费表'!N6</f>
        <v>0.69</v>
      </c>
      <c r="F37" s="400">
        <f>LOOKUP(E37,111:111,112:112)-LOOKUP(C37,111:111,112:112)+100</f>
        <v>100</v>
      </c>
      <c r="G37" s="411">
        <f>E37</f>
        <v>0.69</v>
      </c>
      <c r="H37" s="400">
        <f>LOOKUP(G37,111:111,112:112)-LOOKUP(C37,111:111,112:112)+100</f>
        <v>100</v>
      </c>
      <c r="I37" s="3170">
        <f>ROUND(1-(2025-2009)/60,2)</f>
        <v>0.73</v>
      </c>
      <c r="J37" s="374">
        <f>LOOKUP(I37,111:111,112:112)-LOOKUP(C37,111:111,112:112)+100</f>
        <v>102</v>
      </c>
      <c r="K37" s="538">
        <v>2</v>
      </c>
      <c r="L37" s="2492"/>
      <c r="M37" s="2487"/>
      <c r="N37" s="2487"/>
      <c r="O37" s="2487"/>
      <c r="P37" s="3403"/>
      <c r="Q37" s="1263" t="str">
        <f t="shared" si="11"/>
        <v>成新度</v>
      </c>
      <c r="R37" s="667" t="s">
        <v>14</v>
      </c>
      <c r="S37" s="668">
        <f t="shared" si="12"/>
        <v>100</v>
      </c>
      <c r="T37" s="667" t="s">
        <v>14</v>
      </c>
      <c r="U37" s="668">
        <f t="shared" si="13"/>
        <v>100</v>
      </c>
      <c r="V37" s="667" t="s">
        <v>14</v>
      </c>
      <c r="W37" s="668">
        <f t="shared" si="14"/>
        <v>102</v>
      </c>
      <c r="X37" s="1265"/>
      <c r="Y37" s="3405"/>
      <c r="Z37" s="1264" t="str">
        <f t="shared" si="15"/>
        <v>成新度</v>
      </c>
      <c r="AA37" s="1264">
        <f t="shared" si="3"/>
        <v>1</v>
      </c>
      <c r="AB37" s="1264">
        <f t="shared" si="4"/>
        <v>1</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3"/>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
      <c r="A39" s="409"/>
      <c r="B39" s="364" t="s">
        <v>1819</v>
      </c>
      <c r="C39" s="399" t="s">
        <v>3451</v>
      </c>
      <c r="D39" s="374">
        <v>100</v>
      </c>
      <c r="E39" s="399" t="s">
        <v>3451</v>
      </c>
      <c r="F39" s="400">
        <f>SUMIF(115:115,E39,116:116)-SUMIF(115:115,C39,116:116)+100</f>
        <v>100</v>
      </c>
      <c r="G39" s="399" t="s">
        <v>3451</v>
      </c>
      <c r="H39" s="374">
        <f>SUMIF(115:115,G39,116:116)-SUMIF(115:115,C39,116:116)+100</f>
        <v>100</v>
      </c>
      <c r="I39" s="399" t="s">
        <v>3451</v>
      </c>
      <c r="J39" s="374">
        <f>SUMIF(115:115,I39,116:116)-SUMIF(115:115,C39,116:116)+100</f>
        <v>100</v>
      </c>
      <c r="K39" s="538">
        <v>2</v>
      </c>
      <c r="L39" s="2492"/>
      <c r="M39" s="2487"/>
      <c r="N39" s="2487"/>
      <c r="O39" s="2487"/>
      <c r="P39" s="3403" t="s">
        <v>1696</v>
      </c>
      <c r="Q39" s="1263" t="str">
        <f t="shared" si="11"/>
        <v>物业管理</v>
      </c>
      <c r="R39" s="667" t="s">
        <v>14</v>
      </c>
      <c r="S39" s="668">
        <f t="shared" si="12"/>
        <v>100</v>
      </c>
      <c r="T39" s="667" t="s">
        <v>14</v>
      </c>
      <c r="U39" s="668">
        <f t="shared" si="13"/>
        <v>100</v>
      </c>
      <c r="V39" s="667" t="s">
        <v>14</v>
      </c>
      <c r="W39" s="668">
        <f t="shared" si="14"/>
        <v>100</v>
      </c>
      <c r="X39" s="1265"/>
      <c r="Y39" s="3405" t="s">
        <v>1696</v>
      </c>
      <c r="Z39" s="1264" t="str">
        <f t="shared" si="15"/>
        <v>物业管理</v>
      </c>
      <c r="AA39" s="1264">
        <f t="shared" si="3"/>
        <v>1</v>
      </c>
      <c r="AB39" s="1264">
        <f t="shared" si="4"/>
        <v>1</v>
      </c>
      <c r="AC39" s="1812">
        <f t="shared" si="5"/>
        <v>1</v>
      </c>
    </row>
    <row r="40" spans="1:29" ht="15">
      <c r="A40" s="409"/>
      <c r="B40" s="364" t="s">
        <v>1787</v>
      </c>
      <c r="C40" s="399" t="s">
        <v>3446</v>
      </c>
      <c r="D40" s="374">
        <v>100</v>
      </c>
      <c r="E40" s="399" t="s">
        <v>3446</v>
      </c>
      <c r="F40" s="400">
        <f>SUMIF(117:117,E40,118:118)-SUMIF(117:117,C40,118:118)+100</f>
        <v>100</v>
      </c>
      <c r="G40" s="399" t="s">
        <v>3446</v>
      </c>
      <c r="H40" s="374">
        <f>SUMIF(117:117,G40,118:118)-SUMIF(117:117,C40,118:118)+100</f>
        <v>100</v>
      </c>
      <c r="I40" s="399" t="s">
        <v>3446</v>
      </c>
      <c r="J40" s="374">
        <f>SUMIF(117:117,I40,118:118)-SUMIF(117:117,C40,118:118)+100</f>
        <v>100</v>
      </c>
      <c r="K40" s="538">
        <v>1</v>
      </c>
      <c r="L40" s="2492"/>
      <c r="M40" s="2487"/>
      <c r="N40" s="2487"/>
      <c r="O40" s="2487"/>
      <c r="P40" s="3403"/>
      <c r="Q40" s="1263" t="str">
        <f t="shared" si="11"/>
        <v>市政基础设施</v>
      </c>
      <c r="R40" s="667" t="s">
        <v>14</v>
      </c>
      <c r="S40" s="668">
        <f t="shared" si="12"/>
        <v>100</v>
      </c>
      <c r="T40" s="667" t="s">
        <v>14</v>
      </c>
      <c r="U40" s="668">
        <f t="shared" si="13"/>
        <v>100</v>
      </c>
      <c r="V40" s="667" t="s">
        <v>14</v>
      </c>
      <c r="W40" s="668">
        <f t="shared" si="14"/>
        <v>100</v>
      </c>
      <c r="X40" s="1265"/>
      <c r="Y40" s="3405"/>
      <c r="Z40" s="1264" t="str">
        <f t="shared" si="15"/>
        <v>市政基础设施</v>
      </c>
      <c r="AA40" s="1264">
        <f t="shared" si="3"/>
        <v>1</v>
      </c>
      <c r="AB40" s="1264">
        <f t="shared" si="4"/>
        <v>1</v>
      </c>
      <c r="AC40" s="1812">
        <f t="shared" si="5"/>
        <v>1</v>
      </c>
    </row>
    <row r="41" spans="1:29" ht="15">
      <c r="A41" s="409"/>
      <c r="B41" s="364" t="s">
        <v>1789</v>
      </c>
      <c r="C41" s="542" t="s">
        <v>3452</v>
      </c>
      <c r="D41" s="374">
        <v>100</v>
      </c>
      <c r="E41" s="542" t="s">
        <v>3452</v>
      </c>
      <c r="F41" s="400">
        <f>SUMIF(119:119,E41,120:120)-SUMIF(119:119,C41,120:120)+100</f>
        <v>100</v>
      </c>
      <c r="G41" s="542" t="s">
        <v>3452</v>
      </c>
      <c r="H41" s="374">
        <f>SUMIF(119:119,G41,120:120)-SUMIF(119:119,C41,120:120)+100</f>
        <v>100</v>
      </c>
      <c r="I41" s="542" t="s">
        <v>3452</v>
      </c>
      <c r="J41" s="374">
        <f>SUMIF(119:119,I41,120:120)-SUMIF(119:119,C41,120:120)+100</f>
        <v>100</v>
      </c>
      <c r="K41" s="538">
        <v>2</v>
      </c>
      <c r="L41" s="2492"/>
      <c r="M41" s="2487"/>
      <c r="N41" s="2487"/>
      <c r="O41" s="2487"/>
      <c r="P41" s="3403"/>
      <c r="Q41" s="1263" t="str">
        <f t="shared" si="11"/>
        <v>层高</v>
      </c>
      <c r="R41" s="667" t="s">
        <v>14</v>
      </c>
      <c r="S41" s="668">
        <f t="shared" si="12"/>
        <v>100</v>
      </c>
      <c r="T41" s="667" t="s">
        <v>14</v>
      </c>
      <c r="U41" s="668">
        <f t="shared" si="13"/>
        <v>100</v>
      </c>
      <c r="V41" s="667" t="s">
        <v>14</v>
      </c>
      <c r="W41" s="668">
        <f t="shared" si="14"/>
        <v>100</v>
      </c>
      <c r="X41" s="1265"/>
      <c r="Y41" s="340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3"/>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4">
        <f t="shared" si="3"/>
        <v>1</v>
      </c>
      <c r="AB42" s="1264">
        <f t="shared" si="4"/>
        <v>1</v>
      </c>
      <c r="AC42" s="1812">
        <f t="shared" si="5"/>
        <v>1</v>
      </c>
    </row>
    <row r="43" spans="1:29" ht="15">
      <c r="A43" s="409"/>
      <c r="B43" s="364" t="s">
        <v>1792</v>
      </c>
      <c r="C43" s="399" t="s">
        <v>3449</v>
      </c>
      <c r="D43" s="374">
        <v>100</v>
      </c>
      <c r="E43" s="399" t="s">
        <v>3449</v>
      </c>
      <c r="F43" s="400">
        <f>SUMIF(123:123,E43,124:124)-SUMIF(123:123,C43,124:124)+100</f>
        <v>100</v>
      </c>
      <c r="G43" s="399" t="s">
        <v>3449</v>
      </c>
      <c r="H43" s="374">
        <f>SUMIF(123:123,G43,124:124)-SUMIF(123:123,C43,124:124)+100</f>
        <v>100</v>
      </c>
      <c r="I43" s="399" t="s">
        <v>3449</v>
      </c>
      <c r="J43" s="374">
        <f>SUMIF(123:123,I43,124:124)-SUMIF(123:123,C43,124:124)+100</f>
        <v>100</v>
      </c>
      <c r="K43" s="538">
        <v>2</v>
      </c>
      <c r="L43" s="2492"/>
      <c r="M43" s="2487"/>
      <c r="N43" s="2487"/>
      <c r="O43" s="2487"/>
      <c r="P43" s="3403"/>
      <c r="Q43" s="1263" t="str">
        <f t="shared" si="11"/>
        <v>内部装修</v>
      </c>
      <c r="R43" s="667" t="s">
        <v>14</v>
      </c>
      <c r="S43" s="668">
        <f t="shared" si="12"/>
        <v>100</v>
      </c>
      <c r="T43" s="667" t="s">
        <v>14</v>
      </c>
      <c r="U43" s="668">
        <f t="shared" si="13"/>
        <v>100</v>
      </c>
      <c r="V43" s="667" t="s">
        <v>14</v>
      </c>
      <c r="W43" s="668">
        <f t="shared" si="14"/>
        <v>100</v>
      </c>
      <c r="X43" s="1265"/>
      <c r="Y43" s="3405"/>
      <c r="Z43" s="1264" t="str">
        <f t="shared" si="15"/>
        <v>内部装修</v>
      </c>
      <c r="AA43" s="1264">
        <f t="shared" si="3"/>
        <v>1</v>
      </c>
      <c r="AB43" s="1264">
        <f t="shared" si="4"/>
        <v>1</v>
      </c>
      <c r="AC43" s="1812">
        <f t="shared" si="5"/>
        <v>1</v>
      </c>
    </row>
    <row r="44" spans="1:29" ht="15">
      <c r="A44" s="409"/>
      <c r="B44" s="364" t="s">
        <v>1707</v>
      </c>
      <c r="C44" s="399" t="s">
        <v>3433</v>
      </c>
      <c r="D44" s="374">
        <v>100</v>
      </c>
      <c r="E44" s="399" t="s">
        <v>3433</v>
      </c>
      <c r="F44" s="400">
        <f>SUMIF(125:125,E44,126:126)-SUMIF(125:125,C44,126:126)+100</f>
        <v>100</v>
      </c>
      <c r="G44" s="399" t="s">
        <v>3433</v>
      </c>
      <c r="H44" s="374">
        <f>SUMIF(125:125,G44,126:126)-SUMIF(125:125,C44,126:126)+100</f>
        <v>100</v>
      </c>
      <c r="I44" s="399" t="s">
        <v>3433</v>
      </c>
      <c r="J44" s="374">
        <f>SUMIF(125:125,I44,126:126)-SUMIF(125:125,C44,126:126)+100</f>
        <v>100</v>
      </c>
      <c r="K44" s="538">
        <v>2</v>
      </c>
      <c r="L44" s="2492"/>
      <c r="M44" s="2487"/>
      <c r="N44" s="2487"/>
      <c r="O44" s="2487"/>
      <c r="P44" s="3403"/>
      <c r="Q44" s="1263" t="str">
        <f t="shared" si="11"/>
        <v>内部装修维护情况</v>
      </c>
      <c r="R44" s="667" t="s">
        <v>14</v>
      </c>
      <c r="S44" s="668">
        <f t="shared" si="12"/>
        <v>100</v>
      </c>
      <c r="T44" s="667" t="s">
        <v>14</v>
      </c>
      <c r="U44" s="668">
        <f t="shared" si="13"/>
        <v>100</v>
      </c>
      <c r="V44" s="667" t="s">
        <v>14</v>
      </c>
      <c r="W44" s="668">
        <f t="shared" si="14"/>
        <v>100</v>
      </c>
      <c r="X44" s="1265"/>
      <c r="Y44" s="340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3"/>
      <c r="Q45" s="530">
        <f t="shared" si="11"/>
        <v>111</v>
      </c>
      <c r="R45" s="664" t="s">
        <v>14</v>
      </c>
      <c r="S45" s="665">
        <f t="shared" si="12"/>
        <v>100</v>
      </c>
      <c r="T45" s="664" t="s">
        <v>14</v>
      </c>
      <c r="U45" s="665">
        <f t="shared" si="13"/>
        <v>100</v>
      </c>
      <c r="V45" s="664" t="s">
        <v>14</v>
      </c>
      <c r="W45" s="665">
        <f t="shared" si="14"/>
        <v>100</v>
      </c>
      <c r="X45" s="666"/>
      <c r="Y45" s="340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4"/>
      <c r="Q47" s="1263">
        <f t="shared" si="11"/>
        <v>111</v>
      </c>
      <c r="R47" s="667" t="s">
        <v>14</v>
      </c>
      <c r="S47" s="668">
        <f t="shared" si="12"/>
        <v>100</v>
      </c>
      <c r="T47" s="667" t="s">
        <v>14</v>
      </c>
      <c r="U47" s="668">
        <f t="shared" si="13"/>
        <v>100</v>
      </c>
      <c r="V47" s="667" t="s">
        <v>14</v>
      </c>
      <c r="W47" s="668">
        <f t="shared" si="14"/>
        <v>100</v>
      </c>
      <c r="X47" s="1265"/>
      <c r="Y47" s="3406"/>
      <c r="Z47" s="1264">
        <f t="shared" si="15"/>
        <v>111</v>
      </c>
      <c r="AA47" s="1264">
        <f t="shared" si="3"/>
        <v>1</v>
      </c>
      <c r="AB47" s="1264">
        <f t="shared" si="4"/>
        <v>1</v>
      </c>
      <c r="AC47" s="1812">
        <f t="shared" si="5"/>
        <v>1</v>
      </c>
    </row>
    <row r="48" spans="1:29" ht="15">
      <c r="A48" s="416" t="s">
        <v>1708</v>
      </c>
      <c r="B48" s="417"/>
      <c r="C48" s="1081" t="s">
        <v>0</v>
      </c>
      <c r="D48" s="418"/>
      <c r="E48" s="419">
        <v>42007</v>
      </c>
      <c r="F48" s="420"/>
      <c r="G48" s="421">
        <v>40000</v>
      </c>
      <c r="H48" s="422"/>
      <c r="I48" s="419">
        <v>45000</v>
      </c>
      <c r="J48" s="422"/>
      <c r="K48" s="674"/>
      <c r="L48" s="2494"/>
      <c r="M48" s="2487"/>
      <c r="N48" s="2487"/>
      <c r="O48" s="2487"/>
      <c r="P48" s="3378" t="str">
        <f>A48</f>
        <v>成交单价（元/平方米）</v>
      </c>
      <c r="Q48" s="3407"/>
      <c r="R48" s="3395">
        <f>E48</f>
        <v>42007</v>
      </c>
      <c r="S48" s="3395"/>
      <c r="T48" s="3395">
        <f>G48</f>
        <v>40000</v>
      </c>
      <c r="U48" s="3395"/>
      <c r="V48" s="3395">
        <f>I48</f>
        <v>45000</v>
      </c>
      <c r="W48" s="3395"/>
      <c r="X48" s="385"/>
      <c r="Y48" s="673"/>
      <c r="Z48" s="385"/>
      <c r="AA48" s="385"/>
      <c r="AB48" s="385"/>
      <c r="AC48" s="555"/>
    </row>
    <row r="49" spans="1:29" ht="15.75" thickBot="1">
      <c r="A49" s="423" t="s">
        <v>1793</v>
      </c>
      <c r="B49" s="424"/>
      <c r="C49" s="1082">
        <f>R50</f>
        <v>40974</v>
      </c>
      <c r="D49" s="2141" t="s">
        <v>2137</v>
      </c>
      <c r="E49" s="1083">
        <f>R49</f>
        <v>40776</v>
      </c>
      <c r="F49" s="2142"/>
      <c r="G49" s="1082">
        <f>T49</f>
        <v>38447</v>
      </c>
      <c r="H49" s="2142"/>
      <c r="I49" s="1083">
        <f>V49</f>
        <v>43698</v>
      </c>
      <c r="J49" s="2142"/>
      <c r="K49" s="2144">
        <f>F49+H49+J49</f>
        <v>0</v>
      </c>
      <c r="L49" s="2494"/>
      <c r="M49" s="2487"/>
      <c r="N49" s="2487"/>
      <c r="O49" s="2487"/>
      <c r="P49" s="3378" t="str">
        <f>A49</f>
        <v>比较价值（元/平方米）</v>
      </c>
      <c r="Q49" s="3407"/>
      <c r="R49" s="3395">
        <f>IF(F1="售价",ROUND(PRODUCT(R48,AA7:AA47),0),ROUND(PRODUCT(R48,AA7:AA47),1))</f>
        <v>40776</v>
      </c>
      <c r="S49" s="3395"/>
      <c r="T49" s="3395">
        <f>IF(F1="售价",ROUND(PRODUCT(T48,AB7:AB47),0),ROUND(PRODUCT(T48,AB7:AB47),1))</f>
        <v>38447</v>
      </c>
      <c r="U49" s="3395"/>
      <c r="V49" s="3395">
        <f>IF(F1="售价",ROUND(PRODUCT(V48,AC7:AC47),0),ROUND(PRODUCT(V48,AC7:AC47),1))</f>
        <v>43698</v>
      </c>
      <c r="W49" s="3395"/>
      <c r="X49" s="385"/>
      <c r="Y49" s="385"/>
      <c r="Z49" s="385"/>
      <c r="AA49" s="385"/>
      <c r="AB49" s="385"/>
      <c r="AC49" s="555"/>
    </row>
    <row r="50" spans="1:29" ht="15.75" thickBot="1">
      <c r="A50" s="427" t="s">
        <v>1794</v>
      </c>
      <c r="B50" s="428"/>
      <c r="C50" s="351">
        <f>R50</f>
        <v>40974</v>
      </c>
      <c r="D50" s="351"/>
      <c r="E50" s="351"/>
      <c r="F50" s="351"/>
      <c r="G50" s="351"/>
      <c r="H50" s="351"/>
      <c r="I50" s="351"/>
      <c r="J50" s="429"/>
      <c r="K50" s="675"/>
      <c r="L50" s="2494"/>
      <c r="M50" s="2487"/>
      <c r="N50" s="2487"/>
      <c r="O50" s="2487"/>
      <c r="P50" s="3408" t="str">
        <f>A50</f>
        <v>估价对象XX用房的比较价值（楼面单价，元/平方米）</v>
      </c>
      <c r="Q50" s="3409"/>
      <c r="R50" s="3410">
        <f>IF(F1="售价",ROUND(IF(D49="简单平均",AVERAGE(R49:V49),R49*F49+T49*H49+V49*J49),0),ROUND(IF(D49="简单平均",AVERAGE(R49:V49),R49*F49+T49*H49+V49*J49),1))</f>
        <v>40974</v>
      </c>
      <c r="S50" s="3410"/>
      <c r="T50" s="3410"/>
      <c r="U50" s="3410"/>
      <c r="V50" s="3410"/>
      <c r="W50" s="341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3.0189327055130555E-2</v>
      </c>
      <c r="F53" s="435" t="str">
        <f>IF(OR(E53&gt;=0.3,E53&lt;=-0.3),"超过30%","")</f>
        <v/>
      </c>
      <c r="G53" s="434">
        <f>IF(G48&lt;G49,G49/G48-1,G48/G49-1)</f>
        <v>4.0393268655551706E-2</v>
      </c>
      <c r="H53" s="435" t="str">
        <f>IF(OR(G53&gt;=0.3,G53&lt;=-0.3),"超过30%","")</f>
        <v/>
      </c>
      <c r="I53" s="434">
        <f>IF(I48&lt;I49,I49/I48-1,I48/I49-1)</f>
        <v>2.9795413977756313E-2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6.0576898067469465E-2</v>
      </c>
      <c r="F54" s="435" t="str">
        <f>IF(OR(E54&gt;=0.2,E54&lt;=-0.2),"超过20%","")</f>
        <v/>
      </c>
      <c r="G54" s="434">
        <f>IF(G49&lt;I49,I49/G49-1,G49/I49-1)</f>
        <v>0.13657762634275761</v>
      </c>
      <c r="H54" s="435" t="str">
        <f>IF(OR(G54&gt;=0.2,G54&lt;=-0.2),"超过20%","")</f>
        <v/>
      </c>
      <c r="I54" s="434">
        <f>IF(I49&lt;E49,E49/I49-1,I49/E49-1)</f>
        <v>7.1659799882283659E-2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5.0175000000000081E-2</v>
      </c>
      <c r="F55" s="435" t="str">
        <f>IF(OR(E55&gt;=0.3,E55&lt;=-0.3),"超过30%","")</f>
        <v/>
      </c>
      <c r="G55" s="434">
        <f>IF(G48&lt;I48,I48/G48-1,G48/I48-1)</f>
        <v>0.125</v>
      </c>
      <c r="H55" s="435" t="str">
        <f>IF(OR(G55&gt;=0.3,G55&lt;=-0.3),"超过30%","")</f>
        <v/>
      </c>
      <c r="I55" s="434">
        <f>IF(I48&lt;E48,E48/I48-1,I48/E48-1)</f>
        <v>7.1250029756945166E-2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62" t="s">
        <v>3422</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68" t="s">
        <v>3435</v>
      </c>
      <c r="D87" s="3168" t="s">
        <v>3436</v>
      </c>
      <c r="E87" s="3168" t="s">
        <v>3437</v>
      </c>
      <c r="F87" s="3168" t="s">
        <v>3438</v>
      </c>
      <c r="G87" s="3168" t="s">
        <v>3439</v>
      </c>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68" t="s">
        <v>3440</v>
      </c>
      <c r="D89" s="3168" t="s">
        <v>3441</v>
      </c>
      <c r="E89" s="3168" t="s">
        <v>3442</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67" t="s">
        <v>3460</v>
      </c>
      <c r="D101" s="3167"/>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0(含)-300</v>
      </c>
      <c r="D103" s="509" t="str">
        <f t="shared" ref="D103:L103" si="23">D104&amp;"(含)"&amp;"-"&amp;E104</f>
        <v>300(含)-500</v>
      </c>
      <c r="E103" s="509" t="str">
        <f t="shared" si="23"/>
        <v>500(含)-800</v>
      </c>
      <c r="F103" s="509" t="str">
        <f t="shared" si="23"/>
        <v>800(含)-1500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800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99</v>
      </c>
      <c r="D105" s="467">
        <v>100</v>
      </c>
      <c r="E105" s="467">
        <v>99</v>
      </c>
      <c r="F105" s="467">
        <v>98</v>
      </c>
      <c r="G105" s="467">
        <v>97</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68" t="s">
        <v>3443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68" t="s">
        <v>3444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68"/>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68" t="s">
        <v>3445</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t="s">
        <v>3446</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69" t="s">
        <v>3453</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68" t="s">
        <v>3444</v>
      </c>
      <c r="D123" s="3168" t="s">
        <v>3450</v>
      </c>
      <c r="E123" s="3168" t="s">
        <v>3447</v>
      </c>
      <c r="F123" s="3168" t="s">
        <v>3448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F36" sqref="F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18.059999999999999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1731.2409</v>
      </c>
      <c r="C2" s="1289" t="s">
        <v>879</v>
      </c>
      <c r="D2" s="1375">
        <f ca="1">C40+J29+L46</f>
        <v>17312409</v>
      </c>
      <c r="E2" s="1295" t="s">
        <v>880</v>
      </c>
      <c r="F2" s="1296"/>
      <c r="G2" s="2478"/>
      <c r="H2" s="2468"/>
      <c r="I2" s="2468"/>
      <c r="J2" s="2468"/>
      <c r="K2" s="2469"/>
      <c r="L2" s="2468"/>
      <c r="M2" s="2468"/>
    </row>
    <row r="3" spans="1:37" ht="18" customHeight="1" thickBot="1">
      <c r="A3" s="1297" t="s">
        <v>881</v>
      </c>
      <c r="B3" s="1298">
        <f ca="1">IF(ISERROR(D2/F43),0,ROUND(D2/F43,0))</f>
        <v>16359</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1566313</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1564358</v>
      </c>
      <c r="D6" s="147" t="s">
        <v>2105</v>
      </c>
      <c r="E6" s="294" t="s">
        <v>696</v>
      </c>
      <c r="F6" s="295">
        <f ca="1">INDIRECT("'数据-取费表'!u"&amp;$G$1)</f>
        <v>4.5</v>
      </c>
      <c r="G6" s="1292"/>
      <c r="H6" s="1006" t="s">
        <v>398</v>
      </c>
      <c r="I6" s="3360" t="s">
        <v>694</v>
      </c>
      <c r="J6" s="293">
        <f ca="1">ROUND(M6*M8*M7*(1-M9),0)</f>
        <v>0</v>
      </c>
      <c r="K6" s="1284" t="s">
        <v>2106</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1058.25</v>
      </c>
      <c r="G7" s="1292"/>
      <c r="H7" s="296"/>
      <c r="I7" s="3361"/>
      <c r="J7" s="298"/>
      <c r="K7" s="299"/>
      <c r="L7" s="294" t="s">
        <v>697</v>
      </c>
      <c r="M7" s="295">
        <f ca="1">F7</f>
        <v>1058.25</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1955</v>
      </c>
      <c r="D10" s="150" t="s">
        <v>2115</v>
      </c>
      <c r="E10" s="305" t="s">
        <v>701</v>
      </c>
      <c r="F10" s="1053" t="s">
        <v>3416</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4738948</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4762125</v>
      </c>
      <c r="D14" s="1257" t="s">
        <v>708</v>
      </c>
      <c r="E14" s="1255"/>
      <c r="F14" s="311"/>
      <c r="G14" s="1292"/>
      <c r="H14" s="928" t="s">
        <v>398</v>
      </c>
      <c r="I14" s="294" t="s">
        <v>709</v>
      </c>
      <c r="J14" s="21">
        <f ca="1">C29</f>
        <v>6868041</v>
      </c>
      <c r="K14" s="12"/>
      <c r="L14" s="759"/>
      <c r="M14" s="760"/>
    </row>
    <row r="15" spans="1:37" s="1304" customFormat="1" ht="18" customHeight="1" thickBot="1">
      <c r="A15" s="928" t="s">
        <v>399</v>
      </c>
      <c r="B15" s="294" t="s">
        <v>710</v>
      </c>
      <c r="C15" s="21">
        <f ca="1">ROUND(C14*F15,0)</f>
        <v>142864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20604</v>
      </c>
      <c r="K16" s="1024" t="s">
        <v>715</v>
      </c>
      <c r="L16" s="1025"/>
      <c r="M16" s="1009"/>
    </row>
    <row r="17" spans="1:37" s="1304" customFormat="1" ht="18" customHeight="1">
      <c r="A17" s="928" t="s">
        <v>681</v>
      </c>
      <c r="B17" s="294" t="s">
        <v>716</v>
      </c>
      <c r="C17" s="21">
        <f ca="1">ROUND(F17*(F43+INDIRECT("'数据-取费表'!S"&amp;$G$1)),0)</f>
        <v>211650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95243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5211882</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156356</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20604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166415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-20604</v>
      </c>
      <c r="K25" s="1032" t="s">
        <v>753</v>
      </c>
      <c r="L25" s="1033"/>
      <c r="M25" s="1034"/>
    </row>
    <row r="26" spans="1:37" ht="18" customHeight="1">
      <c r="A26" s="928" t="s">
        <v>397</v>
      </c>
      <c r="B26" s="294" t="s">
        <v>754</v>
      </c>
      <c r="C26" s="21">
        <f ca="1">ROUND((C19+C20)*F26,0)</f>
        <v>805236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6868041</v>
      </c>
      <c r="D29" s="1029"/>
      <c r="E29" s="1027"/>
      <c r="F29" s="1030"/>
      <c r="G29" s="1303"/>
      <c r="H29" s="325" t="s">
        <v>396</v>
      </c>
      <c r="I29" s="326" t="s">
        <v>768</v>
      </c>
      <c r="J29" s="327">
        <f ca="1">ROUND(J26/(1+F40)^F41,0)</f>
        <v>0</v>
      </c>
      <c r="K29" s="328" t="s">
        <v>769</v>
      </c>
      <c r="L29" s="329"/>
      <c r="M29" s="330">
        <f ca="1">INDIRECT("'数据-取费表'!k"&amp;$G$1)</f>
        <v>1058.25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295391</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262216</v>
      </c>
      <c r="D31" s="1257" t="s">
        <v>720</v>
      </c>
      <c r="E31" s="1256" t="s">
        <v>770</v>
      </c>
      <c r="F31" s="2139">
        <f ca="1">IF(项目基本情况!B11="企业","——",IF(M47="住宅",IF(F6*F7*F8/12/(1+'数据-取费表'!F30)&gt;100000,4%,2.5%),IF(F6*F7*F8/12/(1+'数据-取费表'!F30)&gt;100000,12%,7%)))</f>
        <v>0.12</v>
      </c>
      <c r="G31" s="1292"/>
      <c r="H31" s="2569" t="s">
        <v>2301</v>
      </c>
      <c r="I31" s="1305"/>
      <c r="J31" s="1306"/>
      <c r="K31" s="121"/>
      <c r="L31" s="2471"/>
      <c r="M31" s="2472"/>
    </row>
    <row r="32" spans="1:37" ht="18" customHeight="1">
      <c r="A32" s="928" t="s">
        <v>397</v>
      </c>
      <c r="B32" s="294" t="s">
        <v>723</v>
      </c>
      <c r="C32" s="21">
        <f ca="1">IF(项目基本情况!B11="自然人","——",ROUND(C6*F32/(1+'数据-取费表'!C42),0))</f>
        <v>83432</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178784</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20604</v>
      </c>
      <c r="D36" s="1256" t="s">
        <v>771</v>
      </c>
      <c r="E36" s="294" t="s">
        <v>712</v>
      </c>
      <c r="F36" s="320">
        <f ca="1">INDIRECT("'数据-取费表'!Ak"&amp;$G$1)</f>
        <v>3.0000000000000001E-3</v>
      </c>
      <c r="G36" s="1292"/>
      <c r="H36" s="2473"/>
      <c r="I36" s="1305"/>
      <c r="J36" s="1306"/>
      <c r="K36" s="2330"/>
      <c r="L36" s="2473"/>
      <c r="M36" s="2473"/>
    </row>
    <row r="37" spans="1:18" ht="18" customHeight="1">
      <c r="A37" s="928" t="s">
        <v>437</v>
      </c>
      <c r="B37" s="294" t="s">
        <v>742</v>
      </c>
      <c r="C37" s="21">
        <f ca="1">ROUND(C13*F37,0)</f>
        <v>4739</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7832</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1270922</v>
      </c>
      <c r="D39" s="1032" t="s">
        <v>773</v>
      </c>
      <c r="E39" s="1033"/>
      <c r="F39" s="1034"/>
      <c r="G39" s="1292"/>
      <c r="H39" s="2473"/>
      <c r="I39" s="1305"/>
      <c r="J39" s="1306"/>
      <c r="K39" s="2471"/>
      <c r="L39" s="2473"/>
      <c r="M39" s="2473"/>
    </row>
    <row r="40" spans="1:18" ht="18" customHeight="1">
      <c r="A40" s="291" t="s">
        <v>395</v>
      </c>
      <c r="B40" s="292" t="s">
        <v>774</v>
      </c>
      <c r="C40" s="293">
        <f ca="1">ROUND(C39*(1-((1+F42)/(1+F40))^F41)/(F40-F42),0)</f>
        <v>16568267</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18.059999999999999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15656</v>
      </c>
      <c r="D43" s="328" t="s">
        <v>777</v>
      </c>
      <c r="E43" s="329" t="s">
        <v>778</v>
      </c>
      <c r="F43" s="330">
        <f ca="1">INDIRECT("'数据-取费表'!k"&amp;$G$1)</f>
        <v>1058.25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-1685.384</v>
      </c>
      <c r="D45" s="3130" t="s">
        <v>3348</v>
      </c>
      <c r="E45" s="1307"/>
      <c r="F45" s="1307"/>
      <c r="O45" s="1310" t="s">
        <v>808</v>
      </c>
      <c r="P45" s="1366"/>
      <c r="Q45" s="1366"/>
      <c r="R45" s="1366"/>
    </row>
    <row r="46" spans="1:18" s="1292" customFormat="1" ht="13.5" thickBot="1">
      <c r="A46" s="1311" t="s">
        <v>809</v>
      </c>
      <c r="C46" s="1312">
        <f ca="1">ROUND(C45,0)</f>
        <v>-1685</v>
      </c>
      <c r="D46" s="1313" t="str">
        <f>C2</f>
        <v>万元</v>
      </c>
      <c r="I46" s="1314" t="s">
        <v>810</v>
      </c>
      <c r="J46" s="1315"/>
      <c r="K46" s="1316"/>
      <c r="L46" s="1317">
        <f ca="1">IF(M47="住宅",0,IF(L48&gt;J51,L60,J60))</f>
        <v>744142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3417</v>
      </c>
      <c r="K47" s="1323" t="s">
        <v>816</v>
      </c>
      <c r="L47" s="1324">
        <f ca="1">INDIRECT("'数据-取费表'!d"&amp;$G$1)</f>
        <v>50</v>
      </c>
      <c r="M47" s="1288" t="str">
        <f>IF(ISNUMBER(FIND("住宅",C1)),"住宅","非住宅")</f>
        <v>非住宅</v>
      </c>
      <c r="O47" s="1325" t="s">
        <v>403</v>
      </c>
      <c r="P47" s="1326" t="s">
        <v>817</v>
      </c>
      <c r="Q47" s="1327">
        <f ca="1">C40+J29</f>
        <v>16568267</v>
      </c>
      <c r="R47" s="1327" t="s">
        <v>818</v>
      </c>
    </row>
    <row r="48" spans="1:18" s="1292" customFormat="1" ht="28.5" thickBot="1">
      <c r="A48" s="1047" t="s">
        <v>438</v>
      </c>
      <c r="B48" s="292" t="s">
        <v>692</v>
      </c>
      <c r="C48" s="1268">
        <f ca="1">C49+C53+C55</f>
        <v>0</v>
      </c>
      <c r="D48" s="1049"/>
      <c r="E48" s="1050"/>
      <c r="F48" s="908"/>
      <c r="G48" s="681"/>
      <c r="H48" s="682"/>
      <c r="I48" s="1328" t="s">
        <v>819</v>
      </c>
      <c r="J48" s="1329" t="s">
        <v>3418</v>
      </c>
      <c r="K48" s="1330" t="s">
        <v>820</v>
      </c>
      <c r="L48" s="1331">
        <f ca="1">INDIRECT("'数据-取费表'!f"&amp;$G$1)</f>
        <v>18.059999999999999</v>
      </c>
      <c r="O48" s="1325" t="s">
        <v>404</v>
      </c>
      <c r="P48" s="1326" t="s">
        <v>821</v>
      </c>
      <c r="Q48" s="1327">
        <f ca="1">J60</f>
        <v>744142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1999</v>
      </c>
      <c r="K49" s="1330" t="s">
        <v>824</v>
      </c>
      <c r="L49" s="1333"/>
      <c r="O49" s="1334" t="s">
        <v>405</v>
      </c>
      <c r="P49" s="1326" t="s">
        <v>825</v>
      </c>
      <c r="Q49" s="1327">
        <f ca="1">C29</f>
        <v>6868041</v>
      </c>
      <c r="R49" s="1327" t="s">
        <v>818</v>
      </c>
    </row>
    <row r="50" spans="1:18" s="1292" customFormat="1" ht="13.5" thickBot="1">
      <c r="A50" s="922"/>
      <c r="B50" s="925"/>
      <c r="C50" s="926"/>
      <c r="D50" s="899"/>
      <c r="E50" s="993" t="s">
        <v>697</v>
      </c>
      <c r="F50" s="994">
        <f ca="1">F7</f>
        <v>1058.25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34</v>
      </c>
      <c r="K51" s="1339" t="s">
        <v>830</v>
      </c>
      <c r="L51" s="1340">
        <f ca="1">ROUND(-PV(INDIRECT("'数据-取费表'!h"&amp;$G$1),J51,(C39-C13*C76),0),0)</f>
        <v>15208305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18.059999999999999</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18.059999999999999</v>
      </c>
      <c r="K53" s="3358" t="s">
        <v>837</v>
      </c>
      <c r="L53" s="3359"/>
      <c r="O53" s="1325" t="s">
        <v>409</v>
      </c>
      <c r="P53" s="1326" t="s">
        <v>838</v>
      </c>
      <c r="Q53" s="1327">
        <f ca="1">Q47+Q48</f>
        <v>17312409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4738948</v>
      </c>
      <c r="D56" s="1352"/>
      <c r="E56" s="1353"/>
      <c r="F56" s="1345"/>
      <c r="I56" s="1354" t="s">
        <v>842</v>
      </c>
      <c r="J56" s="1355" t="s">
        <v>3411</v>
      </c>
      <c r="K56" s="1328" t="s">
        <v>843</v>
      </c>
      <c r="L56" s="1331" t="str">
        <f ca="1">IF(L48&lt;J51,"——",L48-J51)</f>
        <v>——</v>
      </c>
      <c r="O56" s="1325" t="s">
        <v>403</v>
      </c>
      <c r="P56" s="1326" t="s">
        <v>817</v>
      </c>
      <c r="Q56" s="1327">
        <f ca="1">C40+J29</f>
        <v>16568267</v>
      </c>
      <c r="R56" s="1327" t="s">
        <v>818</v>
      </c>
    </row>
    <row r="57" spans="1:18" s="1292" customFormat="1" ht="24.75" thickBot="1">
      <c r="A57" s="1356"/>
      <c r="B57" s="896" t="s">
        <v>767</v>
      </c>
      <c r="C57" s="230">
        <f ca="1">C29</f>
        <v>6868041</v>
      </c>
      <c r="D57" s="1357"/>
      <c r="E57" s="1358"/>
      <c r="F57" s="1359"/>
      <c r="I57" s="1360" t="s">
        <v>844</v>
      </c>
      <c r="J57" s="1361">
        <f ca="1">IF(OR(M47="住宅",J51&lt;L48,J56="是"),"——",J51-L48)</f>
        <v>15.940000000000001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25343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2747216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744142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16568267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20604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4739</v>
      </c>
      <c r="D65" s="910" t="s">
        <v>743</v>
      </c>
      <c r="E65" s="896" t="s">
        <v>744</v>
      </c>
      <c r="F65" s="321">
        <f t="shared" ca="1" si="0"/>
        <v>1E-3</v>
      </c>
      <c r="I65" s="1367" t="s">
        <v>867</v>
      </c>
      <c r="J65" s="610">
        <v>40</v>
      </c>
      <c r="K65" s="610">
        <v>30</v>
      </c>
      <c r="L65" s="610">
        <v>50</v>
      </c>
      <c r="M65" s="1369">
        <v>0.02</v>
      </c>
      <c r="O65" s="1325" t="s">
        <v>403</v>
      </c>
      <c r="P65" s="1326" t="s">
        <v>868</v>
      </c>
      <c r="Q65" s="1327">
        <f ca="1">C40+J29</f>
        <v>16568267</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-25343</v>
      </c>
      <c r="D67" s="909" t="s">
        <v>753</v>
      </c>
      <c r="E67" s="914"/>
      <c r="F67" s="915"/>
      <c r="O67" s="1334" t="s">
        <v>405</v>
      </c>
      <c r="P67" s="1326" t="s">
        <v>850</v>
      </c>
      <c r="Q67" s="1370">
        <f ca="1">L51</f>
        <v>15208305</v>
      </c>
      <c r="R67" s="1327" t="s">
        <v>870</v>
      </c>
    </row>
    <row r="68" spans="1:18" s="1292" customFormat="1" ht="16.5" thickBot="1">
      <c r="A68" s="893" t="s">
        <v>395</v>
      </c>
      <c r="B68" s="894" t="s">
        <v>774</v>
      </c>
      <c r="C68" s="293">
        <f ca="1">ROUND(C67*(1-((1+F70)/(1+F68))^F69)/(F68-F70),0)</f>
        <v>-285573</v>
      </c>
      <c r="D68" s="911" t="s">
        <v>758</v>
      </c>
      <c r="E68" s="896" t="s">
        <v>759</v>
      </c>
      <c r="F68" s="304">
        <f ca="1">F40</f>
        <v>5.5E-2</v>
      </c>
      <c r="O68" s="1334" t="s">
        <v>406</v>
      </c>
      <c r="P68" s="1371" t="s">
        <v>871</v>
      </c>
      <c r="Q68" s="1327">
        <f ca="1">ROUND(Q69-Q70*Q71,0)</f>
        <v>939196</v>
      </c>
      <c r="R68" s="1327" t="s">
        <v>414</v>
      </c>
    </row>
    <row r="69" spans="1:18" s="1292" customFormat="1" ht="13.5" thickBot="1">
      <c r="A69" s="897"/>
      <c r="B69" s="898"/>
      <c r="C69" s="298"/>
      <c r="D69" s="916" t="s">
        <v>762</v>
      </c>
      <c r="E69" s="896" t="s">
        <v>763</v>
      </c>
      <c r="F69" s="324">
        <f ca="1">F41</f>
        <v>18.059999999999999</v>
      </c>
      <c r="O69" s="1334" t="s">
        <v>411</v>
      </c>
      <c r="P69" s="1371" t="s">
        <v>872</v>
      </c>
      <c r="Q69" s="1327">
        <f ca="1">C39</f>
        <v>1270922</v>
      </c>
      <c r="R69" s="1327" t="s">
        <v>818</v>
      </c>
    </row>
    <row r="70" spans="1:18" s="1292" customFormat="1" ht="13.5" thickBot="1">
      <c r="A70" s="900"/>
      <c r="B70" s="901"/>
      <c r="C70" s="302"/>
      <c r="D70" s="912"/>
      <c r="E70" s="896" t="s">
        <v>766</v>
      </c>
      <c r="F70" s="991"/>
      <c r="O70" s="1334" t="s">
        <v>412</v>
      </c>
      <c r="P70" s="1371" t="s">
        <v>873</v>
      </c>
      <c r="Q70" s="1327">
        <f ca="1">C13</f>
        <v>4738948</v>
      </c>
      <c r="R70" s="1327" t="s">
        <v>818</v>
      </c>
    </row>
    <row r="71" spans="1:18" s="1292" customFormat="1" ht="13.5" thickBot="1">
      <c r="A71" s="917" t="s">
        <v>396</v>
      </c>
      <c r="B71" s="918" t="s">
        <v>776</v>
      </c>
      <c r="C71" s="327">
        <f ca="1">ROUND(C68/F71,0)</f>
        <v>-270</v>
      </c>
      <c r="D71" s="919" t="s">
        <v>777</v>
      </c>
      <c r="E71" s="920" t="s">
        <v>778</v>
      </c>
      <c r="F71" s="330">
        <f ca="1">F43</f>
        <v>1058.25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331726</v>
      </c>
      <c r="D75" s="1292"/>
      <c r="E75" s="1292"/>
      <c r="F75" s="1292"/>
      <c r="K75" s="1309"/>
      <c r="L75" s="1292"/>
      <c r="O75" s="1325" t="s">
        <v>409</v>
      </c>
      <c r="P75" s="1326" t="s">
        <v>838</v>
      </c>
      <c r="Q75" s="1327">
        <f ca="1">Q65+Q66</f>
        <v>16568267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0.73899999999999999</v>
      </c>
    </row>
    <row r="80" spans="1:18">
      <c r="B80" s="331" t="s">
        <v>800</v>
      </c>
      <c r="C80" s="266">
        <f ca="1">ROUND(C75/C39,3)</f>
        <v>0.26100000000000001</v>
      </c>
    </row>
    <row r="81" spans="2:3">
      <c r="B81" s="262" t="s">
        <v>801</v>
      </c>
      <c r="C81" s="230"/>
    </row>
    <row r="82" spans="2:3">
      <c r="B82" s="265" t="s">
        <v>802</v>
      </c>
      <c r="C82" s="267">
        <f ca="1">1-C83</f>
        <v>0.71399999999999997</v>
      </c>
    </row>
    <row r="83" spans="2:3">
      <c r="B83" s="265" t="s">
        <v>803</v>
      </c>
      <c r="C83" s="266">
        <f ca="1">ROUND(C13/C40,3)</f>
        <v>0.28599999999999998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3" t="s">
        <v>2310</v>
      </c>
      <c r="B2" s="2594" t="e">
        <f>IF(D2="——",C40,C40+E2)</f>
        <v>#DIV/0!</v>
      </c>
      <c r="C2" s="2595" t="s">
        <v>2311</v>
      </c>
      <c r="D2" s="3138" t="s">
        <v>3354</v>
      </c>
      <c r="E2" s="3139"/>
      <c r="F2" s="2597"/>
      <c r="G2" s="2598"/>
      <c r="H2" s="2599"/>
      <c r="I2" s="2600"/>
      <c r="J2" s="3411" t="s">
        <v>2312</v>
      </c>
      <c r="K2" s="3412"/>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13" t="s">
        <v>2322</v>
      </c>
      <c r="K3" s="3414"/>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13" t="s">
        <v>2324</v>
      </c>
      <c r="K4" s="3414"/>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15" t="s">
        <v>2328</v>
      </c>
      <c r="B6" s="3416"/>
      <c r="C6" s="3417"/>
      <c r="D6" s="2621"/>
      <c r="E6" s="2622"/>
      <c r="F6" s="2623"/>
      <c r="G6" s="2624"/>
      <c r="H6" s="2599"/>
      <c r="I6" s="2600"/>
      <c r="J6" s="3418">
        <v>1</v>
      </c>
      <c r="K6" s="3419"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18"/>
      <c r="K7" s="3420"/>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22" t="s">
        <v>2342</v>
      </c>
      <c r="C8" s="3423"/>
      <c r="D8" s="2640" t="s">
        <v>2343</v>
      </c>
      <c r="E8" s="2641" t="s">
        <v>2344</v>
      </c>
      <c r="F8" s="2642" t="s">
        <v>2345</v>
      </c>
      <c r="G8" s="2643"/>
      <c r="H8" s="2599"/>
      <c r="I8" s="2600"/>
      <c r="J8" s="3418"/>
      <c r="K8" s="3420"/>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22" t="s">
        <v>2348</v>
      </c>
      <c r="C9" s="3423"/>
      <c r="D9" s="2640">
        <f>ROUND(D6*E9,0)</f>
        <v>0</v>
      </c>
      <c r="E9" s="2644"/>
      <c r="F9" s="2645" t="s">
        <v>2349</v>
      </c>
      <c r="G9" s="2624"/>
      <c r="H9" s="2599"/>
      <c r="I9" s="2600"/>
      <c r="J9" s="3418"/>
      <c r="K9" s="3420"/>
      <c r="L9" s="2634" t="s">
        <v>2350</v>
      </c>
      <c r="M9" s="2635"/>
      <c r="N9" s="2611"/>
      <c r="O9" s="2636"/>
      <c r="P9" s="2636"/>
      <c r="Q9" s="2637">
        <v>365</v>
      </c>
      <c r="R9" s="2638">
        <f t="shared" si="0"/>
        <v>0</v>
      </c>
      <c r="S9" s="2592"/>
      <c r="T9" s="2592"/>
      <c r="U9" s="2592"/>
      <c r="V9" s="2600"/>
    </row>
    <row r="10" spans="1:22" s="2604" customFormat="1" ht="13.15" customHeight="1">
      <c r="A10" s="2639">
        <v>2</v>
      </c>
      <c r="B10" s="3422" t="s">
        <v>2351</v>
      </c>
      <c r="C10" s="3423"/>
      <c r="D10" s="2640">
        <f>ROUND(D6*E10,0)</f>
        <v>0</v>
      </c>
      <c r="E10" s="2644"/>
      <c r="F10" s="2645" t="s">
        <v>2352</v>
      </c>
      <c r="G10" s="2624"/>
      <c r="H10" s="2599"/>
      <c r="I10" s="2600"/>
      <c r="J10" s="3418"/>
      <c r="K10" s="3420"/>
      <c r="L10" s="2634" t="s">
        <v>2353</v>
      </c>
      <c r="M10" s="2635"/>
      <c r="N10" s="2611"/>
      <c r="O10" s="2636"/>
      <c r="P10" s="2636"/>
      <c r="Q10" s="2637">
        <v>365</v>
      </c>
      <c r="R10" s="2638">
        <f t="shared" si="0"/>
        <v>0</v>
      </c>
      <c r="S10" s="2592"/>
      <c r="T10" s="2592"/>
      <c r="U10" s="2592"/>
      <c r="V10" s="2600"/>
    </row>
    <row r="11" spans="1:22" s="2604" customFormat="1" ht="13.15" customHeight="1">
      <c r="A11" s="2639">
        <v>3</v>
      </c>
      <c r="B11" s="3422" t="s">
        <v>2354</v>
      </c>
      <c r="C11" s="3423"/>
      <c r="D11" s="2640">
        <f>D12+D14+D15+D16</f>
        <v>0</v>
      </c>
      <c r="E11" s="2646" t="e">
        <f>D11/D6</f>
        <v>#DIV/0!</v>
      </c>
      <c r="F11" s="2642"/>
      <c r="G11" s="2643"/>
      <c r="H11" s="2599"/>
      <c r="I11" s="2600"/>
      <c r="J11" s="3418"/>
      <c r="K11" s="3420"/>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24" t="s">
        <v>2357</v>
      </c>
      <c r="C12" s="3425"/>
      <c r="D12" s="2648">
        <f>ROUND(D13*1.2%*(1-30%),0)</f>
        <v>0</v>
      </c>
      <c r="E12" s="2649">
        <v>1.2E-2</v>
      </c>
      <c r="F12" s="2642" t="s">
        <v>2358</v>
      </c>
      <c r="G12" s="2643"/>
      <c r="H12" s="2599"/>
      <c r="I12" s="2600"/>
      <c r="J12" s="3418"/>
      <c r="K12" s="3420"/>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18"/>
      <c r="K13" s="3420"/>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24" t="s">
        <v>2363</v>
      </c>
      <c r="C14" s="3425"/>
      <c r="D14" s="2648">
        <f>ROUND(E14*B5/10000,0)</f>
        <v>0</v>
      </c>
      <c r="E14" s="2637"/>
      <c r="F14" s="2642" t="s">
        <v>2364</v>
      </c>
      <c r="G14" s="2643"/>
      <c r="H14" s="2599"/>
      <c r="I14" s="2600"/>
      <c r="J14" s="3418"/>
      <c r="K14" s="3421"/>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24" t="s">
        <v>2367</v>
      </c>
      <c r="C15" s="3425"/>
      <c r="D15" s="2648">
        <f>ROUND(D6*E15,0)</f>
        <v>0</v>
      </c>
      <c r="E15" s="2649">
        <v>5.5E-2</v>
      </c>
      <c r="F15" s="2642" t="s">
        <v>2368</v>
      </c>
      <c r="G15" s="2624"/>
      <c r="H15" s="2599"/>
      <c r="I15" s="2600"/>
      <c r="J15" s="3418">
        <v>2</v>
      </c>
      <c r="K15" s="3419"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24" t="s">
        <v>2376</v>
      </c>
      <c r="C16" s="3425"/>
      <c r="D16" s="2659">
        <f>D6*E16</f>
        <v>0</v>
      </c>
      <c r="E16" s="2660"/>
      <c r="F16" s="2645" t="s">
        <v>2377</v>
      </c>
      <c r="G16" s="2624"/>
      <c r="H16" s="2599"/>
      <c r="I16" s="2600"/>
      <c r="J16" s="3418"/>
      <c r="K16" s="3420"/>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26" t="s">
        <v>2379</v>
      </c>
      <c r="C17" s="3427"/>
      <c r="D17" s="2662">
        <f>ROUND(D6*E17,0)</f>
        <v>0</v>
      </c>
      <c r="E17" s="2663"/>
      <c r="F17" s="2664" t="s">
        <v>2380</v>
      </c>
      <c r="G17" s="2624"/>
      <c r="H17" s="2599"/>
      <c r="I17" s="2600"/>
      <c r="J17" s="3418"/>
      <c r="K17" s="3420"/>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18"/>
      <c r="K18" s="3420"/>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18"/>
      <c r="K19" s="3421"/>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8">
        <v>3</v>
      </c>
      <c r="K20" s="3419"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18"/>
      <c r="K21" s="3420"/>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18"/>
      <c r="K22" s="3420"/>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18"/>
      <c r="K23" s="3420"/>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18"/>
      <c r="K24" s="3421"/>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28">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2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11" t="s">
        <v>2312</v>
      </c>
      <c r="K32" s="3412"/>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13" t="s">
        <v>2322</v>
      </c>
      <c r="K33" s="3414"/>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13" t="s">
        <v>2324</v>
      </c>
      <c r="K34" s="341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18">
        <v>1</v>
      </c>
      <c r="K36" s="3419"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18"/>
      <c r="K37" s="3420"/>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8"/>
      <c r="K38" s="3420"/>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18"/>
      <c r="K39" s="3420"/>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18"/>
      <c r="K40" s="3421"/>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8">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2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1731.2409</v>
      </c>
      <c r="C2" s="1729" t="s">
        <v>1651</v>
      </c>
      <c r="D2" s="1730" t="s">
        <v>1652</v>
      </c>
      <c r="E2" s="2392">
        <f>SUM(E6:E13)</f>
        <v>1058.25</v>
      </c>
      <c r="F2" s="2479"/>
      <c r="G2" s="459"/>
      <c r="H2" s="459"/>
      <c r="I2" s="459"/>
      <c r="J2" s="459"/>
      <c r="K2" s="459"/>
      <c r="L2" s="459"/>
      <c r="M2" s="459"/>
      <c r="N2" s="459"/>
      <c r="O2" s="459"/>
      <c r="P2" s="459"/>
      <c r="Q2" s="459"/>
      <c r="R2" s="459"/>
      <c r="S2" s="459"/>
    </row>
    <row r="3" spans="1:22" ht="15.75">
      <c r="A3" s="1728" t="s">
        <v>686</v>
      </c>
      <c r="B3" s="2386">
        <f ca="1">ROUND(B2*10000/E2,0)</f>
        <v>16359</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30" t="s">
        <v>1654</v>
      </c>
      <c r="C5" s="3431"/>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1731.2409</v>
      </c>
      <c r="C6" s="1729" t="s">
        <v>1651</v>
      </c>
      <c r="D6" s="2479"/>
      <c r="E6" s="2391">
        <f>IF(OR(A6=0,F6="否"),0,'数据-取费表'!K6+'数据-取费表'!S6)</f>
        <v>1058.25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1058.25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2" t="s">
        <v>1667</v>
      </c>
      <c r="D4" s="3383"/>
      <c r="E4" s="3384" t="s">
        <v>1668</v>
      </c>
      <c r="F4" s="3385"/>
      <c r="G4" s="3382" t="s">
        <v>1669</v>
      </c>
      <c r="H4" s="3383"/>
      <c r="I4" s="3382" t="s">
        <v>1670</v>
      </c>
      <c r="J4" s="3383"/>
      <c r="K4" s="1744" t="s">
        <v>1671</v>
      </c>
      <c r="L4" s="2486"/>
      <c r="M4" s="2487"/>
      <c r="N4" s="2487"/>
      <c r="O4" s="2487"/>
      <c r="P4" s="3438" t="s">
        <v>1672</v>
      </c>
      <c r="Q4" s="3439"/>
      <c r="R4" s="3433" t="s">
        <v>1668</v>
      </c>
      <c r="S4" s="3434"/>
      <c r="T4" s="3433" t="s">
        <v>1669</v>
      </c>
      <c r="U4" s="3434"/>
      <c r="V4" s="3395" t="s">
        <v>1670</v>
      </c>
      <c r="W4" s="3395"/>
      <c r="X4" s="1265"/>
      <c r="Y4" s="3433" t="s">
        <v>1672</v>
      </c>
      <c r="Z4" s="3434"/>
      <c r="AA4" s="3432" t="s">
        <v>1668</v>
      </c>
      <c r="AB4" s="3432" t="s">
        <v>1669</v>
      </c>
      <c r="AC4" s="3432" t="s">
        <v>1670</v>
      </c>
    </row>
    <row r="5" spans="1:29" ht="15">
      <c r="A5" s="348"/>
      <c r="B5" s="349"/>
      <c r="C5" s="3437" t="s">
        <v>1673</v>
      </c>
      <c r="D5" s="3373"/>
      <c r="E5" s="3435" t="s">
        <v>1674</v>
      </c>
      <c r="F5" s="3436"/>
      <c r="G5" s="3437" t="s">
        <v>1675</v>
      </c>
      <c r="H5" s="3373"/>
      <c r="I5" s="3437" t="s">
        <v>1676</v>
      </c>
      <c r="J5" s="3373"/>
      <c r="K5" s="1745"/>
      <c r="L5" s="2486"/>
      <c r="M5" s="2487"/>
      <c r="N5" s="2487"/>
      <c r="O5" s="2487"/>
      <c r="P5" s="3440"/>
      <c r="Q5" s="3389"/>
      <c r="R5" s="3370"/>
      <c r="S5" s="3371"/>
      <c r="T5" s="3370"/>
      <c r="U5" s="3371"/>
      <c r="V5" s="3395"/>
      <c r="W5" s="3395"/>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1745" t="s">
        <v>1678</v>
      </c>
      <c r="L6" s="2486"/>
      <c r="M6" s="2487"/>
      <c r="N6" s="2487"/>
      <c r="O6" s="2487"/>
      <c r="P6" s="3441"/>
      <c r="Q6" s="3391"/>
      <c r="R6" s="3370"/>
      <c r="S6" s="3371"/>
      <c r="T6" s="3392"/>
      <c r="U6" s="3393"/>
      <c r="V6" s="3395"/>
      <c r="W6" s="3395"/>
      <c r="X6" s="1265"/>
      <c r="Y6" s="3392"/>
      <c r="Z6" s="3393"/>
      <c r="AA6" s="3365"/>
      <c r="AB6" s="3365"/>
      <c r="AC6" s="3365"/>
    </row>
    <row r="7" spans="1:29" s="102" customFormat="1" ht="15.7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66" t="s">
        <v>1680</v>
      </c>
      <c r="Q7" s="3397"/>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8"/>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78"/>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8"/>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8"/>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8" t="s">
        <v>1691</v>
      </c>
      <c r="Q15" s="1263" t="str">
        <f t="shared" si="6"/>
        <v>居住社区成熟度</v>
      </c>
      <c r="R15" s="667" t="s">
        <v>18</v>
      </c>
      <c r="S15" s="668">
        <f t="shared" si="0"/>
        <v>100</v>
      </c>
      <c r="T15" s="667" t="s">
        <v>18</v>
      </c>
      <c r="U15" s="668">
        <f t="shared" si="1"/>
        <v>100</v>
      </c>
      <c r="V15" s="667" t="s">
        <v>18</v>
      </c>
      <c r="W15" s="668">
        <f t="shared" si="2"/>
        <v>100</v>
      </c>
      <c r="X15" s="1265"/>
      <c r="Y15" s="340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9"/>
      <c r="Q16" s="1263"/>
      <c r="R16" s="667"/>
      <c r="S16" s="668"/>
      <c r="T16" s="667"/>
      <c r="U16" s="668"/>
      <c r="V16" s="667"/>
      <c r="W16" s="668"/>
      <c r="X16" s="1265"/>
      <c r="Y16" s="3401"/>
      <c r="Z16" s="1264"/>
      <c r="AA16" s="1264">
        <v>1</v>
      </c>
      <c r="AB16" s="1264">
        <v>1</v>
      </c>
      <c r="AC16" s="1264">
        <v>1</v>
      </c>
    </row>
    <row r="17" spans="1:29" ht="85.5">
      <c r="A17" s="367"/>
      <c r="B17" s="390" t="s">
        <v>1259</v>
      </c>
      <c r="C17" s="1754" t="str">
        <f>估价对象房地状况!C6</f>
        <v>有695、323、425路等公交路线经过，紧邻地铁4号线——人民大学站，交通便捷度较好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9"/>
      <c r="Q17" s="1263" t="str">
        <f>B17</f>
        <v>交通便捷度</v>
      </c>
      <c r="R17" s="667" t="s">
        <v>18</v>
      </c>
      <c r="S17" s="668">
        <f>F17</f>
        <v>100</v>
      </c>
      <c r="T17" s="667" t="s">
        <v>18</v>
      </c>
      <c r="U17" s="668">
        <f>H17</f>
        <v>100</v>
      </c>
      <c r="V17" s="667" t="s">
        <v>18</v>
      </c>
      <c r="W17" s="668">
        <f>J17</f>
        <v>100</v>
      </c>
      <c r="X17" s="1265"/>
      <c r="Y17" s="340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9"/>
      <c r="Q18" s="1263"/>
      <c r="R18" s="667"/>
      <c r="S18" s="668"/>
      <c r="T18" s="667"/>
      <c r="U18" s="668"/>
      <c r="V18" s="667"/>
      <c r="W18" s="668"/>
      <c r="X18" s="1265"/>
      <c r="Y18" s="3401"/>
      <c r="Z18" s="1264"/>
      <c r="AA18" s="1264">
        <v>1</v>
      </c>
      <c r="AB18" s="1264">
        <v>1</v>
      </c>
      <c r="AC18" s="1264">
        <v>1</v>
      </c>
    </row>
    <row r="19" spans="1:29" ht="42.75">
      <c r="A19" s="367"/>
      <c r="B19" s="390" t="s">
        <v>1258</v>
      </c>
      <c r="C19" s="1754" t="str">
        <f>估价对象房地状况!C7</f>
        <v>估价对象所在区域公共配套设施较齐备</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9"/>
      <c r="Q19" s="1263" t="str">
        <f>B19</f>
        <v>公共配套设施</v>
      </c>
      <c r="R19" s="667" t="s">
        <v>18</v>
      </c>
      <c r="S19" s="668">
        <f>F19</f>
        <v>100</v>
      </c>
      <c r="T19" s="667" t="s">
        <v>18</v>
      </c>
      <c r="U19" s="668">
        <f>H19</f>
        <v>100</v>
      </c>
      <c r="V19" s="667" t="s">
        <v>18</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9"/>
      <c r="Q20" s="1263"/>
      <c r="R20" s="667"/>
      <c r="S20" s="668"/>
      <c r="T20" s="667"/>
      <c r="U20" s="668"/>
      <c r="V20" s="667"/>
      <c r="W20" s="668"/>
      <c r="X20" s="1265"/>
      <c r="Y20" s="3401"/>
      <c r="Z20" s="1264"/>
      <c r="AA20" s="1264">
        <v>1</v>
      </c>
      <c r="AB20" s="1264">
        <v>1</v>
      </c>
      <c r="AC20" s="1264">
        <v>1</v>
      </c>
    </row>
    <row r="21" spans="1:29" ht="28.5">
      <c r="A21" s="367"/>
      <c r="B21" s="586" t="s">
        <v>1260</v>
      </c>
      <c r="C21" s="1754" t="str">
        <f>估价对象房地状况!C8</f>
        <v>估价对象所在区域基础设施水平较好</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9"/>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9"/>
      <c r="Q22" s="1263"/>
      <c r="R22" s="667"/>
      <c r="S22" s="668"/>
      <c r="T22" s="667"/>
      <c r="U22" s="668"/>
      <c r="V22" s="667"/>
      <c r="W22" s="668"/>
      <c r="X22" s="1265"/>
      <c r="Y22" s="3401"/>
      <c r="Z22" s="1264"/>
      <c r="AA22" s="1264">
        <v>1</v>
      </c>
      <c r="AB22" s="1264">
        <v>1</v>
      </c>
      <c r="AC22" s="1264">
        <v>1</v>
      </c>
    </row>
    <row r="23" spans="1:29" ht="57">
      <c r="A23" s="367"/>
      <c r="B23" s="390" t="s">
        <v>1261</v>
      </c>
      <c r="C23" s="1754" t="str">
        <f>估价对象房地状况!C9</f>
        <v>周边有动物园、北京艺术博物馆、双榆树公园等自然人文环境，质量较好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9"/>
      <c r="Q23" s="1263" t="str">
        <f>B23</f>
        <v>自然及人文环境</v>
      </c>
      <c r="R23" s="667" t="s">
        <v>18</v>
      </c>
      <c r="S23" s="668">
        <f>F23</f>
        <v>100</v>
      </c>
      <c r="T23" s="667" t="s">
        <v>18</v>
      </c>
      <c r="U23" s="668">
        <f>H23</f>
        <v>100</v>
      </c>
      <c r="V23" s="667" t="s">
        <v>18</v>
      </c>
      <c r="W23" s="668">
        <f>J23</f>
        <v>100</v>
      </c>
      <c r="X23" s="1265"/>
      <c r="Y23" s="340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9"/>
      <c r="Q24" s="1263"/>
      <c r="R24" s="667"/>
      <c r="S24" s="668"/>
      <c r="T24" s="667"/>
      <c r="U24" s="668"/>
      <c r="V24" s="667"/>
      <c r="W24" s="668"/>
      <c r="X24" s="1265"/>
      <c r="Y24" s="340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9"/>
      <c r="Q26" s="1263" t="str">
        <f t="shared" si="11"/>
        <v>朝向</v>
      </c>
      <c r="R26" s="667" t="s">
        <v>18</v>
      </c>
      <c r="S26" s="668">
        <f t="shared" si="12"/>
        <v>100</v>
      </c>
      <c r="T26" s="667" t="s">
        <v>18</v>
      </c>
      <c r="U26" s="668">
        <f t="shared" si="13"/>
        <v>100</v>
      </c>
      <c r="V26" s="667" t="s">
        <v>18</v>
      </c>
      <c r="W26" s="668">
        <f t="shared" si="14"/>
        <v>100</v>
      </c>
      <c r="X26" s="1265"/>
      <c r="Y26" s="340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9"/>
      <c r="Q27" s="530">
        <f t="shared" si="11"/>
        <v>111</v>
      </c>
      <c r="R27" s="664" t="s">
        <v>18</v>
      </c>
      <c r="S27" s="665">
        <f t="shared" si="12"/>
        <v>100</v>
      </c>
      <c r="T27" s="664" t="s">
        <v>18</v>
      </c>
      <c r="U27" s="665">
        <f t="shared" si="13"/>
        <v>100</v>
      </c>
      <c r="V27" s="664" t="s">
        <v>18</v>
      </c>
      <c r="W27" s="665">
        <f t="shared" si="14"/>
        <v>100</v>
      </c>
      <c r="X27" s="666"/>
      <c r="Y27" s="340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9"/>
      <c r="Q28" s="1263">
        <f t="shared" si="11"/>
        <v>111</v>
      </c>
      <c r="R28" s="667" t="s">
        <v>18</v>
      </c>
      <c r="S28" s="668">
        <f t="shared" si="12"/>
        <v>100</v>
      </c>
      <c r="T28" s="667" t="s">
        <v>18</v>
      </c>
      <c r="U28" s="668">
        <f t="shared" si="13"/>
        <v>100</v>
      </c>
      <c r="V28" s="667" t="s">
        <v>18</v>
      </c>
      <c r="W28" s="668">
        <f t="shared" si="14"/>
        <v>100</v>
      </c>
      <c r="X28" s="1265"/>
      <c r="Y28" s="340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9"/>
      <c r="Q29" s="1263">
        <f t="shared" si="11"/>
        <v>111</v>
      </c>
      <c r="R29" s="667" t="s">
        <v>18</v>
      </c>
      <c r="S29" s="668">
        <f t="shared" si="12"/>
        <v>100</v>
      </c>
      <c r="T29" s="667" t="s">
        <v>18</v>
      </c>
      <c r="U29" s="668">
        <f t="shared" si="13"/>
        <v>100</v>
      </c>
      <c r="V29" s="667" t="s">
        <v>18</v>
      </c>
      <c r="W29" s="668">
        <f t="shared" si="14"/>
        <v>100</v>
      </c>
      <c r="X29" s="1265"/>
      <c r="Y29" s="340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9"/>
      <c r="Q30" s="1263">
        <f t="shared" si="11"/>
        <v>111</v>
      </c>
      <c r="R30" s="667" t="s">
        <v>18</v>
      </c>
      <c r="S30" s="668">
        <f t="shared" si="12"/>
        <v>100</v>
      </c>
      <c r="T30" s="667" t="s">
        <v>18</v>
      </c>
      <c r="U30" s="668">
        <f t="shared" si="13"/>
        <v>100</v>
      </c>
      <c r="V30" s="667" t="s">
        <v>18</v>
      </c>
      <c r="W30" s="668">
        <f t="shared" si="14"/>
        <v>100</v>
      </c>
      <c r="X30" s="1265"/>
      <c r="Y30" s="340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9"/>
      <c r="Q31" s="1263">
        <f t="shared" si="11"/>
        <v>111</v>
      </c>
      <c r="R31" s="667" t="s">
        <v>18</v>
      </c>
      <c r="S31" s="668">
        <f t="shared" si="12"/>
        <v>100</v>
      </c>
      <c r="T31" s="667" t="s">
        <v>18</v>
      </c>
      <c r="U31" s="668">
        <f t="shared" si="13"/>
        <v>100</v>
      </c>
      <c r="V31" s="667" t="s">
        <v>18</v>
      </c>
      <c r="W31" s="668">
        <f t="shared" si="14"/>
        <v>100</v>
      </c>
      <c r="X31" s="1265"/>
      <c r="Y31" s="340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2" t="s">
        <v>1696</v>
      </c>
      <c r="Q32" s="1263" t="str">
        <f t="shared" si="11"/>
        <v>建筑类型</v>
      </c>
      <c r="R32" s="667" t="s">
        <v>18</v>
      </c>
      <c r="S32" s="668">
        <f t="shared" si="12"/>
        <v>100</v>
      </c>
      <c r="T32" s="667" t="s">
        <v>18</v>
      </c>
      <c r="U32" s="668">
        <f t="shared" si="13"/>
        <v>100</v>
      </c>
      <c r="V32" s="667" t="s">
        <v>18</v>
      </c>
      <c r="W32" s="668">
        <f t="shared" si="14"/>
        <v>100</v>
      </c>
      <c r="X32" s="1265"/>
      <c r="Y32" s="340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3"/>
      <c r="Q33" s="531" t="str">
        <f t="shared" si="11"/>
        <v>项目建筑规模</v>
      </c>
      <c r="R33" s="669" t="s">
        <v>18</v>
      </c>
      <c r="S33" s="670" t="e">
        <f t="shared" si="12"/>
        <v>#N/A</v>
      </c>
      <c r="T33" s="669" t="s">
        <v>18</v>
      </c>
      <c r="U33" s="670" t="e">
        <f t="shared" si="13"/>
        <v>#N/A</v>
      </c>
      <c r="V33" s="669" t="s">
        <v>18</v>
      </c>
      <c r="W33" s="670" t="e">
        <f t="shared" si="14"/>
        <v>#N/A</v>
      </c>
      <c r="X33" s="671"/>
      <c r="Y33" s="340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3"/>
      <c r="Q34" s="1263" t="str">
        <f t="shared" si="11"/>
        <v>建筑结构</v>
      </c>
      <c r="R34" s="667" t="s">
        <v>18</v>
      </c>
      <c r="S34" s="668">
        <f t="shared" si="12"/>
        <v>100</v>
      </c>
      <c r="T34" s="667" t="s">
        <v>18</v>
      </c>
      <c r="U34" s="668">
        <f t="shared" si="13"/>
        <v>100</v>
      </c>
      <c r="V34" s="667" t="s">
        <v>18</v>
      </c>
      <c r="W34" s="668">
        <f t="shared" si="14"/>
        <v>100</v>
      </c>
      <c r="X34" s="1265"/>
      <c r="Y34" s="340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3"/>
      <c r="Q35" s="1263" t="str">
        <f t="shared" si="11"/>
        <v>建筑品质</v>
      </c>
      <c r="R35" s="667" t="s">
        <v>18</v>
      </c>
      <c r="S35" s="668">
        <f t="shared" si="12"/>
        <v>100</v>
      </c>
      <c r="T35" s="667" t="s">
        <v>18</v>
      </c>
      <c r="U35" s="668">
        <f t="shared" si="13"/>
        <v>100</v>
      </c>
      <c r="V35" s="667" t="s">
        <v>18</v>
      </c>
      <c r="W35" s="668">
        <f t="shared" si="14"/>
        <v>100</v>
      </c>
      <c r="X35" s="1265"/>
      <c r="Y35" s="340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3"/>
      <c r="Q36" s="1263" t="str">
        <f t="shared" si="11"/>
        <v>公共部分装修</v>
      </c>
      <c r="R36" s="667" t="s">
        <v>18</v>
      </c>
      <c r="S36" s="668">
        <f t="shared" si="12"/>
        <v>100</v>
      </c>
      <c r="T36" s="667" t="s">
        <v>18</v>
      </c>
      <c r="U36" s="668">
        <f t="shared" si="13"/>
        <v>100</v>
      </c>
      <c r="V36" s="667" t="s">
        <v>18</v>
      </c>
      <c r="W36" s="668">
        <f t="shared" si="14"/>
        <v>100</v>
      </c>
      <c r="X36" s="1265"/>
      <c r="Y36" s="340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3"/>
      <c r="Q37" s="530" t="str">
        <f t="shared" si="11"/>
        <v>成新度</v>
      </c>
      <c r="R37" s="664" t="s">
        <v>18</v>
      </c>
      <c r="S37" s="665" t="e">
        <f t="shared" si="12"/>
        <v>#N/A</v>
      </c>
      <c r="T37" s="664" t="s">
        <v>18</v>
      </c>
      <c r="U37" s="665" t="e">
        <f t="shared" si="13"/>
        <v>#N/A</v>
      </c>
      <c r="V37" s="664" t="s">
        <v>18</v>
      </c>
      <c r="W37" s="665" t="e">
        <f t="shared" si="14"/>
        <v>#N/A</v>
      </c>
      <c r="X37" s="666"/>
      <c r="Y37" s="340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3" t="s">
        <v>1696</v>
      </c>
      <c r="Q38" s="1263" t="str">
        <f t="shared" si="11"/>
        <v>物业管理</v>
      </c>
      <c r="R38" s="667" t="s">
        <v>18</v>
      </c>
      <c r="S38" s="668">
        <f t="shared" si="12"/>
        <v>100</v>
      </c>
      <c r="T38" s="667" t="s">
        <v>18</v>
      </c>
      <c r="U38" s="668">
        <f t="shared" si="13"/>
        <v>100</v>
      </c>
      <c r="V38" s="667" t="s">
        <v>18</v>
      </c>
      <c r="W38" s="668">
        <f t="shared" si="14"/>
        <v>100</v>
      </c>
      <c r="X38" s="1265"/>
      <c r="Y38" s="340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3"/>
      <c r="Q39" s="1263" t="str">
        <f t="shared" si="11"/>
        <v>市政基础设施</v>
      </c>
      <c r="R39" s="667" t="s">
        <v>18</v>
      </c>
      <c r="S39" s="668">
        <f t="shared" si="12"/>
        <v>100</v>
      </c>
      <c r="T39" s="667" t="s">
        <v>18</v>
      </c>
      <c r="U39" s="668">
        <f t="shared" si="13"/>
        <v>100</v>
      </c>
      <c r="V39" s="667" t="s">
        <v>18</v>
      </c>
      <c r="W39" s="668">
        <f t="shared" si="14"/>
        <v>100</v>
      </c>
      <c r="X39" s="1265"/>
      <c r="Y39" s="340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3"/>
      <c r="Q40" s="1263" t="str">
        <f t="shared" si="11"/>
        <v>房型</v>
      </c>
      <c r="R40" s="667" t="s">
        <v>18</v>
      </c>
      <c r="S40" s="668">
        <f t="shared" si="12"/>
        <v>100</v>
      </c>
      <c r="T40" s="667" t="s">
        <v>18</v>
      </c>
      <c r="U40" s="668">
        <f t="shared" si="13"/>
        <v>100</v>
      </c>
      <c r="V40" s="667" t="s">
        <v>18</v>
      </c>
      <c r="W40" s="668">
        <f t="shared" si="14"/>
        <v>100</v>
      </c>
      <c r="X40" s="1265"/>
      <c r="Y40" s="340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3"/>
      <c r="Q41" s="531" t="str">
        <f t="shared" si="11"/>
        <v>单套/主力户型建筑面积</v>
      </c>
      <c r="R41" s="669" t="s">
        <v>18</v>
      </c>
      <c r="S41" s="670">
        <f t="shared" si="12"/>
        <v>100</v>
      </c>
      <c r="T41" s="669" t="s">
        <v>18</v>
      </c>
      <c r="U41" s="670">
        <f t="shared" si="13"/>
        <v>100</v>
      </c>
      <c r="V41" s="669" t="s">
        <v>18</v>
      </c>
      <c r="W41" s="670">
        <f t="shared" si="14"/>
        <v>100</v>
      </c>
      <c r="X41" s="671"/>
      <c r="Y41" s="340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3"/>
      <c r="Q42" s="1263" t="str">
        <f t="shared" si="11"/>
        <v>内部装修</v>
      </c>
      <c r="R42" s="667" t="s">
        <v>18</v>
      </c>
      <c r="S42" s="668">
        <f t="shared" si="12"/>
        <v>100</v>
      </c>
      <c r="T42" s="667" t="s">
        <v>18</v>
      </c>
      <c r="U42" s="668">
        <f t="shared" si="13"/>
        <v>100</v>
      </c>
      <c r="V42" s="667" t="s">
        <v>18</v>
      </c>
      <c r="W42" s="668">
        <f t="shared" si="14"/>
        <v>100</v>
      </c>
      <c r="X42" s="1265"/>
      <c r="Y42" s="340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3"/>
      <c r="Q43" s="1263" t="str">
        <f t="shared" si="11"/>
        <v>内部装修维护情况</v>
      </c>
      <c r="R43" s="667" t="s">
        <v>18</v>
      </c>
      <c r="S43" s="668">
        <f t="shared" si="12"/>
        <v>100</v>
      </c>
      <c r="T43" s="667" t="s">
        <v>18</v>
      </c>
      <c r="U43" s="668">
        <f t="shared" si="13"/>
        <v>100</v>
      </c>
      <c r="V43" s="667" t="s">
        <v>18</v>
      </c>
      <c r="W43" s="668">
        <f t="shared" si="14"/>
        <v>100</v>
      </c>
      <c r="X43" s="1265"/>
      <c r="Y43" s="340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03"/>
      <c r="Q44" s="530">
        <f t="shared" si="11"/>
        <v>111</v>
      </c>
      <c r="R44" s="664" t="s">
        <v>18</v>
      </c>
      <c r="S44" s="665">
        <f t="shared" si="12"/>
        <v>100</v>
      </c>
      <c r="T44" s="664" t="s">
        <v>18</v>
      </c>
      <c r="U44" s="665">
        <f t="shared" si="13"/>
        <v>100</v>
      </c>
      <c r="V44" s="664" t="s">
        <v>18</v>
      </c>
      <c r="W44" s="665">
        <f t="shared" si="14"/>
        <v>100</v>
      </c>
      <c r="X44" s="666"/>
      <c r="Y44" s="340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3"/>
      <c r="Q45" s="1263">
        <f t="shared" si="11"/>
        <v>111</v>
      </c>
      <c r="R45" s="667" t="s">
        <v>18</v>
      </c>
      <c r="S45" s="668">
        <f t="shared" si="12"/>
        <v>100</v>
      </c>
      <c r="T45" s="667" t="s">
        <v>18</v>
      </c>
      <c r="U45" s="668">
        <f t="shared" si="13"/>
        <v>100</v>
      </c>
      <c r="V45" s="667" t="s">
        <v>18</v>
      </c>
      <c r="W45" s="668">
        <f t="shared" si="14"/>
        <v>100</v>
      </c>
      <c r="X45" s="1265"/>
      <c r="Y45" s="340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4"/>
      <c r="Q46" s="1263">
        <f t="shared" si="11"/>
        <v>111</v>
      </c>
      <c r="R46" s="667" t="s">
        <v>17</v>
      </c>
      <c r="S46" s="668">
        <f t="shared" si="12"/>
        <v>100</v>
      </c>
      <c r="T46" s="667" t="s">
        <v>17</v>
      </c>
      <c r="U46" s="668">
        <f t="shared" si="13"/>
        <v>100</v>
      </c>
      <c r="V46" s="667" t="s">
        <v>17</v>
      </c>
      <c r="W46" s="668">
        <f t="shared" si="14"/>
        <v>100</v>
      </c>
      <c r="X46" s="1265"/>
      <c r="Y46" s="340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07" t="str">
        <f>A47</f>
        <v>成交单价（元/平方米）</v>
      </c>
      <c r="Q47" s="3407"/>
      <c r="R47" s="3395">
        <f>E47</f>
        <v>0</v>
      </c>
      <c r="S47" s="3395"/>
      <c r="T47" s="3395">
        <f>G47</f>
        <v>0</v>
      </c>
      <c r="U47" s="3395"/>
      <c r="V47" s="3395">
        <f>I47</f>
        <v>0</v>
      </c>
      <c r="W47" s="3395"/>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407" t="str">
        <f>A48</f>
        <v>比较价值（元/平方米）</v>
      </c>
      <c r="Q48" s="340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1058.25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38" t="s">
        <v>1775</v>
      </c>
      <c r="Q4" s="3439"/>
      <c r="R4" s="3433" t="s">
        <v>1771</v>
      </c>
      <c r="S4" s="3434"/>
      <c r="T4" s="3433" t="s">
        <v>1772</v>
      </c>
      <c r="U4" s="3434"/>
      <c r="V4" s="3395" t="s">
        <v>1773</v>
      </c>
      <c r="W4" s="3395"/>
      <c r="X4" s="1265"/>
      <c r="Y4" s="3433" t="s">
        <v>1775</v>
      </c>
      <c r="Z4" s="3434"/>
      <c r="AA4" s="3432" t="s">
        <v>1771</v>
      </c>
      <c r="AB4" s="3395" t="s">
        <v>1772</v>
      </c>
      <c r="AC4" s="3432" t="s">
        <v>1773</v>
      </c>
    </row>
    <row r="5" spans="1:29" ht="15">
      <c r="A5" s="348"/>
      <c r="B5" s="349"/>
      <c r="C5" s="3437" t="s">
        <v>1673</v>
      </c>
      <c r="D5" s="3373"/>
      <c r="E5" s="3435" t="s">
        <v>1674</v>
      </c>
      <c r="F5" s="3436"/>
      <c r="G5" s="3437" t="s">
        <v>1675</v>
      </c>
      <c r="H5" s="3373"/>
      <c r="I5" s="3437" t="s">
        <v>1676</v>
      </c>
      <c r="J5" s="3373"/>
      <c r="K5" s="537"/>
      <c r="L5" s="2486"/>
      <c r="M5" s="2487"/>
      <c r="N5" s="2487"/>
      <c r="O5" s="2487"/>
      <c r="P5" s="3440"/>
      <c r="Q5" s="3389"/>
      <c r="R5" s="3370"/>
      <c r="S5" s="3371"/>
      <c r="T5" s="3370"/>
      <c r="U5" s="3371"/>
      <c r="V5" s="3395"/>
      <c r="W5" s="3395"/>
      <c r="X5" s="1265"/>
      <c r="Y5" s="3370"/>
      <c r="Z5" s="3371"/>
      <c r="AA5" s="3364"/>
      <c r="AB5" s="3395"/>
      <c r="AC5" s="3364"/>
    </row>
    <row r="6" spans="1:29" ht="15.75" thickBot="1">
      <c r="A6" s="350"/>
      <c r="B6" s="351"/>
      <c r="C6" s="3374" t="s">
        <v>1677</v>
      </c>
      <c r="D6" s="3375"/>
      <c r="E6" s="3376" t="s">
        <v>1677</v>
      </c>
      <c r="F6" s="3377"/>
      <c r="G6" s="3374" t="s">
        <v>1677</v>
      </c>
      <c r="H6" s="3375"/>
      <c r="I6" s="3374" t="s">
        <v>1677</v>
      </c>
      <c r="J6" s="3375"/>
      <c r="K6" s="537" t="s">
        <v>1678</v>
      </c>
      <c r="L6" s="2486"/>
      <c r="M6" s="2487"/>
      <c r="N6" s="2487"/>
      <c r="O6" s="2487"/>
      <c r="P6" s="3441"/>
      <c r="Q6" s="3391"/>
      <c r="R6" s="3370"/>
      <c r="S6" s="3371"/>
      <c r="T6" s="3392"/>
      <c r="U6" s="3393"/>
      <c r="V6" s="3395"/>
      <c r="W6" s="3395"/>
      <c r="X6" s="1265"/>
      <c r="Y6" s="3392"/>
      <c r="Z6" s="3393"/>
      <c r="AA6" s="3365"/>
      <c r="AB6" s="3395"/>
      <c r="AC6" s="3365"/>
    </row>
    <row r="7" spans="1:29" s="102" customFormat="1" ht="15.7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6" t="s">
        <v>1680</v>
      </c>
      <c r="Q7" s="3397"/>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8" t="s">
        <v>1691</v>
      </c>
      <c r="Q15" s="1263" t="str">
        <f t="shared" si="6"/>
        <v>商业繁华度</v>
      </c>
      <c r="R15" s="667" t="s">
        <v>14</v>
      </c>
      <c r="S15" s="668">
        <f t="shared" si="0"/>
        <v>100</v>
      </c>
      <c r="T15" s="667" t="s">
        <v>14</v>
      </c>
      <c r="U15" s="668">
        <f t="shared" si="1"/>
        <v>100</v>
      </c>
      <c r="V15" s="667" t="s">
        <v>14</v>
      </c>
      <c r="W15" s="668">
        <f t="shared" si="2"/>
        <v>100</v>
      </c>
      <c r="X15" s="1265"/>
      <c r="Y15" s="340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9"/>
      <c r="Q16" s="1263"/>
      <c r="R16" s="667"/>
      <c r="S16" s="668"/>
      <c r="T16" s="667"/>
      <c r="U16" s="668"/>
      <c r="V16" s="667"/>
      <c r="W16" s="668"/>
      <c r="X16" s="1265"/>
      <c r="Y16" s="3401"/>
      <c r="Z16" s="1264"/>
      <c r="AA16" s="1264">
        <v>1</v>
      </c>
      <c r="AB16" s="1264">
        <v>1</v>
      </c>
      <c r="AC16" s="1264">
        <v>1</v>
      </c>
    </row>
    <row r="17" spans="1:29" ht="85.5">
      <c r="A17" s="367"/>
      <c r="B17" s="390" t="s">
        <v>1259</v>
      </c>
      <c r="C17" s="1754" t="str">
        <f>估价对象房地状况!C6</f>
        <v>有695、323、425路等公交路线经过，紧邻地铁4号线——人民大学站，交通便捷度较好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9"/>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9"/>
      <c r="Q18" s="1263"/>
      <c r="R18" s="667"/>
      <c r="S18" s="668"/>
      <c r="T18" s="667"/>
      <c r="U18" s="668"/>
      <c r="V18" s="667"/>
      <c r="W18" s="668"/>
      <c r="X18" s="1265"/>
      <c r="Y18" s="3401"/>
      <c r="Z18" s="1264"/>
      <c r="AA18" s="1264">
        <v>1</v>
      </c>
      <c r="AB18" s="1264">
        <v>1</v>
      </c>
      <c r="AC18" s="1264">
        <v>1</v>
      </c>
    </row>
    <row r="19" spans="1:29" ht="42.75">
      <c r="A19" s="367"/>
      <c r="B19" s="390" t="s">
        <v>1778</v>
      </c>
      <c r="C19" s="1754" t="str">
        <f>估价对象房地状况!C7</f>
        <v>估价对象所在区域公共配套设施较齐备</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9"/>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9"/>
      <c r="Q20" s="1263"/>
      <c r="R20" s="667"/>
      <c r="S20" s="668"/>
      <c r="T20" s="667"/>
      <c r="U20" s="668"/>
      <c r="V20" s="667"/>
      <c r="W20" s="668"/>
      <c r="X20" s="1265"/>
      <c r="Y20" s="3401"/>
      <c r="Z20" s="1264"/>
      <c r="AA20" s="1264">
        <v>1</v>
      </c>
      <c r="AB20" s="1264">
        <v>1</v>
      </c>
      <c r="AC20" s="1264">
        <v>1</v>
      </c>
    </row>
    <row r="21" spans="1:29" ht="42.75">
      <c r="A21" s="367"/>
      <c r="B21" s="586" t="s">
        <v>1779</v>
      </c>
      <c r="C21" s="1754" t="str">
        <f>估价对象房地状况!C8</f>
        <v>估价对象所在区域基础设施水平较好</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9"/>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9"/>
      <c r="Q22" s="1263"/>
      <c r="R22" s="667"/>
      <c r="S22" s="668"/>
      <c r="T22" s="667"/>
      <c r="U22" s="668"/>
      <c r="V22" s="667"/>
      <c r="W22" s="668"/>
      <c r="X22" s="1265"/>
      <c r="Y22" s="3401"/>
      <c r="Z22" s="1264"/>
      <c r="AA22" s="1264">
        <v>1</v>
      </c>
      <c r="AB22" s="1264">
        <v>1</v>
      </c>
      <c r="AC22" s="1264">
        <v>1</v>
      </c>
    </row>
    <row r="23" spans="1:29" ht="71.25">
      <c r="A23" s="367"/>
      <c r="B23" s="390" t="s">
        <v>1261</v>
      </c>
      <c r="C23" s="1806" t="str">
        <f>估价对象房地状况!C9</f>
        <v>周边有动物园、北京艺术博物馆、双榆树公园等自然人文环境，质量较好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9"/>
      <c r="Q23" s="1263" t="str">
        <f>B23</f>
        <v>自然及人文环境</v>
      </c>
      <c r="R23" s="667" t="s">
        <v>14</v>
      </c>
      <c r="S23" s="668">
        <f>F23</f>
        <v>100</v>
      </c>
      <c r="T23" s="667" t="s">
        <v>14</v>
      </c>
      <c r="U23" s="668">
        <f>H23</f>
        <v>100</v>
      </c>
      <c r="V23" s="667" t="s">
        <v>14</v>
      </c>
      <c r="W23" s="668">
        <f>J23</f>
        <v>100</v>
      </c>
      <c r="X23" s="1265"/>
      <c r="Y23" s="340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9"/>
      <c r="Q24" s="1263"/>
      <c r="R24" s="667"/>
      <c r="S24" s="668"/>
      <c r="T24" s="667"/>
      <c r="U24" s="668"/>
      <c r="V24" s="667"/>
      <c r="W24" s="668"/>
      <c r="X24" s="1265"/>
      <c r="Y24" s="340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9"/>
      <c r="Q25" s="1263" t="str">
        <f t="shared" ref="Q25:Q46" si="11">B25</f>
        <v>临街状况</v>
      </c>
      <c r="R25" s="667" t="s">
        <v>14</v>
      </c>
      <c r="S25" s="668">
        <f>F25</f>
        <v>100</v>
      </c>
      <c r="T25" s="667" t="s">
        <v>14</v>
      </c>
      <c r="U25" s="668">
        <f>H25</f>
        <v>100</v>
      </c>
      <c r="V25" s="667" t="s">
        <v>14</v>
      </c>
      <c r="W25" s="668">
        <f>J25</f>
        <v>100</v>
      </c>
      <c r="X25" s="1265"/>
      <c r="Y25" s="340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9"/>
      <c r="Q26" s="1263" t="str">
        <f t="shared" si="11"/>
        <v>平面位置/可视性</v>
      </c>
      <c r="R26" s="667" t="s">
        <v>14</v>
      </c>
      <c r="S26" s="668">
        <f>F26</f>
        <v>100</v>
      </c>
      <c r="T26" s="667" t="s">
        <v>14</v>
      </c>
      <c r="U26" s="668">
        <f>H26</f>
        <v>100</v>
      </c>
      <c r="V26" s="667" t="s">
        <v>14</v>
      </c>
      <c r="W26" s="668">
        <f>J26</f>
        <v>100</v>
      </c>
      <c r="X26" s="1265"/>
      <c r="Y26" s="340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9"/>
      <c r="Q27" s="530" t="str">
        <f t="shared" si="11"/>
        <v>人流量</v>
      </c>
      <c r="R27" s="664" t="s">
        <v>14</v>
      </c>
      <c r="S27" s="665">
        <f>F27</f>
        <v>100</v>
      </c>
      <c r="T27" s="664" t="s">
        <v>14</v>
      </c>
      <c r="U27" s="665">
        <f>H27</f>
        <v>100</v>
      </c>
      <c r="V27" s="664" t="s">
        <v>14</v>
      </c>
      <c r="W27" s="665">
        <f>J27</f>
        <v>100</v>
      </c>
      <c r="X27" s="666"/>
      <c r="Y27" s="340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9"/>
      <c r="Q29" s="1263">
        <f t="shared" si="11"/>
        <v>111</v>
      </c>
      <c r="R29" s="667" t="s">
        <v>14</v>
      </c>
      <c r="S29" s="668">
        <f t="shared" si="12"/>
        <v>100</v>
      </c>
      <c r="T29" s="667" t="s">
        <v>14</v>
      </c>
      <c r="U29" s="668">
        <f t="shared" si="13"/>
        <v>100</v>
      </c>
      <c r="V29" s="667" t="s">
        <v>14</v>
      </c>
      <c r="W29" s="668">
        <f t="shared" si="14"/>
        <v>100</v>
      </c>
      <c r="X29" s="1265"/>
      <c r="Y29" s="340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9"/>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9"/>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2" t="s">
        <v>1696</v>
      </c>
      <c r="Q32" s="1263" t="str">
        <f t="shared" si="11"/>
        <v>商业类型</v>
      </c>
      <c r="R32" s="667" t="s">
        <v>14</v>
      </c>
      <c r="S32" s="668">
        <f t="shared" si="12"/>
        <v>100</v>
      </c>
      <c r="T32" s="667" t="s">
        <v>14</v>
      </c>
      <c r="U32" s="668">
        <f t="shared" si="13"/>
        <v>100</v>
      </c>
      <c r="V32" s="667" t="s">
        <v>14</v>
      </c>
      <c r="W32" s="668">
        <f t="shared" si="14"/>
        <v>100</v>
      </c>
      <c r="X32" s="1265"/>
      <c r="Y32" s="340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3"/>
      <c r="Q33" s="531" t="str">
        <f t="shared" si="11"/>
        <v>项目建筑规模</v>
      </c>
      <c r="R33" s="669" t="s">
        <v>14</v>
      </c>
      <c r="S33" s="670" t="e">
        <f t="shared" si="12"/>
        <v>#N/A</v>
      </c>
      <c r="T33" s="669" t="s">
        <v>14</v>
      </c>
      <c r="U33" s="670" t="e">
        <f t="shared" si="13"/>
        <v>#N/A</v>
      </c>
      <c r="V33" s="669" t="s">
        <v>14</v>
      </c>
      <c r="W33" s="670" t="e">
        <f t="shared" si="14"/>
        <v>#N/A</v>
      </c>
      <c r="X33" s="671"/>
      <c r="Y33" s="340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3"/>
      <c r="Q34" s="1263" t="str">
        <f t="shared" si="11"/>
        <v>建筑结构</v>
      </c>
      <c r="R34" s="667" t="s">
        <v>14</v>
      </c>
      <c r="S34" s="668">
        <f t="shared" si="12"/>
        <v>100</v>
      </c>
      <c r="T34" s="667" t="s">
        <v>14</v>
      </c>
      <c r="U34" s="668">
        <f t="shared" si="13"/>
        <v>100</v>
      </c>
      <c r="V34" s="667" t="s">
        <v>14</v>
      </c>
      <c r="W34" s="668">
        <f t="shared" si="14"/>
        <v>100</v>
      </c>
      <c r="X34" s="1265"/>
      <c r="Y34" s="340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3"/>
      <c r="Q35" s="1263" t="str">
        <f t="shared" si="11"/>
        <v>公共部分装修</v>
      </c>
      <c r="R35" s="667" t="s">
        <v>14</v>
      </c>
      <c r="S35" s="668">
        <f t="shared" si="12"/>
        <v>100</v>
      </c>
      <c r="T35" s="667" t="s">
        <v>14</v>
      </c>
      <c r="U35" s="668">
        <f t="shared" si="13"/>
        <v>100</v>
      </c>
      <c r="V35" s="667" t="s">
        <v>14</v>
      </c>
      <c r="W35" s="668">
        <f t="shared" si="14"/>
        <v>100</v>
      </c>
      <c r="X35" s="1265"/>
      <c r="Y35" s="340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3"/>
      <c r="Q36" s="1263" t="str">
        <f t="shared" si="11"/>
        <v>成新度</v>
      </c>
      <c r="R36" s="667" t="s">
        <v>14</v>
      </c>
      <c r="S36" s="668" t="e">
        <f t="shared" si="12"/>
        <v>#N/A</v>
      </c>
      <c r="T36" s="667" t="s">
        <v>14</v>
      </c>
      <c r="U36" s="668" t="e">
        <f t="shared" si="13"/>
        <v>#N/A</v>
      </c>
      <c r="V36" s="667" t="s">
        <v>14</v>
      </c>
      <c r="W36" s="668" t="e">
        <f t="shared" si="14"/>
        <v>#N/A</v>
      </c>
      <c r="X36" s="1265"/>
      <c r="Y36" s="340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3" t="s">
        <v>1696</v>
      </c>
      <c r="Q38" s="1263" t="str">
        <f t="shared" si="11"/>
        <v>业态</v>
      </c>
      <c r="R38" s="667" t="s">
        <v>14</v>
      </c>
      <c r="S38" s="668">
        <f t="shared" si="12"/>
        <v>100</v>
      </c>
      <c r="T38" s="667" t="s">
        <v>14</v>
      </c>
      <c r="U38" s="668">
        <f t="shared" si="13"/>
        <v>100</v>
      </c>
      <c r="V38" s="667" t="s">
        <v>14</v>
      </c>
      <c r="W38" s="668">
        <f t="shared" si="14"/>
        <v>100</v>
      </c>
      <c r="X38" s="1265"/>
      <c r="Y38" s="340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3"/>
      <c r="Q39" s="1263" t="str">
        <f t="shared" si="11"/>
        <v>层高</v>
      </c>
      <c r="R39" s="667" t="s">
        <v>14</v>
      </c>
      <c r="S39" s="668">
        <f t="shared" si="12"/>
        <v>100</v>
      </c>
      <c r="T39" s="667" t="s">
        <v>14</v>
      </c>
      <c r="U39" s="668">
        <f t="shared" si="13"/>
        <v>100</v>
      </c>
      <c r="V39" s="667" t="s">
        <v>14</v>
      </c>
      <c r="W39" s="668">
        <f t="shared" si="14"/>
        <v>100</v>
      </c>
      <c r="X39" s="1265"/>
      <c r="Y39" s="340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3"/>
      <c r="Q40" s="1263" t="str">
        <f t="shared" si="11"/>
        <v>单套建筑面积</v>
      </c>
      <c r="R40" s="667" t="s">
        <v>14</v>
      </c>
      <c r="S40" s="668">
        <f t="shared" si="12"/>
        <v>100</v>
      </c>
      <c r="T40" s="667" t="s">
        <v>14</v>
      </c>
      <c r="U40" s="668">
        <f t="shared" si="13"/>
        <v>100</v>
      </c>
      <c r="V40" s="667" t="s">
        <v>14</v>
      </c>
      <c r="W40" s="668">
        <f t="shared" si="14"/>
        <v>100</v>
      </c>
      <c r="X40" s="1265"/>
      <c r="Y40" s="340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3"/>
      <c r="Q42" s="1263" t="str">
        <f t="shared" si="11"/>
        <v>内部装修</v>
      </c>
      <c r="R42" s="667" t="s">
        <v>14</v>
      </c>
      <c r="S42" s="668">
        <f t="shared" si="12"/>
        <v>100</v>
      </c>
      <c r="T42" s="667" t="s">
        <v>14</v>
      </c>
      <c r="U42" s="668">
        <f t="shared" si="13"/>
        <v>100</v>
      </c>
      <c r="V42" s="667" t="s">
        <v>14</v>
      </c>
      <c r="W42" s="668">
        <f t="shared" si="14"/>
        <v>100</v>
      </c>
      <c r="X42" s="1265"/>
      <c r="Y42" s="340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3"/>
      <c r="Q43" s="1263" t="str">
        <f t="shared" si="11"/>
        <v>内部装修维护情况</v>
      </c>
      <c r="R43" s="667" t="s">
        <v>14</v>
      </c>
      <c r="S43" s="668">
        <f t="shared" si="12"/>
        <v>100</v>
      </c>
      <c r="T43" s="667" t="s">
        <v>14</v>
      </c>
      <c r="U43" s="668">
        <f t="shared" si="13"/>
        <v>100</v>
      </c>
      <c r="V43" s="667" t="s">
        <v>14</v>
      </c>
      <c r="W43" s="668">
        <f t="shared" si="14"/>
        <v>100</v>
      </c>
      <c r="X43" s="1265"/>
      <c r="Y43" s="340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3"/>
      <c r="Q45" s="1263">
        <f t="shared" si="11"/>
        <v>111</v>
      </c>
      <c r="R45" s="667" t="s">
        <v>14</v>
      </c>
      <c r="S45" s="668">
        <f t="shared" si="12"/>
        <v>100</v>
      </c>
      <c r="T45" s="667" t="s">
        <v>14</v>
      </c>
      <c r="U45" s="668">
        <f t="shared" si="13"/>
        <v>100</v>
      </c>
      <c r="V45" s="667" t="s">
        <v>14</v>
      </c>
      <c r="W45" s="668">
        <f t="shared" si="14"/>
        <v>100</v>
      </c>
      <c r="X45" s="1265"/>
      <c r="Y45" s="340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07" t="str">
        <f>A47</f>
        <v>成交单价（元/平方米）</v>
      </c>
      <c r="Q47" s="3407"/>
      <c r="R47" s="3395">
        <f>E47</f>
        <v>0</v>
      </c>
      <c r="S47" s="3395"/>
      <c r="T47" s="3395">
        <f>G47</f>
        <v>0</v>
      </c>
      <c r="U47" s="3395"/>
      <c r="V47" s="3395">
        <f>I47</f>
        <v>0</v>
      </c>
      <c r="W47" s="3395"/>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407" t="str">
        <f>A48</f>
        <v>比较价值（元/平方米）</v>
      </c>
      <c r="Q48" s="340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1058.25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860"/>
      <c r="M4" s="861"/>
      <c r="N4" s="861"/>
      <c r="O4" s="861"/>
      <c r="P4" s="3438" t="s">
        <v>1775</v>
      </c>
      <c r="Q4" s="3439"/>
      <c r="R4" s="3433" t="s">
        <v>1771</v>
      </c>
      <c r="S4" s="3434"/>
      <c r="T4" s="3433" t="s">
        <v>1772</v>
      </c>
      <c r="U4" s="3434"/>
      <c r="V4" s="3395" t="s">
        <v>1773</v>
      </c>
      <c r="W4" s="3395"/>
      <c r="X4" s="1265"/>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860"/>
      <c r="M5" s="861"/>
      <c r="N5" s="861"/>
      <c r="O5" s="861"/>
      <c r="P5" s="3440"/>
      <c r="Q5" s="3389"/>
      <c r="R5" s="3370"/>
      <c r="S5" s="3371"/>
      <c r="T5" s="3370"/>
      <c r="U5" s="3371"/>
      <c r="V5" s="3395"/>
      <c r="W5" s="3395"/>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860"/>
      <c r="M6" s="861"/>
      <c r="N6" s="861"/>
      <c r="O6" s="861"/>
      <c r="P6" s="3441"/>
      <c r="Q6" s="3391"/>
      <c r="R6" s="3370"/>
      <c r="S6" s="3371"/>
      <c r="T6" s="3392"/>
      <c r="U6" s="3393"/>
      <c r="V6" s="3395"/>
      <c r="W6" s="3395"/>
      <c r="X6" s="1265"/>
      <c r="Y6" s="3392"/>
      <c r="Z6" s="3393"/>
      <c r="AA6" s="3365"/>
      <c r="AB6" s="3365"/>
      <c r="AC6" s="3365"/>
    </row>
    <row r="7" spans="1:29" s="102" customFormat="1" ht="15.75" thickBot="1">
      <c r="A7" s="352" t="s">
        <v>1679</v>
      </c>
      <c r="B7" s="353"/>
      <c r="C7" s="354">
        <f>'数据-取费表'!B2</f>
        <v>45757</v>
      </c>
      <c r="D7" s="355">
        <v>100</v>
      </c>
      <c r="E7" s="356"/>
      <c r="F7" s="357">
        <f>SUMIF(52:52,YEAR(E7)&amp;"-"&amp;MONTH(E7),53:53)</f>
        <v>0</v>
      </c>
      <c r="G7" s="356"/>
      <c r="H7" s="355">
        <f>SUMIF(52:52,YEAR(G7)&amp;"-"&amp;MONTH(G7),53:53)</f>
        <v>0</v>
      </c>
      <c r="I7" s="356"/>
      <c r="J7" s="355">
        <f>SUMIF(52:52,YEAR(I7)&amp;"-"&amp;MONTH(I7),53:53)</f>
        <v>0</v>
      </c>
      <c r="K7" s="38"/>
      <c r="L7" s="862"/>
      <c r="M7" s="863"/>
      <c r="N7" s="863"/>
      <c r="O7" s="863"/>
      <c r="P7" s="3366" t="s">
        <v>1680</v>
      </c>
      <c r="Q7" s="3397"/>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6" t="s">
        <v>1683</v>
      </c>
      <c r="Q8" s="3367"/>
      <c r="R8" s="664" t="s">
        <v>14</v>
      </c>
      <c r="S8" s="665">
        <f t="shared" si="0"/>
        <v>100</v>
      </c>
      <c r="T8" s="664" t="s">
        <v>14</v>
      </c>
      <c r="U8" s="665">
        <f t="shared" si="1"/>
        <v>100</v>
      </c>
      <c r="V8" s="664" t="s">
        <v>14</v>
      </c>
      <c r="W8" s="665">
        <f t="shared" si="2"/>
        <v>100</v>
      </c>
      <c r="X8" s="666"/>
      <c r="Y8" s="3366" t="s">
        <v>1683</v>
      </c>
      <c r="Z8" s="336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1"/>
      <c r="Q16" s="1263"/>
      <c r="R16" s="667"/>
      <c r="S16" s="668"/>
      <c r="T16" s="667"/>
      <c r="U16" s="668"/>
      <c r="V16" s="667"/>
      <c r="W16" s="668"/>
      <c r="X16" s="1265"/>
      <c r="Y16" s="340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1"/>
      <c r="Q18" s="1263"/>
      <c r="R18" s="667"/>
      <c r="S18" s="668"/>
      <c r="T18" s="667"/>
      <c r="U18" s="668"/>
      <c r="V18" s="667"/>
      <c r="W18" s="668"/>
      <c r="X18" s="1265"/>
      <c r="Y18" s="340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1"/>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1"/>
      <c r="Q20" s="1263"/>
      <c r="R20" s="667"/>
      <c r="S20" s="668"/>
      <c r="T20" s="667"/>
      <c r="U20" s="668"/>
      <c r="V20" s="667"/>
      <c r="W20" s="668"/>
      <c r="X20" s="1265"/>
      <c r="Y20" s="340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1"/>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1"/>
      <c r="Q22" s="1263"/>
      <c r="R22" s="667"/>
      <c r="S22" s="668"/>
      <c r="T22" s="667"/>
      <c r="U22" s="668"/>
      <c r="V22" s="667"/>
      <c r="W22" s="668"/>
      <c r="X22" s="1265"/>
      <c r="Y22" s="340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1"/>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1"/>
      <c r="Q24" s="1263"/>
      <c r="R24" s="667"/>
      <c r="S24" s="668"/>
      <c r="T24" s="667"/>
      <c r="U24" s="668"/>
      <c r="V24" s="667"/>
      <c r="W24" s="668"/>
      <c r="X24" s="1265"/>
      <c r="Y24" s="340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1"/>
      <c r="Q25" s="1263">
        <f>B25</f>
        <v>111</v>
      </c>
      <c r="R25" s="667" t="s">
        <v>14</v>
      </c>
      <c r="S25" s="668">
        <f>F25</f>
        <v>100</v>
      </c>
      <c r="T25" s="667" t="s">
        <v>14</v>
      </c>
      <c r="U25" s="668">
        <f>H25</f>
        <v>100</v>
      </c>
      <c r="V25" s="667" t="s">
        <v>14</v>
      </c>
      <c r="W25" s="668">
        <f>J25</f>
        <v>100</v>
      </c>
      <c r="X25" s="1265"/>
      <c r="Y25" s="340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1"/>
      <c r="Q26" s="1263">
        <f t="shared" ref="Q26:Q40" si="11">B26</f>
        <v>111</v>
      </c>
      <c r="R26" s="667" t="s">
        <v>14</v>
      </c>
      <c r="S26" s="668">
        <f>F26</f>
        <v>100</v>
      </c>
      <c r="T26" s="667" t="s">
        <v>14</v>
      </c>
      <c r="U26" s="668">
        <f>H26</f>
        <v>100</v>
      </c>
      <c r="V26" s="667" t="s">
        <v>14</v>
      </c>
      <c r="W26" s="668">
        <f>J26</f>
        <v>100</v>
      </c>
      <c r="X26" s="1265"/>
      <c r="Y26" s="340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1"/>
      <c r="Q27" s="530">
        <f t="shared" si="11"/>
        <v>111</v>
      </c>
      <c r="R27" s="664" t="s">
        <v>14</v>
      </c>
      <c r="S27" s="665">
        <f>F27</f>
        <v>100</v>
      </c>
      <c r="T27" s="664" t="s">
        <v>14</v>
      </c>
      <c r="U27" s="665">
        <f>H27</f>
        <v>100</v>
      </c>
      <c r="V27" s="664" t="s">
        <v>14</v>
      </c>
      <c r="W27" s="665">
        <f>J27</f>
        <v>100</v>
      </c>
      <c r="X27" s="666"/>
      <c r="Y27" s="340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1"/>
      <c r="Q28" s="1263">
        <f t="shared" si="11"/>
        <v>111</v>
      </c>
      <c r="R28" s="667" t="s">
        <v>14</v>
      </c>
      <c r="S28" s="668">
        <f t="shared" ref="S28:S40" si="12">F28</f>
        <v>100</v>
      </c>
      <c r="T28" s="667" t="s">
        <v>14</v>
      </c>
      <c r="U28" s="668">
        <f t="shared" ref="U28:U40" si="13">H28</f>
        <v>100</v>
      </c>
      <c r="V28" s="667" t="s">
        <v>14</v>
      </c>
      <c r="W28" s="668">
        <f t="shared" ref="W28:W40" si="14">J28</f>
        <v>100</v>
      </c>
      <c r="X28" s="1265"/>
      <c r="Y28" s="340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40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5"/>
      <c r="Q30" s="531" t="str">
        <f t="shared" si="11"/>
        <v>项目建筑规模</v>
      </c>
      <c r="R30" s="669" t="s">
        <v>14</v>
      </c>
      <c r="S30" s="670" t="e">
        <f t="shared" si="12"/>
        <v>#N/A</v>
      </c>
      <c r="T30" s="669" t="s">
        <v>14</v>
      </c>
      <c r="U30" s="670" t="e">
        <f t="shared" si="13"/>
        <v>#N/A</v>
      </c>
      <c r="V30" s="669" t="s">
        <v>14</v>
      </c>
      <c r="W30" s="670" t="e">
        <f t="shared" si="14"/>
        <v>#N/A</v>
      </c>
      <c r="X30" s="671"/>
      <c r="Y30" s="340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5"/>
      <c r="Q31" s="1263" t="str">
        <f t="shared" si="11"/>
        <v>建筑结构</v>
      </c>
      <c r="R31" s="667" t="s">
        <v>14</v>
      </c>
      <c r="S31" s="668">
        <f t="shared" si="12"/>
        <v>100</v>
      </c>
      <c r="T31" s="667" t="s">
        <v>14</v>
      </c>
      <c r="U31" s="668">
        <f t="shared" si="13"/>
        <v>100</v>
      </c>
      <c r="V31" s="667" t="s">
        <v>14</v>
      </c>
      <c r="W31" s="668">
        <f t="shared" si="14"/>
        <v>100</v>
      </c>
      <c r="X31" s="1265"/>
      <c r="Y31" s="340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5"/>
      <c r="Q32" s="1263" t="str">
        <f t="shared" si="11"/>
        <v>公共部分装修</v>
      </c>
      <c r="R32" s="667" t="s">
        <v>14</v>
      </c>
      <c r="S32" s="668">
        <f t="shared" si="12"/>
        <v>100</v>
      </c>
      <c r="T32" s="667" t="s">
        <v>14</v>
      </c>
      <c r="U32" s="668">
        <f t="shared" si="13"/>
        <v>100</v>
      </c>
      <c r="V32" s="667" t="s">
        <v>14</v>
      </c>
      <c r="W32" s="668">
        <f t="shared" si="14"/>
        <v>100</v>
      </c>
      <c r="X32" s="1265"/>
      <c r="Y32" s="340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5"/>
      <c r="Q33" s="1263" t="str">
        <f t="shared" si="11"/>
        <v>成新度</v>
      </c>
      <c r="R33" s="667" t="s">
        <v>14</v>
      </c>
      <c r="S33" s="668" t="e">
        <f t="shared" si="12"/>
        <v>#N/A</v>
      </c>
      <c r="T33" s="667" t="s">
        <v>14</v>
      </c>
      <c r="U33" s="668" t="e">
        <f t="shared" si="13"/>
        <v>#N/A</v>
      </c>
      <c r="V33" s="667" t="s">
        <v>14</v>
      </c>
      <c r="W33" s="668" t="e">
        <f t="shared" si="14"/>
        <v>#N/A</v>
      </c>
      <c r="X33" s="1265"/>
      <c r="Y33" s="340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5" t="s">
        <v>1696</v>
      </c>
      <c r="Q35" s="1263" t="str">
        <f t="shared" si="11"/>
        <v>市政基础设施</v>
      </c>
      <c r="R35" s="667" t="s">
        <v>14</v>
      </c>
      <c r="S35" s="668">
        <f t="shared" si="12"/>
        <v>100</v>
      </c>
      <c r="T35" s="667" t="s">
        <v>14</v>
      </c>
      <c r="U35" s="668">
        <f t="shared" si="13"/>
        <v>100</v>
      </c>
      <c r="V35" s="667" t="s">
        <v>14</v>
      </c>
      <c r="W35" s="668">
        <f t="shared" si="14"/>
        <v>100</v>
      </c>
      <c r="X35" s="1265"/>
      <c r="Y35" s="340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5"/>
      <c r="Q36" s="1263" t="str">
        <f t="shared" si="11"/>
        <v>内部装修</v>
      </c>
      <c r="R36" s="667" t="s">
        <v>14</v>
      </c>
      <c r="S36" s="668">
        <f t="shared" si="12"/>
        <v>100</v>
      </c>
      <c r="T36" s="667" t="s">
        <v>14</v>
      </c>
      <c r="U36" s="668">
        <f t="shared" si="13"/>
        <v>100</v>
      </c>
      <c r="V36" s="667" t="s">
        <v>14</v>
      </c>
      <c r="W36" s="668">
        <f t="shared" si="14"/>
        <v>100</v>
      </c>
      <c r="X36" s="1265"/>
      <c r="Y36" s="340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5"/>
      <c r="Q37" s="1263" t="str">
        <f t="shared" si="11"/>
        <v>内部装修状况</v>
      </c>
      <c r="R37" s="667" t="s">
        <v>14</v>
      </c>
      <c r="S37" s="668">
        <f t="shared" si="12"/>
        <v>100</v>
      </c>
      <c r="T37" s="667" t="s">
        <v>14</v>
      </c>
      <c r="U37" s="668">
        <f t="shared" si="13"/>
        <v>100</v>
      </c>
      <c r="V37" s="667" t="s">
        <v>14</v>
      </c>
      <c r="W37" s="668">
        <f t="shared" si="14"/>
        <v>100</v>
      </c>
      <c r="X37" s="1265"/>
      <c r="Y37" s="340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5"/>
      <c r="Q38" s="531">
        <f t="shared" si="11"/>
        <v>111</v>
      </c>
      <c r="R38" s="669" t="s">
        <v>14</v>
      </c>
      <c r="S38" s="670">
        <f t="shared" si="12"/>
        <v>100</v>
      </c>
      <c r="T38" s="669" t="s">
        <v>14</v>
      </c>
      <c r="U38" s="670">
        <f t="shared" si="13"/>
        <v>100</v>
      </c>
      <c r="V38" s="669" t="s">
        <v>14</v>
      </c>
      <c r="W38" s="670">
        <f t="shared" si="14"/>
        <v>100</v>
      </c>
      <c r="X38" s="671"/>
      <c r="Y38" s="340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5"/>
      <c r="Q39" s="1263">
        <f t="shared" si="11"/>
        <v>111</v>
      </c>
      <c r="R39" s="667" t="s">
        <v>14</v>
      </c>
      <c r="S39" s="668">
        <f t="shared" si="12"/>
        <v>100</v>
      </c>
      <c r="T39" s="667" t="s">
        <v>14</v>
      </c>
      <c r="U39" s="668">
        <f t="shared" si="13"/>
        <v>100</v>
      </c>
      <c r="V39" s="667" t="s">
        <v>14</v>
      </c>
      <c r="W39" s="668">
        <f t="shared" si="14"/>
        <v>100</v>
      </c>
      <c r="X39" s="1265"/>
      <c r="Y39" s="340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3">
        <f t="shared" si="11"/>
        <v>111</v>
      </c>
      <c r="R40" s="667" t="s">
        <v>14</v>
      </c>
      <c r="S40" s="668">
        <f t="shared" si="12"/>
        <v>100</v>
      </c>
      <c r="T40" s="667" t="s">
        <v>14</v>
      </c>
      <c r="U40" s="668">
        <f t="shared" si="13"/>
        <v>100</v>
      </c>
      <c r="V40" s="667" t="s">
        <v>14</v>
      </c>
      <c r="W40" s="668">
        <f t="shared" si="14"/>
        <v>100</v>
      </c>
      <c r="X40" s="1265"/>
      <c r="Y40" s="340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7" t="str">
        <f>A41</f>
        <v>成交单价（元/平方米）</v>
      </c>
      <c r="Q41" s="3407"/>
      <c r="R41" s="3395">
        <f>E41</f>
        <v>0</v>
      </c>
      <c r="S41" s="3395"/>
      <c r="T41" s="3395">
        <f>G41</f>
        <v>0</v>
      </c>
      <c r="U41" s="3395"/>
      <c r="V41" s="3395">
        <f>I41</f>
        <v>0</v>
      </c>
      <c r="W41" s="3395"/>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7" t="str">
        <f>A42</f>
        <v>比较价值（元/平方米）</v>
      </c>
      <c r="Q42" s="3407"/>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估价对象为房地产，为所有。根据《国有土地使用证》[]，估价对象（分摊）出让国有建设用地使用权面积为0平方米，建筑面积为1058.25平方米。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估价对象为房地产,属开发建设的，该项目尚在开发建设中。根据《国有土地使用证》[]，估价对象（分摊）出让国有建设用地使用权面积为0平方米，规划建筑面积为1058.25平方米。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38" t="s">
        <v>1775</v>
      </c>
      <c r="Q4" s="3439"/>
      <c r="R4" s="3433" t="s">
        <v>1771</v>
      </c>
      <c r="S4" s="3434"/>
      <c r="T4" s="3433" t="s">
        <v>1772</v>
      </c>
      <c r="U4" s="3434"/>
      <c r="V4" s="3395" t="s">
        <v>1773</v>
      </c>
      <c r="W4" s="3395"/>
      <c r="X4" s="1265"/>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2486"/>
      <c r="M5" s="2487"/>
      <c r="N5" s="2487"/>
      <c r="O5" s="2487"/>
      <c r="P5" s="3440"/>
      <c r="Q5" s="3389"/>
      <c r="R5" s="3370"/>
      <c r="S5" s="3371"/>
      <c r="T5" s="3370"/>
      <c r="U5" s="3371"/>
      <c r="V5" s="3395"/>
      <c r="W5" s="3395"/>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2486"/>
      <c r="M6" s="2487"/>
      <c r="N6" s="2487"/>
      <c r="O6" s="2487"/>
      <c r="P6" s="3441"/>
      <c r="Q6" s="3391"/>
      <c r="R6" s="3370"/>
      <c r="S6" s="3371"/>
      <c r="T6" s="3392"/>
      <c r="U6" s="3393"/>
      <c r="V6" s="3395"/>
      <c r="W6" s="3395"/>
      <c r="X6" s="1265"/>
      <c r="Y6" s="3392"/>
      <c r="Z6" s="3393"/>
      <c r="AA6" s="3365"/>
      <c r="AB6" s="3365"/>
      <c r="AC6" s="3365"/>
    </row>
    <row r="7" spans="1:29" s="102" customFormat="1" ht="15.75" thickBot="1">
      <c r="A7" s="352" t="s">
        <v>1679</v>
      </c>
      <c r="B7" s="353"/>
      <c r="C7" s="354">
        <f>'数据-取费表'!B2</f>
        <v>45757</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6" t="s">
        <v>1680</v>
      </c>
      <c r="Q7" s="3397"/>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7"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7"/>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7"/>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有695、323、425路等公交路线经过，紧邻地铁4号线——人民大学站，交通便捷度较好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1"/>
      <c r="Q15" s="1263"/>
      <c r="R15" s="667"/>
      <c r="S15" s="668"/>
      <c r="T15" s="667"/>
      <c r="U15" s="668"/>
      <c r="V15" s="667"/>
      <c r="W15" s="668"/>
      <c r="X15" s="1265"/>
      <c r="Y15" s="3401"/>
      <c r="Z15" s="1264"/>
      <c r="AA15" s="1264">
        <v>1</v>
      </c>
      <c r="AB15" s="1264">
        <v>1</v>
      </c>
      <c r="AC15" s="1264">
        <v>1</v>
      </c>
    </row>
    <row r="16" spans="1:29" ht="42.75">
      <c r="A16" s="348"/>
      <c r="B16" s="556" t="s">
        <v>1812</v>
      </c>
      <c r="C16" s="1754" t="str">
        <f>IF(B1="工业",估价对象房地状况!G5,估价对象房地状况!C7)</f>
        <v>估价对象所在区域公共配套设施较齐备</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1"/>
      <c r="Q17" s="1263"/>
      <c r="R17" s="667"/>
      <c r="S17" s="668"/>
      <c r="T17" s="667"/>
      <c r="U17" s="668"/>
      <c r="V17" s="667"/>
      <c r="W17" s="668"/>
      <c r="X17" s="1265"/>
      <c r="Y17" s="3401"/>
      <c r="Z17" s="1264"/>
      <c r="AA17" s="1264">
        <v>1</v>
      </c>
      <c r="AB17" s="1264">
        <v>1</v>
      </c>
      <c r="AC17" s="1264">
        <v>1</v>
      </c>
    </row>
    <row r="18" spans="1:29" ht="42.75">
      <c r="A18" s="348"/>
      <c r="B18" s="557" t="s">
        <v>1813</v>
      </c>
      <c r="C18" s="1754" t="str">
        <f>IF(B1="工业",估价对象房地状况!G6,估价对象房地状况!C8)</f>
        <v>估价对象所在区域基础设施水平较好</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1"/>
      <c r="Q19" s="1263"/>
      <c r="R19" s="667"/>
      <c r="S19" s="668"/>
      <c r="T19" s="667"/>
      <c r="U19" s="668"/>
      <c r="V19" s="667"/>
      <c r="W19" s="668"/>
      <c r="X19" s="1265"/>
      <c r="Y19" s="3401"/>
      <c r="Z19" s="1264"/>
      <c r="AA19" s="1264">
        <v>1</v>
      </c>
      <c r="AB19" s="1264">
        <v>1</v>
      </c>
      <c r="AC19" s="1264">
        <v>1</v>
      </c>
    </row>
    <row r="20" spans="1:29" ht="71.25">
      <c r="A20" s="348"/>
      <c r="B20" s="556" t="s">
        <v>1834</v>
      </c>
      <c r="C20" s="1754" t="str">
        <f>IF(B1="工业",估价对象房地状况!G7,估价对象房地状况!C9)</f>
        <v>周边有动物园、北京艺术博物馆、双榆树公园等自然人文环境，质量较好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1"/>
      <c r="Q21" s="1263"/>
      <c r="R21" s="667"/>
      <c r="S21" s="668"/>
      <c r="T21" s="667"/>
      <c r="U21" s="668"/>
      <c r="V21" s="667"/>
      <c r="W21" s="668"/>
      <c r="X21" s="1265"/>
      <c r="Y21" s="340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1"/>
      <c r="Q24" s="1263">
        <f t="shared" ref="Q24:Q36"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5"/>
      <c r="Q27" s="531" t="str">
        <f t="shared" si="11"/>
        <v>项目停车位配比</v>
      </c>
      <c r="R27" s="669" t="s">
        <v>14</v>
      </c>
      <c r="S27" s="670">
        <f t="shared" si="12"/>
        <v>100</v>
      </c>
      <c r="T27" s="669" t="s">
        <v>14</v>
      </c>
      <c r="U27" s="670">
        <f t="shared" si="13"/>
        <v>100</v>
      </c>
      <c r="V27" s="669" t="s">
        <v>14</v>
      </c>
      <c r="W27" s="670">
        <f t="shared" si="14"/>
        <v>100</v>
      </c>
      <c r="X27" s="671"/>
      <c r="Y27" s="340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5"/>
      <c r="Q28" s="1263" t="str">
        <f t="shared" si="11"/>
        <v>公共部分装修</v>
      </c>
      <c r="R28" s="667" t="s">
        <v>14</v>
      </c>
      <c r="S28" s="668">
        <f t="shared" si="12"/>
        <v>100</v>
      </c>
      <c r="T28" s="667" t="s">
        <v>14</v>
      </c>
      <c r="U28" s="668">
        <f t="shared" si="13"/>
        <v>100</v>
      </c>
      <c r="V28" s="667" t="s">
        <v>14</v>
      </c>
      <c r="W28" s="668">
        <f t="shared" si="14"/>
        <v>100</v>
      </c>
      <c r="X28" s="1265"/>
      <c r="Y28" s="340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5"/>
      <c r="Q29" s="1263" t="str">
        <f t="shared" si="11"/>
        <v>成新率</v>
      </c>
      <c r="R29" s="667" t="s">
        <v>14</v>
      </c>
      <c r="S29" s="668" t="e">
        <f t="shared" si="12"/>
        <v>#N/A</v>
      </c>
      <c r="T29" s="667" t="s">
        <v>14</v>
      </c>
      <c r="U29" s="668" t="e">
        <f t="shared" si="13"/>
        <v>#N/A</v>
      </c>
      <c r="V29" s="667" t="s">
        <v>14</v>
      </c>
      <c r="W29" s="668" t="e">
        <f t="shared" si="14"/>
        <v>#N/A</v>
      </c>
      <c r="X29" s="1265"/>
      <c r="Y29" s="340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5"/>
      <c r="Q30" s="1263" t="str">
        <f t="shared" si="11"/>
        <v>物业等级</v>
      </c>
      <c r="R30" s="667" t="s">
        <v>14</v>
      </c>
      <c r="S30" s="668">
        <f t="shared" si="12"/>
        <v>100</v>
      </c>
      <c r="T30" s="667" t="s">
        <v>14</v>
      </c>
      <c r="U30" s="668">
        <f t="shared" si="13"/>
        <v>100</v>
      </c>
      <c r="V30" s="667" t="s">
        <v>14</v>
      </c>
      <c r="W30" s="668">
        <f t="shared" si="14"/>
        <v>100</v>
      </c>
      <c r="X30" s="1265"/>
      <c r="Y30" s="340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5"/>
      <c r="Q31" s="530" t="str">
        <f t="shared" si="11"/>
        <v>停车位面积</v>
      </c>
      <c r="R31" s="664" t="s">
        <v>14</v>
      </c>
      <c r="S31" s="665" t="e">
        <f t="shared" si="12"/>
        <v>#N/A</v>
      </c>
      <c r="T31" s="664" t="s">
        <v>14</v>
      </c>
      <c r="U31" s="665" t="e">
        <f t="shared" si="13"/>
        <v>#N/A</v>
      </c>
      <c r="V31" s="664" t="s">
        <v>14</v>
      </c>
      <c r="W31" s="665" t="e">
        <f t="shared" si="14"/>
        <v>#N/A</v>
      </c>
      <c r="X31" s="666"/>
      <c r="Y31" s="340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5" t="s">
        <v>1696</v>
      </c>
      <c r="Q32" s="1263" t="str">
        <f t="shared" si="11"/>
        <v>车位类型</v>
      </c>
      <c r="R32" s="667" t="s">
        <v>14</v>
      </c>
      <c r="S32" s="668">
        <f t="shared" si="12"/>
        <v>100</v>
      </c>
      <c r="T32" s="667" t="s">
        <v>14</v>
      </c>
      <c r="U32" s="668">
        <f t="shared" si="13"/>
        <v>100</v>
      </c>
      <c r="V32" s="667" t="s">
        <v>14</v>
      </c>
      <c r="W32" s="668">
        <f t="shared" si="14"/>
        <v>100</v>
      </c>
      <c r="X32" s="1265"/>
      <c r="Y32" s="340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5"/>
      <c r="Q33" s="1263" t="str">
        <f t="shared" si="11"/>
        <v>是否直接入户</v>
      </c>
      <c r="R33" s="667" t="s">
        <v>14</v>
      </c>
      <c r="S33" s="668">
        <f t="shared" si="12"/>
        <v>100</v>
      </c>
      <c r="T33" s="667" t="s">
        <v>14</v>
      </c>
      <c r="U33" s="668">
        <f t="shared" si="13"/>
        <v>100</v>
      </c>
      <c r="V33" s="667" t="s">
        <v>14</v>
      </c>
      <c r="W33" s="668">
        <f t="shared" si="14"/>
        <v>100</v>
      </c>
      <c r="X33" s="1265"/>
      <c r="Y33" s="340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5"/>
      <c r="Q35" s="531">
        <f t="shared" si="11"/>
        <v>111</v>
      </c>
      <c r="R35" s="669" t="s">
        <v>14</v>
      </c>
      <c r="S35" s="670">
        <f t="shared" si="12"/>
        <v>100</v>
      </c>
      <c r="T35" s="669" t="s">
        <v>14</v>
      </c>
      <c r="U35" s="670">
        <f t="shared" si="13"/>
        <v>100</v>
      </c>
      <c r="V35" s="669" t="s">
        <v>14</v>
      </c>
      <c r="W35" s="670">
        <f t="shared" si="14"/>
        <v>100</v>
      </c>
      <c r="X35" s="671"/>
      <c r="Y35" s="340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5"/>
      <c r="Q36" s="1263">
        <f t="shared" si="11"/>
        <v>111</v>
      </c>
      <c r="R36" s="667" t="s">
        <v>14</v>
      </c>
      <c r="S36" s="668">
        <f t="shared" si="12"/>
        <v>100</v>
      </c>
      <c r="T36" s="667" t="s">
        <v>14</v>
      </c>
      <c r="U36" s="668">
        <f t="shared" si="13"/>
        <v>100</v>
      </c>
      <c r="V36" s="667" t="s">
        <v>14</v>
      </c>
      <c r="W36" s="668">
        <f t="shared" si="14"/>
        <v>100</v>
      </c>
      <c r="X36" s="1265"/>
      <c r="Y36" s="3405"/>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4"/>
      <c r="M37" s="2487"/>
      <c r="N37" s="2487"/>
      <c r="O37" s="2487"/>
      <c r="P37" s="3407" t="str">
        <f>A37</f>
        <v>成交单价</v>
      </c>
      <c r="Q37" s="3407"/>
      <c r="R37" s="3395">
        <f>E37</f>
        <v>0</v>
      </c>
      <c r="S37" s="3395"/>
      <c r="T37" s="3395">
        <f>G37</f>
        <v>0</v>
      </c>
      <c r="U37" s="3395"/>
      <c r="V37" s="3395">
        <f>I37</f>
        <v>0</v>
      </c>
      <c r="W37" s="3395"/>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407" t="str">
        <f>A38</f>
        <v>比较价值（元/平方米）</v>
      </c>
      <c r="Q38" s="3407"/>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2" t="str">
        <f>A39</f>
        <v>估价对象XX用房的比较价值（楼面单价，元/平方米）</v>
      </c>
      <c r="Q39" s="3443"/>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38" t="s">
        <v>1775</v>
      </c>
      <c r="Q4" s="3439"/>
      <c r="R4" s="3433" t="s">
        <v>1771</v>
      </c>
      <c r="S4" s="3434"/>
      <c r="T4" s="3433" t="s">
        <v>1772</v>
      </c>
      <c r="U4" s="3434"/>
      <c r="V4" s="3395" t="s">
        <v>1773</v>
      </c>
      <c r="W4" s="3395"/>
      <c r="X4" s="1265"/>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2486"/>
      <c r="M5" s="2487"/>
      <c r="N5" s="2487"/>
      <c r="O5" s="2487"/>
      <c r="P5" s="3440"/>
      <c r="Q5" s="3389"/>
      <c r="R5" s="3370"/>
      <c r="S5" s="3371"/>
      <c r="T5" s="3370"/>
      <c r="U5" s="3371"/>
      <c r="V5" s="3395"/>
      <c r="W5" s="3395"/>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2486"/>
      <c r="M6" s="2487"/>
      <c r="N6" s="2487"/>
      <c r="O6" s="2487"/>
      <c r="P6" s="3441"/>
      <c r="Q6" s="3391"/>
      <c r="R6" s="3370"/>
      <c r="S6" s="3371"/>
      <c r="T6" s="3392"/>
      <c r="U6" s="3393"/>
      <c r="V6" s="3395"/>
      <c r="W6" s="3395"/>
      <c r="X6" s="1265"/>
      <c r="Y6" s="3392"/>
      <c r="Z6" s="3393"/>
      <c r="AA6" s="3365"/>
      <c r="AB6" s="3365"/>
      <c r="AC6" s="3365"/>
    </row>
    <row r="7" spans="1:29" s="102" customFormat="1" ht="15.75" thickBot="1">
      <c r="A7" s="352" t="s">
        <v>1679</v>
      </c>
      <c r="B7" s="353"/>
      <c r="C7" s="354">
        <f>'数据-取费表'!B2</f>
        <v>45757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66" t="s">
        <v>1680</v>
      </c>
      <c r="Q7" s="3397"/>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7"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7"/>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7"/>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7"/>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有695、323、425路等公交路线经过，紧邻地铁4号线——人民大学站，交通便捷度较好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1"/>
      <c r="Q15" s="1263"/>
      <c r="R15" s="667"/>
      <c r="S15" s="668"/>
      <c r="T15" s="667"/>
      <c r="U15" s="668"/>
      <c r="V15" s="667"/>
      <c r="W15" s="668"/>
      <c r="X15" s="1265"/>
      <c r="Y15" s="3401"/>
      <c r="Z15" s="1264"/>
      <c r="AA15" s="1264">
        <v>1</v>
      </c>
      <c r="AB15" s="1264">
        <v>1</v>
      </c>
      <c r="AC15" s="1264">
        <v>1</v>
      </c>
    </row>
    <row r="16" spans="1:29" ht="42.75">
      <c r="A16" s="367"/>
      <c r="B16" s="390" t="s">
        <v>1812</v>
      </c>
      <c r="C16" s="1754" t="str">
        <f>IF(B1="工业",估价对象房地状况!G5,估价对象房地状况!C7)</f>
        <v>估价对象所在区域公共配套设施较齐备</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1"/>
      <c r="Q17" s="1263"/>
      <c r="R17" s="667"/>
      <c r="S17" s="668"/>
      <c r="T17" s="667"/>
      <c r="U17" s="668"/>
      <c r="V17" s="667"/>
      <c r="W17" s="668"/>
      <c r="X17" s="1265"/>
      <c r="Y17" s="3401"/>
      <c r="Z17" s="1264"/>
      <c r="AA17" s="1264">
        <v>1</v>
      </c>
      <c r="AB17" s="1264">
        <v>1</v>
      </c>
      <c r="AC17" s="1264">
        <v>1</v>
      </c>
    </row>
    <row r="18" spans="1:29" ht="42.75">
      <c r="A18" s="367"/>
      <c r="B18" s="586" t="s">
        <v>1813</v>
      </c>
      <c r="C18" s="1754" t="str">
        <f>IF(B1="工业",估价对象房地状况!G6,估价对象房地状况!C8)</f>
        <v>估价对象所在区域基础设施水平较好</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1"/>
      <c r="Q19" s="1263"/>
      <c r="R19" s="667"/>
      <c r="S19" s="668"/>
      <c r="T19" s="667"/>
      <c r="U19" s="668"/>
      <c r="V19" s="667"/>
      <c r="W19" s="668"/>
      <c r="X19" s="1265"/>
      <c r="Y19" s="3401"/>
      <c r="Z19" s="1264"/>
      <c r="AA19" s="1264">
        <v>1</v>
      </c>
      <c r="AB19" s="1264">
        <v>1</v>
      </c>
      <c r="AC19" s="1264">
        <v>1</v>
      </c>
    </row>
    <row r="20" spans="1:29" ht="71.25">
      <c r="A20" s="367"/>
      <c r="B20" s="390" t="s">
        <v>1834</v>
      </c>
      <c r="C20" s="1754" t="str">
        <f>IF(B1="工业",估价对象房地状况!G7,估价对象房地状况!C9)</f>
        <v>周边有动物园、北京艺术博物馆、双榆树公园等自然人文环境，质量较好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1"/>
      <c r="Q21" s="1263"/>
      <c r="R21" s="667"/>
      <c r="S21" s="668"/>
      <c r="T21" s="667"/>
      <c r="U21" s="668"/>
      <c r="V21" s="667"/>
      <c r="W21" s="668"/>
      <c r="X21" s="1265"/>
      <c r="Y21" s="340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1"/>
      <c r="Q24" s="1263">
        <f t="shared" ref="Q24:Q34"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5"/>
      <c r="Q27" s="531" t="str">
        <f t="shared" si="11"/>
        <v>成新率</v>
      </c>
      <c r="R27" s="669" t="s">
        <v>14</v>
      </c>
      <c r="S27" s="670" t="e">
        <f t="shared" si="12"/>
        <v>#N/A</v>
      </c>
      <c r="T27" s="669" t="s">
        <v>14</v>
      </c>
      <c r="U27" s="670" t="e">
        <f t="shared" si="13"/>
        <v>#N/A</v>
      </c>
      <c r="V27" s="669" t="s">
        <v>14</v>
      </c>
      <c r="W27" s="670" t="e">
        <f t="shared" si="14"/>
        <v>#N/A</v>
      </c>
      <c r="X27" s="671"/>
      <c r="Y27" s="340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5"/>
      <c r="Q28" s="1263" t="str">
        <f t="shared" si="11"/>
        <v>物业等级</v>
      </c>
      <c r="R28" s="667" t="s">
        <v>14</v>
      </c>
      <c r="S28" s="668">
        <f t="shared" si="12"/>
        <v>100</v>
      </c>
      <c r="T28" s="667" t="s">
        <v>14</v>
      </c>
      <c r="U28" s="668">
        <f t="shared" si="13"/>
        <v>100</v>
      </c>
      <c r="V28" s="667" t="s">
        <v>14</v>
      </c>
      <c r="W28" s="668">
        <f t="shared" si="14"/>
        <v>100</v>
      </c>
      <c r="X28" s="1265"/>
      <c r="Y28" s="340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5"/>
      <c r="Q29" s="1263" t="str">
        <f t="shared" si="11"/>
        <v>有无电梯</v>
      </c>
      <c r="R29" s="667" t="s">
        <v>14</v>
      </c>
      <c r="S29" s="668">
        <f t="shared" si="12"/>
        <v>100</v>
      </c>
      <c r="T29" s="667" t="s">
        <v>14</v>
      </c>
      <c r="U29" s="668">
        <f t="shared" si="13"/>
        <v>100</v>
      </c>
      <c r="V29" s="667" t="s">
        <v>14</v>
      </c>
      <c r="W29" s="668">
        <f t="shared" si="14"/>
        <v>100</v>
      </c>
      <c r="X29" s="1265"/>
      <c r="Y29" s="340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5"/>
      <c r="Q30" s="1263" t="str">
        <f t="shared" si="11"/>
        <v>建筑面积</v>
      </c>
      <c r="R30" s="667" t="s">
        <v>14</v>
      </c>
      <c r="S30" s="668" t="e">
        <f t="shared" si="12"/>
        <v>#N/A</v>
      </c>
      <c r="T30" s="667" t="s">
        <v>14</v>
      </c>
      <c r="U30" s="668" t="e">
        <f t="shared" si="13"/>
        <v>#N/A</v>
      </c>
      <c r="V30" s="667" t="s">
        <v>14</v>
      </c>
      <c r="W30" s="668" t="e">
        <f t="shared" si="14"/>
        <v>#N/A</v>
      </c>
      <c r="X30" s="1265"/>
      <c r="Y30" s="340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5"/>
      <c r="Q31" s="530" t="str">
        <f t="shared" si="11"/>
        <v>是否封闭</v>
      </c>
      <c r="R31" s="664" t="s">
        <v>14</v>
      </c>
      <c r="S31" s="665">
        <f t="shared" si="12"/>
        <v>100</v>
      </c>
      <c r="T31" s="664" t="s">
        <v>14</v>
      </c>
      <c r="U31" s="665">
        <f t="shared" si="13"/>
        <v>100</v>
      </c>
      <c r="V31" s="664" t="s">
        <v>14</v>
      </c>
      <c r="W31" s="665">
        <f t="shared" si="14"/>
        <v>100</v>
      </c>
      <c r="X31" s="666"/>
      <c r="Y31" s="34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5" t="s">
        <v>1696</v>
      </c>
      <c r="Q32" s="1263">
        <f t="shared" si="11"/>
        <v>111</v>
      </c>
      <c r="R32" s="667" t="s">
        <v>14</v>
      </c>
      <c r="S32" s="668">
        <f t="shared" si="12"/>
        <v>100</v>
      </c>
      <c r="T32" s="667" t="s">
        <v>14</v>
      </c>
      <c r="U32" s="668">
        <f t="shared" si="13"/>
        <v>100</v>
      </c>
      <c r="V32" s="667" t="s">
        <v>14</v>
      </c>
      <c r="W32" s="668">
        <f t="shared" si="14"/>
        <v>100</v>
      </c>
      <c r="X32" s="1265"/>
      <c r="Y32" s="340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5"/>
      <c r="Q33" s="1263">
        <f t="shared" si="11"/>
        <v>111</v>
      </c>
      <c r="R33" s="667" t="s">
        <v>14</v>
      </c>
      <c r="S33" s="668">
        <f t="shared" si="12"/>
        <v>100</v>
      </c>
      <c r="T33" s="667" t="s">
        <v>14</v>
      </c>
      <c r="U33" s="668">
        <f t="shared" si="13"/>
        <v>100</v>
      </c>
      <c r="V33" s="667" t="s">
        <v>14</v>
      </c>
      <c r="W33" s="668">
        <f t="shared" si="14"/>
        <v>100</v>
      </c>
      <c r="X33" s="1265"/>
      <c r="Y33" s="340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07" t="str">
        <f>A35</f>
        <v>成交单价（元/平方米）</v>
      </c>
      <c r="Q35" s="3407"/>
      <c r="R35" s="3395">
        <f>E35</f>
        <v>0</v>
      </c>
      <c r="S35" s="3395"/>
      <c r="T35" s="3395">
        <f>G35</f>
        <v>0</v>
      </c>
      <c r="U35" s="3395"/>
      <c r="V35" s="3395">
        <f>I35</f>
        <v>0</v>
      </c>
      <c r="W35" s="3395"/>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407" t="str">
        <f>A36</f>
        <v>比较价值（元/平方米）</v>
      </c>
      <c r="Q36" s="3407"/>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2" t="str">
        <f>A37</f>
        <v>估价对象XX用房的比较价值（楼面单价，元/平方米）</v>
      </c>
      <c r="Q37" s="3443"/>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38" t="s">
        <v>1775</v>
      </c>
      <c r="Q4" s="3439"/>
      <c r="R4" s="3433" t="s">
        <v>1771</v>
      </c>
      <c r="S4" s="3434"/>
      <c r="T4" s="3433" t="s">
        <v>1772</v>
      </c>
      <c r="U4" s="3434"/>
      <c r="V4" s="3395" t="s">
        <v>1773</v>
      </c>
      <c r="W4" s="3395"/>
      <c r="X4" s="1265"/>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2486"/>
      <c r="M5" s="2487"/>
      <c r="N5" s="2487"/>
      <c r="O5" s="2487"/>
      <c r="P5" s="3440"/>
      <c r="Q5" s="3389"/>
      <c r="R5" s="3370"/>
      <c r="S5" s="3371"/>
      <c r="T5" s="3370"/>
      <c r="U5" s="3371"/>
      <c r="V5" s="3395"/>
      <c r="W5" s="3395"/>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2486"/>
      <c r="M6" s="2487"/>
      <c r="N6" s="2487"/>
      <c r="O6" s="2487"/>
      <c r="P6" s="3441"/>
      <c r="Q6" s="3391"/>
      <c r="R6" s="3370"/>
      <c r="S6" s="3371"/>
      <c r="T6" s="3392"/>
      <c r="U6" s="3393"/>
      <c r="V6" s="3395"/>
      <c r="W6" s="3395"/>
      <c r="X6" s="1265"/>
      <c r="Y6" s="3392"/>
      <c r="Z6" s="3393"/>
      <c r="AA6" s="3365"/>
      <c r="AB6" s="3365"/>
      <c r="AC6" s="3365"/>
    </row>
    <row r="7" spans="1:29" s="102" customFormat="1" ht="15.75" thickBot="1">
      <c r="A7" s="352" t="s">
        <v>1679</v>
      </c>
      <c r="B7" s="353"/>
      <c r="C7" s="354">
        <f>'数据-取费表'!B2</f>
        <v>45757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66" t="s">
        <v>1680</v>
      </c>
      <c r="Q7" s="3397"/>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07"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156</v>
      </c>
      <c r="G10" s="402"/>
      <c r="H10" s="119">
        <f>ROUND(100/'数据-取费表'!G16,0)</f>
        <v>156</v>
      </c>
      <c r="I10" s="402"/>
      <c r="J10" s="119">
        <f>ROUND(100/'数据-取费表'!G16,0)</f>
        <v>156</v>
      </c>
      <c r="K10" s="592"/>
      <c r="L10" s="2489"/>
      <c r="M10" s="2490"/>
      <c r="N10" s="2490"/>
      <c r="O10" s="2541"/>
      <c r="P10" s="3407"/>
      <c r="Q10" s="530" t="str">
        <f t="shared" si="6"/>
        <v>土地使用年限（年）</v>
      </c>
      <c r="R10" s="664" t="s">
        <v>14</v>
      </c>
      <c r="S10" s="665">
        <f t="shared" si="0"/>
        <v>156</v>
      </c>
      <c r="T10" s="664" t="s">
        <v>14</v>
      </c>
      <c r="U10" s="665">
        <f t="shared" si="1"/>
        <v>156</v>
      </c>
      <c r="V10" s="664" t="s">
        <v>14</v>
      </c>
      <c r="W10" s="665">
        <f t="shared" si="2"/>
        <v>156</v>
      </c>
      <c r="X10" s="666"/>
      <c r="Y10" s="3331"/>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7"/>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0" t="s">
        <v>1691</v>
      </c>
      <c r="Q15" s="1263" t="str">
        <f t="shared" si="6"/>
        <v>居住社区成熟度</v>
      </c>
      <c r="R15" s="667" t="s">
        <v>14</v>
      </c>
      <c r="S15" s="668">
        <f t="shared" si="0"/>
        <v>100</v>
      </c>
      <c r="T15" s="667" t="s">
        <v>14</v>
      </c>
      <c r="U15" s="668">
        <f t="shared" si="1"/>
        <v>100</v>
      </c>
      <c r="V15" s="667" t="s">
        <v>14</v>
      </c>
      <c r="W15" s="668">
        <f t="shared" si="2"/>
        <v>100</v>
      </c>
      <c r="X15" s="1265"/>
      <c r="Y15" s="340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1"/>
      <c r="Q16" s="1263"/>
      <c r="R16" s="667"/>
      <c r="S16" s="668"/>
      <c r="T16" s="667"/>
      <c r="U16" s="668"/>
      <c r="V16" s="667"/>
      <c r="W16" s="668"/>
      <c r="X16" s="1265"/>
      <c r="Y16" s="3401"/>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1"/>
      <c r="Q17" s="1263" t="str">
        <f>B17</f>
        <v>商业繁华度</v>
      </c>
      <c r="R17" s="667" t="s">
        <v>14</v>
      </c>
      <c r="S17" s="668">
        <f>F17</f>
        <v>100</v>
      </c>
      <c r="T17" s="667" t="s">
        <v>14</v>
      </c>
      <c r="U17" s="668">
        <f>H17</f>
        <v>100</v>
      </c>
      <c r="V17" s="667" t="s">
        <v>14</v>
      </c>
      <c r="W17" s="668">
        <f>J17</f>
        <v>100</v>
      </c>
      <c r="X17" s="1265"/>
      <c r="Y17" s="340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1"/>
      <c r="Q18" s="1263"/>
      <c r="R18" s="667"/>
      <c r="S18" s="668"/>
      <c r="T18" s="667"/>
      <c r="U18" s="668"/>
      <c r="V18" s="667"/>
      <c r="W18" s="668"/>
      <c r="X18" s="1265"/>
      <c r="Y18" s="3401"/>
      <c r="Z18" s="1264"/>
      <c r="AA18" s="1264">
        <v>1</v>
      </c>
      <c r="AB18" s="1264">
        <v>1</v>
      </c>
      <c r="AC18" s="1264">
        <v>1</v>
      </c>
    </row>
    <row r="19" spans="1:29" ht="57">
      <c r="A19" s="367"/>
      <c r="B19" s="390" t="s">
        <v>1811</v>
      </c>
      <c r="C19" s="1806" t="str">
        <f>估价对象房地状况!C17</f>
        <v>周边有铸诚大厦、天作国际等较多办公项目，办公集聚程度较好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1"/>
      <c r="Q19" s="1263" t="str">
        <f>B19</f>
        <v>办公集聚程度</v>
      </c>
      <c r="R19" s="667" t="s">
        <v>14</v>
      </c>
      <c r="S19" s="668">
        <f>F19</f>
        <v>100</v>
      </c>
      <c r="T19" s="667" t="s">
        <v>14</v>
      </c>
      <c r="U19" s="668">
        <f>H19</f>
        <v>100</v>
      </c>
      <c r="V19" s="667" t="s">
        <v>14</v>
      </c>
      <c r="W19" s="668">
        <f>J19</f>
        <v>100</v>
      </c>
      <c r="X19" s="1265"/>
      <c r="Y19" s="340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1"/>
      <c r="Q20" s="1263"/>
      <c r="R20" s="667"/>
      <c r="S20" s="668"/>
      <c r="T20" s="667"/>
      <c r="U20" s="668"/>
      <c r="V20" s="667"/>
      <c r="W20" s="668"/>
      <c r="X20" s="1265"/>
      <c r="Y20" s="3401"/>
      <c r="Z20" s="1264"/>
      <c r="AA20" s="1264">
        <v>1</v>
      </c>
      <c r="AB20" s="1264">
        <v>1</v>
      </c>
      <c r="AC20" s="1264">
        <v>1</v>
      </c>
    </row>
    <row r="21" spans="1:29" ht="85.5">
      <c r="A21" s="367"/>
      <c r="B21" s="390" t="s">
        <v>1833</v>
      </c>
      <c r="C21" s="1754" t="str">
        <f>估价对象房地状况!C18</f>
        <v>有695、323、425路等公交路线经过，紧邻地铁4号线——人民大学站，交通便捷度较好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1"/>
      <c r="Q21" s="1263" t="str">
        <f>B21</f>
        <v>交通便捷度</v>
      </c>
      <c r="R21" s="667" t="s">
        <v>14</v>
      </c>
      <c r="S21" s="668">
        <f>F21</f>
        <v>100</v>
      </c>
      <c r="T21" s="667" t="s">
        <v>14</v>
      </c>
      <c r="U21" s="668">
        <f>H21</f>
        <v>100</v>
      </c>
      <c r="V21" s="667" t="s">
        <v>14</v>
      </c>
      <c r="W21" s="668">
        <f>J21</f>
        <v>100</v>
      </c>
      <c r="X21" s="1265"/>
      <c r="Y21" s="340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1"/>
      <c r="Q22" s="1263"/>
      <c r="R22" s="667"/>
      <c r="S22" s="668"/>
      <c r="T22" s="667"/>
      <c r="U22" s="668"/>
      <c r="V22" s="667"/>
      <c r="W22" s="668"/>
      <c r="X22" s="1265"/>
      <c r="Y22" s="340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1"/>
      <c r="Q23" s="1263" t="str">
        <f t="shared" ref="Q23:Q37" si="8">B23</f>
        <v>区域土地利用方向</v>
      </c>
      <c r="R23" s="667" t="s">
        <v>14</v>
      </c>
      <c r="S23" s="668">
        <f>F23</f>
        <v>100</v>
      </c>
      <c r="T23" s="667" t="s">
        <v>14</v>
      </c>
      <c r="U23" s="668">
        <f>H23</f>
        <v>100</v>
      </c>
      <c r="V23" s="667" t="s">
        <v>14</v>
      </c>
      <c r="W23" s="668">
        <f>J23</f>
        <v>100</v>
      </c>
      <c r="X23" s="1265"/>
      <c r="Y23" s="340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1"/>
      <c r="Q24" s="1263"/>
      <c r="R24" s="667"/>
      <c r="S24" s="668"/>
      <c r="T24" s="667"/>
      <c r="U24" s="668"/>
      <c r="V24" s="667"/>
      <c r="W24" s="668"/>
      <c r="X24" s="1265"/>
      <c r="Y24" s="3401"/>
      <c r="Z24" s="1264"/>
      <c r="AA24" s="1264"/>
      <c r="AB24" s="1264"/>
      <c r="AC24" s="1264"/>
    </row>
    <row r="25" spans="1:29" ht="71.25">
      <c r="A25" s="348"/>
      <c r="B25" s="586" t="s">
        <v>1872</v>
      </c>
      <c r="C25" s="1806" t="str">
        <f>估价对象房地状况!C20</f>
        <v>周边有动物园、北京艺术博物馆、双榆树公园等自然人文环境，质量较好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1"/>
      <c r="Q25" s="1263" t="str">
        <f t="shared" si="8"/>
        <v>自然及人文环境状况</v>
      </c>
      <c r="R25" s="667" t="s">
        <v>14</v>
      </c>
      <c r="S25" s="668">
        <f>F25</f>
        <v>100</v>
      </c>
      <c r="T25" s="667" t="s">
        <v>14</v>
      </c>
      <c r="U25" s="668">
        <f>H25</f>
        <v>100</v>
      </c>
      <c r="V25" s="667" t="s">
        <v>14</v>
      </c>
      <c r="W25" s="668">
        <f>J25</f>
        <v>100</v>
      </c>
      <c r="X25" s="1265"/>
      <c r="Y25" s="340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1"/>
      <c r="Q26" s="1263"/>
      <c r="R26" s="667"/>
      <c r="S26" s="668"/>
      <c r="T26" s="667"/>
      <c r="U26" s="668"/>
      <c r="V26" s="667"/>
      <c r="W26" s="668"/>
      <c r="X26" s="1265"/>
      <c r="Y26" s="3401"/>
      <c r="Z26" s="1264"/>
      <c r="AA26" s="1264">
        <v>1</v>
      </c>
      <c r="AB26" s="1264">
        <v>1</v>
      </c>
      <c r="AC26" s="1264">
        <v>1</v>
      </c>
    </row>
    <row r="27" spans="1:29" s="102" customFormat="1" ht="42.75">
      <c r="A27" s="443"/>
      <c r="B27" s="586" t="s">
        <v>1778</v>
      </c>
      <c r="C27" s="1754" t="str">
        <f>估价对象房地状况!C21</f>
        <v>估价对象所在区域公共配套设施较齐备</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1"/>
      <c r="Q27" s="530" t="str">
        <f t="shared" si="8"/>
        <v>公共配套设施</v>
      </c>
      <c r="R27" s="664" t="s">
        <v>14</v>
      </c>
      <c r="S27" s="665">
        <f>F27</f>
        <v>100</v>
      </c>
      <c r="T27" s="664" t="s">
        <v>14</v>
      </c>
      <c r="U27" s="665">
        <f>H27</f>
        <v>100</v>
      </c>
      <c r="V27" s="664" t="s">
        <v>14</v>
      </c>
      <c r="W27" s="665">
        <f>J27</f>
        <v>100</v>
      </c>
      <c r="X27" s="666"/>
      <c r="Y27" s="340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01"/>
      <c r="Q28" s="530"/>
      <c r="R28" s="664"/>
      <c r="S28" s="665"/>
      <c r="T28" s="664"/>
      <c r="U28" s="665"/>
      <c r="V28" s="664"/>
      <c r="W28" s="665"/>
      <c r="X28" s="666"/>
      <c r="Y28" s="3401"/>
      <c r="Z28" s="50"/>
      <c r="AA28" s="1264">
        <v>1</v>
      </c>
      <c r="AB28" s="1264">
        <v>1</v>
      </c>
      <c r="AC28" s="1264">
        <v>1</v>
      </c>
    </row>
    <row r="29" spans="1:29" s="102" customFormat="1" ht="42.75">
      <c r="A29" s="443"/>
      <c r="B29" s="586" t="s">
        <v>1779</v>
      </c>
      <c r="C29" s="1754" t="str">
        <f>估价对象房地状况!C22</f>
        <v>估价对象所在区域基础设施水平较好</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1"/>
      <c r="Q29" s="530" t="str">
        <f t="shared" ref="Q29" si="9">B29</f>
        <v>基础设施水平</v>
      </c>
      <c r="R29" s="664" t="s">
        <v>14</v>
      </c>
      <c r="S29" s="665">
        <f>F29</f>
        <v>100</v>
      </c>
      <c r="T29" s="664" t="s">
        <v>14</v>
      </c>
      <c r="U29" s="665">
        <f>H29</f>
        <v>100</v>
      </c>
      <c r="V29" s="664" t="s">
        <v>14</v>
      </c>
      <c r="W29" s="665">
        <f>J29</f>
        <v>100</v>
      </c>
      <c r="X29" s="666"/>
      <c r="Y29" s="340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01"/>
      <c r="Q30" s="530"/>
      <c r="R30" s="664"/>
      <c r="S30" s="665"/>
      <c r="T30" s="664"/>
      <c r="U30" s="665"/>
      <c r="V30" s="664"/>
      <c r="W30" s="665"/>
      <c r="X30" s="666"/>
      <c r="Y30" s="340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1"/>
      <c r="Q32" s="1263" t="str">
        <f t="shared" si="8"/>
        <v>毗邻道路的类型与等级</v>
      </c>
      <c r="R32" s="667" t="s">
        <v>14</v>
      </c>
      <c r="S32" s="668">
        <f t="shared" si="10"/>
        <v>100</v>
      </c>
      <c r="T32" s="667" t="s">
        <v>14</v>
      </c>
      <c r="U32" s="668">
        <f t="shared" si="11"/>
        <v>100</v>
      </c>
      <c r="V32" s="667" t="s">
        <v>14</v>
      </c>
      <c r="W32" s="668">
        <f t="shared" si="12"/>
        <v>100</v>
      </c>
      <c r="X32" s="1265"/>
      <c r="Y32" s="340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1"/>
      <c r="Q33" s="1263"/>
      <c r="R33" s="667"/>
      <c r="S33" s="668"/>
      <c r="T33" s="667"/>
      <c r="U33" s="668"/>
      <c r="V33" s="667"/>
      <c r="W33" s="668"/>
      <c r="X33" s="1265"/>
      <c r="Y33" s="340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1"/>
      <c r="Q34" s="1263" t="str">
        <f t="shared" si="8"/>
        <v>土地级别</v>
      </c>
      <c r="R34" s="667" t="s">
        <v>14</v>
      </c>
      <c r="S34" s="668">
        <f t="shared" si="10"/>
        <v>100</v>
      </c>
      <c r="T34" s="667" t="s">
        <v>14</v>
      </c>
      <c r="U34" s="668">
        <f t="shared" si="11"/>
        <v>100</v>
      </c>
      <c r="V34" s="667" t="s">
        <v>14</v>
      </c>
      <c r="W34" s="668">
        <f t="shared" si="12"/>
        <v>100</v>
      </c>
      <c r="X34" s="1265"/>
      <c r="Y34" s="340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1"/>
      <c r="Q35" s="1263">
        <f t="shared" si="8"/>
        <v>111</v>
      </c>
      <c r="R35" s="667" t="s">
        <v>14</v>
      </c>
      <c r="S35" s="668">
        <f t="shared" si="10"/>
        <v>100</v>
      </c>
      <c r="T35" s="667" t="s">
        <v>14</v>
      </c>
      <c r="U35" s="668">
        <f t="shared" si="11"/>
        <v>100</v>
      </c>
      <c r="V35" s="667" t="s">
        <v>14</v>
      </c>
      <c r="W35" s="668">
        <f t="shared" si="12"/>
        <v>100</v>
      </c>
      <c r="X35" s="1265"/>
      <c r="Y35" s="340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5" t="s">
        <v>1696</v>
      </c>
      <c r="Q36" s="1263">
        <f t="shared" si="8"/>
        <v>111</v>
      </c>
      <c r="R36" s="667" t="s">
        <v>14</v>
      </c>
      <c r="S36" s="668">
        <f t="shared" si="10"/>
        <v>100</v>
      </c>
      <c r="T36" s="667" t="s">
        <v>14</v>
      </c>
      <c r="U36" s="668">
        <f t="shared" si="11"/>
        <v>100</v>
      </c>
      <c r="V36" s="667" t="s">
        <v>14</v>
      </c>
      <c r="W36" s="668">
        <f t="shared" si="12"/>
        <v>100</v>
      </c>
      <c r="X36" s="1265"/>
      <c r="Y36" s="340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5"/>
      <c r="Q37" s="1263">
        <f t="shared" si="8"/>
        <v>111</v>
      </c>
      <c r="R37" s="669" t="s">
        <v>14</v>
      </c>
      <c r="S37" s="670">
        <f t="shared" si="10"/>
        <v>100</v>
      </c>
      <c r="T37" s="669" t="s">
        <v>14</v>
      </c>
      <c r="U37" s="670">
        <f t="shared" si="11"/>
        <v>100</v>
      </c>
      <c r="V37" s="669" t="s">
        <v>14</v>
      </c>
      <c r="W37" s="670">
        <f t="shared" si="12"/>
        <v>100</v>
      </c>
      <c r="X37" s="671"/>
      <c r="Y37" s="340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5"/>
      <c r="Q38" s="1263" t="str">
        <f>B38</f>
        <v>宗地面积</v>
      </c>
      <c r="R38" s="667" t="s">
        <v>14</v>
      </c>
      <c r="S38" s="668" t="e">
        <f t="shared" si="10"/>
        <v>#N/A</v>
      </c>
      <c r="T38" s="667" t="s">
        <v>14</v>
      </c>
      <c r="U38" s="668" t="e">
        <f t="shared" si="11"/>
        <v>#N/A</v>
      </c>
      <c r="V38" s="667" t="s">
        <v>14</v>
      </c>
      <c r="W38" s="668" t="e">
        <f t="shared" si="12"/>
        <v>#N/A</v>
      </c>
      <c r="X38" s="1265"/>
      <c r="Y38" s="340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5"/>
      <c r="Q39" s="1263" t="str">
        <f t="shared" ref="Q39:Q45" si="14">B39</f>
        <v>宗地形状</v>
      </c>
      <c r="R39" s="667" t="s">
        <v>14</v>
      </c>
      <c r="S39" s="668">
        <f t="shared" si="10"/>
        <v>100</v>
      </c>
      <c r="T39" s="667" t="s">
        <v>14</v>
      </c>
      <c r="U39" s="668">
        <f t="shared" si="11"/>
        <v>100</v>
      </c>
      <c r="V39" s="667" t="s">
        <v>14</v>
      </c>
      <c r="W39" s="668">
        <f t="shared" si="12"/>
        <v>100</v>
      </c>
      <c r="X39" s="1265"/>
      <c r="Y39" s="340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5"/>
      <c r="Q40" s="1263" t="str">
        <f t="shared" si="14"/>
        <v>临街宽度及深度</v>
      </c>
      <c r="R40" s="667" t="s">
        <v>14</v>
      </c>
      <c r="S40" s="668">
        <f t="shared" si="10"/>
        <v>100</v>
      </c>
      <c r="T40" s="667" t="s">
        <v>14</v>
      </c>
      <c r="U40" s="668">
        <f t="shared" si="11"/>
        <v>100</v>
      </c>
      <c r="V40" s="667" t="s">
        <v>14</v>
      </c>
      <c r="W40" s="668">
        <f t="shared" si="12"/>
        <v>100</v>
      </c>
      <c r="X40" s="1265"/>
      <c r="Y40" s="340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05"/>
      <c r="Q41" s="1263" t="str">
        <f t="shared" si="14"/>
        <v>宗地开发程度</v>
      </c>
      <c r="R41" s="664" t="s">
        <v>14</v>
      </c>
      <c r="S41" s="665">
        <f t="shared" si="10"/>
        <v>100</v>
      </c>
      <c r="T41" s="664" t="s">
        <v>14</v>
      </c>
      <c r="U41" s="665">
        <f t="shared" si="11"/>
        <v>100</v>
      </c>
      <c r="V41" s="664" t="s">
        <v>14</v>
      </c>
      <c r="W41" s="665">
        <f t="shared" si="12"/>
        <v>100</v>
      </c>
      <c r="X41" s="666"/>
      <c r="Y41" s="340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5" t="s">
        <v>1696</v>
      </c>
      <c r="Q42" s="1263" t="str">
        <f t="shared" si="14"/>
        <v>工程地质条件</v>
      </c>
      <c r="R42" s="667" t="s">
        <v>14</v>
      </c>
      <c r="S42" s="668">
        <f t="shared" si="10"/>
        <v>100</v>
      </c>
      <c r="T42" s="667" t="s">
        <v>14</v>
      </c>
      <c r="U42" s="668">
        <f t="shared" si="11"/>
        <v>100</v>
      </c>
      <c r="V42" s="667" t="s">
        <v>14</v>
      </c>
      <c r="W42" s="668">
        <f t="shared" si="12"/>
        <v>100</v>
      </c>
      <c r="X42" s="1265"/>
      <c r="Y42" s="340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5"/>
      <c r="Q43" s="1263">
        <f t="shared" si="14"/>
        <v>111</v>
      </c>
      <c r="R43" s="667" t="s">
        <v>14</v>
      </c>
      <c r="S43" s="668">
        <f t="shared" si="10"/>
        <v>100</v>
      </c>
      <c r="T43" s="667" t="s">
        <v>14</v>
      </c>
      <c r="U43" s="668">
        <f t="shared" si="11"/>
        <v>100</v>
      </c>
      <c r="V43" s="667" t="s">
        <v>14</v>
      </c>
      <c r="W43" s="668">
        <f t="shared" si="12"/>
        <v>100</v>
      </c>
      <c r="X43" s="1265"/>
      <c r="Y43" s="340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5"/>
      <c r="Q44" s="1263">
        <f t="shared" si="14"/>
        <v>111</v>
      </c>
      <c r="R44" s="667" t="s">
        <v>14</v>
      </c>
      <c r="S44" s="668">
        <f t="shared" si="10"/>
        <v>100</v>
      </c>
      <c r="T44" s="667" t="s">
        <v>14</v>
      </c>
      <c r="U44" s="668">
        <f t="shared" si="11"/>
        <v>100</v>
      </c>
      <c r="V44" s="667" t="s">
        <v>14</v>
      </c>
      <c r="W44" s="668">
        <f t="shared" si="12"/>
        <v>100</v>
      </c>
      <c r="X44" s="1265"/>
      <c r="Y44" s="340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5"/>
      <c r="Q45" s="1263">
        <f t="shared" si="14"/>
        <v>111</v>
      </c>
      <c r="R45" s="669" t="s">
        <v>14</v>
      </c>
      <c r="S45" s="670">
        <f t="shared" si="10"/>
        <v>100</v>
      </c>
      <c r="T45" s="669" t="s">
        <v>14</v>
      </c>
      <c r="U45" s="670">
        <f t="shared" si="11"/>
        <v>100</v>
      </c>
      <c r="V45" s="669" t="s">
        <v>14</v>
      </c>
      <c r="W45" s="670">
        <f t="shared" si="12"/>
        <v>100</v>
      </c>
      <c r="X45" s="671"/>
      <c r="Y45" s="340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07" t="str">
        <f>A46</f>
        <v>成交单价</v>
      </c>
      <c r="Q46" s="3407"/>
      <c r="R46" s="3395">
        <f>E46</f>
        <v>0</v>
      </c>
      <c r="S46" s="3395"/>
      <c r="T46" s="3395">
        <f>G46</f>
        <v>0</v>
      </c>
      <c r="U46" s="3395"/>
      <c r="V46" s="3395">
        <f>I46</f>
        <v>0</v>
      </c>
      <c r="W46" s="3395"/>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407" t="str">
        <f>A47</f>
        <v>比较价值（元/平方米）</v>
      </c>
      <c r="Q47" s="3407"/>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2" t="str">
        <f>A48</f>
        <v>估价对象XX用房的比较价值（楼面单价，元/平方米）</v>
      </c>
      <c r="Q48" s="3443"/>
      <c r="R48" s="3448" t="e">
        <f>ROUND(IF(D47="简单平均",AVERAGE(R47:W47),R47*F47+T47*H47+V47*J47),0)</f>
        <v>#DIV/0!</v>
      </c>
      <c r="S48" s="3448"/>
      <c r="T48" s="3448"/>
      <c r="U48" s="3448"/>
      <c r="V48" s="3448"/>
      <c r="W48" s="344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2" t="s">
        <v>1887</v>
      </c>
      <c r="H55" s="344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1058.25</v>
      </c>
      <c r="F56" s="833" t="e">
        <f t="shared" ref="F56:F64" si="15">ROUND(B56*E56/10000,0)</f>
        <v>#DIV/0!</v>
      </c>
      <c r="G56" s="3378"/>
      <c r="H56" s="340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1058.25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38" t="s">
        <v>1775</v>
      </c>
      <c r="Q4" s="3439"/>
      <c r="R4" s="3433" t="s">
        <v>1771</v>
      </c>
      <c r="S4" s="3434"/>
      <c r="T4" s="3433" t="s">
        <v>1772</v>
      </c>
      <c r="U4" s="3434"/>
      <c r="V4" s="3395" t="s">
        <v>1773</v>
      </c>
      <c r="W4" s="3395"/>
      <c r="X4" s="1265"/>
      <c r="Y4" s="3433" t="s">
        <v>1775</v>
      </c>
      <c r="Z4" s="3434"/>
      <c r="AA4" s="3432" t="s">
        <v>1771</v>
      </c>
      <c r="AB4" s="3364" t="s">
        <v>1772</v>
      </c>
      <c r="AC4" s="3432" t="s">
        <v>1773</v>
      </c>
    </row>
    <row r="5" spans="1:29" ht="15">
      <c r="A5" s="348"/>
      <c r="B5" s="349"/>
      <c r="C5" s="3437" t="s">
        <v>1673</v>
      </c>
      <c r="D5" s="3373"/>
      <c r="E5" s="3435" t="s">
        <v>1674</v>
      </c>
      <c r="F5" s="3436"/>
      <c r="G5" s="3437" t="s">
        <v>1675</v>
      </c>
      <c r="H5" s="3373"/>
      <c r="I5" s="3437" t="s">
        <v>1676</v>
      </c>
      <c r="J5" s="3373"/>
      <c r="K5" s="537"/>
      <c r="L5" s="2486"/>
      <c r="M5" s="2487"/>
      <c r="N5" s="2487"/>
      <c r="O5" s="2487"/>
      <c r="P5" s="3440"/>
      <c r="Q5" s="3389"/>
      <c r="R5" s="3370"/>
      <c r="S5" s="3371"/>
      <c r="T5" s="3370"/>
      <c r="U5" s="3371"/>
      <c r="V5" s="3395"/>
      <c r="W5" s="3395"/>
      <c r="X5" s="1265"/>
      <c r="Y5" s="3370"/>
      <c r="Z5" s="3371"/>
      <c r="AA5" s="3364"/>
      <c r="AB5" s="3364"/>
      <c r="AC5" s="3364"/>
    </row>
    <row r="6" spans="1:29" ht="15.75" thickBot="1">
      <c r="A6" s="350"/>
      <c r="B6" s="351"/>
      <c r="C6" s="3450" t="s">
        <v>1919</v>
      </c>
      <c r="D6" s="3451"/>
      <c r="E6" s="3452" t="s">
        <v>1919</v>
      </c>
      <c r="F6" s="3453"/>
      <c r="G6" s="3450" t="s">
        <v>1919</v>
      </c>
      <c r="H6" s="3451"/>
      <c r="I6" s="3450" t="s">
        <v>1919</v>
      </c>
      <c r="J6" s="3451"/>
      <c r="K6" s="537" t="s">
        <v>1678</v>
      </c>
      <c r="L6" s="2486"/>
      <c r="M6" s="2487"/>
      <c r="N6" s="2487"/>
      <c r="O6" s="2487"/>
      <c r="P6" s="3441"/>
      <c r="Q6" s="3391"/>
      <c r="R6" s="3370"/>
      <c r="S6" s="3371"/>
      <c r="T6" s="3392"/>
      <c r="U6" s="3393"/>
      <c r="V6" s="3395"/>
      <c r="W6" s="3395"/>
      <c r="X6" s="1265"/>
      <c r="Y6" s="3392"/>
      <c r="Z6" s="3393"/>
      <c r="AA6" s="3365"/>
      <c r="AB6" s="3365"/>
      <c r="AC6" s="3365"/>
    </row>
    <row r="7" spans="1:29" s="102" customFormat="1" ht="15.75" thickBot="1">
      <c r="A7" s="352" t="s">
        <v>1679</v>
      </c>
      <c r="B7" s="353"/>
      <c r="C7" s="354">
        <f>'数据-取费表'!B2</f>
        <v>45757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66" t="s">
        <v>1680</v>
      </c>
      <c r="Q7" s="3397"/>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07"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156</v>
      </c>
      <c r="G10" s="371"/>
      <c r="H10" s="119">
        <f>ROUND(100/'数据-取费表'!G16,0)</f>
        <v>156</v>
      </c>
      <c r="I10" s="371"/>
      <c r="J10" s="119">
        <f>ROUND(100/'数据-取费表'!G16,0)</f>
        <v>156</v>
      </c>
      <c r="K10" s="592"/>
      <c r="L10" s="2489"/>
      <c r="M10" s="2490"/>
      <c r="N10" s="2490"/>
      <c r="O10" s="2541"/>
      <c r="P10" s="3407"/>
      <c r="Q10" s="530" t="str">
        <f t="shared" si="6"/>
        <v>土地使用年限（年）</v>
      </c>
      <c r="R10" s="664" t="s">
        <v>14</v>
      </c>
      <c r="S10" s="665">
        <f t="shared" si="0"/>
        <v>156</v>
      </c>
      <c r="T10" s="664" t="s">
        <v>14</v>
      </c>
      <c r="U10" s="665">
        <f t="shared" si="1"/>
        <v>156</v>
      </c>
      <c r="V10" s="664" t="s">
        <v>14</v>
      </c>
      <c r="W10" s="665">
        <f t="shared" si="2"/>
        <v>156</v>
      </c>
      <c r="X10" s="666"/>
      <c r="Y10" s="3331"/>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7"/>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1"/>
      <c r="Q16" s="1263"/>
      <c r="R16" s="667"/>
      <c r="S16" s="668"/>
      <c r="T16" s="667"/>
      <c r="U16" s="668"/>
      <c r="V16" s="667"/>
      <c r="W16" s="668"/>
      <c r="X16" s="1265"/>
      <c r="Y16" s="340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1"/>
      <c r="Q18" s="1263"/>
      <c r="R18" s="667"/>
      <c r="S18" s="668"/>
      <c r="T18" s="667"/>
      <c r="U18" s="668"/>
      <c r="V18" s="667"/>
      <c r="W18" s="668"/>
      <c r="X18" s="1265"/>
      <c r="Y18" s="340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1"/>
      <c r="Q19" s="1263" t="str">
        <f t="shared" ref="Q19:Q33" si="8">B19</f>
        <v>区域土地利用方向</v>
      </c>
      <c r="R19" s="667" t="s">
        <v>14</v>
      </c>
      <c r="S19" s="668">
        <f>F19</f>
        <v>100</v>
      </c>
      <c r="T19" s="667" t="s">
        <v>14</v>
      </c>
      <c r="U19" s="668">
        <f>H19</f>
        <v>100</v>
      </c>
      <c r="V19" s="667" t="s">
        <v>14</v>
      </c>
      <c r="W19" s="668">
        <f>J19</f>
        <v>100</v>
      </c>
      <c r="X19" s="1265"/>
      <c r="Y19" s="340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1"/>
      <c r="Q20" s="1263"/>
      <c r="R20" s="667"/>
      <c r="S20" s="668"/>
      <c r="T20" s="667"/>
      <c r="U20" s="668"/>
      <c r="V20" s="667"/>
      <c r="W20" s="668"/>
      <c r="X20" s="1265"/>
      <c r="Y20" s="340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1"/>
      <c r="Q21" s="1263" t="str">
        <f t="shared" si="8"/>
        <v>环境状况</v>
      </c>
      <c r="R21" s="667" t="s">
        <v>14</v>
      </c>
      <c r="S21" s="668">
        <f>F21</f>
        <v>100</v>
      </c>
      <c r="T21" s="667" t="s">
        <v>14</v>
      </c>
      <c r="U21" s="668">
        <f>H21</f>
        <v>100</v>
      </c>
      <c r="V21" s="667" t="s">
        <v>14</v>
      </c>
      <c r="W21" s="668">
        <f>J21</f>
        <v>100</v>
      </c>
      <c r="X21" s="1265"/>
      <c r="Y21" s="340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1"/>
      <c r="Q22" s="1263"/>
      <c r="R22" s="667"/>
      <c r="S22" s="668"/>
      <c r="T22" s="667"/>
      <c r="U22" s="668"/>
      <c r="V22" s="667"/>
      <c r="W22" s="668"/>
      <c r="X22" s="1265"/>
      <c r="Y22" s="340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1"/>
      <c r="Q23" s="530" t="str">
        <f t="shared" si="8"/>
        <v>公共配套设施</v>
      </c>
      <c r="R23" s="664" t="s">
        <v>14</v>
      </c>
      <c r="S23" s="665">
        <f>F23</f>
        <v>100</v>
      </c>
      <c r="T23" s="664" t="s">
        <v>14</v>
      </c>
      <c r="U23" s="665">
        <f>H23</f>
        <v>100</v>
      </c>
      <c r="V23" s="664" t="s">
        <v>14</v>
      </c>
      <c r="W23" s="665">
        <f>J23</f>
        <v>100</v>
      </c>
      <c r="X23" s="666"/>
      <c r="Y23" s="340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01"/>
      <c r="Q24" s="530"/>
      <c r="R24" s="664"/>
      <c r="S24" s="665"/>
      <c r="T24" s="664"/>
      <c r="U24" s="665"/>
      <c r="V24" s="664"/>
      <c r="W24" s="665"/>
      <c r="X24" s="666"/>
      <c r="Y24" s="340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1"/>
      <c r="Q25" s="530" t="str">
        <f t="shared" ref="Q25" si="9">B25</f>
        <v>基础设施水平</v>
      </c>
      <c r="R25" s="664" t="s">
        <v>14</v>
      </c>
      <c r="S25" s="665">
        <f>F25</f>
        <v>100</v>
      </c>
      <c r="T25" s="664" t="s">
        <v>14</v>
      </c>
      <c r="U25" s="665">
        <f>H25</f>
        <v>100</v>
      </c>
      <c r="V25" s="664" t="s">
        <v>14</v>
      </c>
      <c r="W25" s="665">
        <f>J25</f>
        <v>100</v>
      </c>
      <c r="X25" s="666"/>
      <c r="Y25" s="340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01"/>
      <c r="Q26" s="530"/>
      <c r="R26" s="664"/>
      <c r="S26" s="665"/>
      <c r="T26" s="664"/>
      <c r="U26" s="665"/>
      <c r="V26" s="664"/>
      <c r="W26" s="665"/>
      <c r="X26" s="666"/>
      <c r="Y26" s="340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1"/>
      <c r="Q28" s="1263" t="str">
        <f t="shared" si="8"/>
        <v>毗邻道路的类型与等级</v>
      </c>
      <c r="R28" s="667" t="s">
        <v>14</v>
      </c>
      <c r="S28" s="668">
        <f t="shared" si="10"/>
        <v>100</v>
      </c>
      <c r="T28" s="667" t="s">
        <v>14</v>
      </c>
      <c r="U28" s="668">
        <f t="shared" si="11"/>
        <v>100</v>
      </c>
      <c r="V28" s="667" t="s">
        <v>14</v>
      </c>
      <c r="W28" s="668">
        <f t="shared" si="12"/>
        <v>100</v>
      </c>
      <c r="X28" s="1265"/>
      <c r="Y28" s="340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1"/>
      <c r="Q29" s="1263"/>
      <c r="R29" s="667"/>
      <c r="S29" s="668"/>
      <c r="T29" s="667"/>
      <c r="U29" s="668"/>
      <c r="V29" s="667"/>
      <c r="W29" s="668"/>
      <c r="X29" s="1265"/>
      <c r="Y29" s="340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1"/>
      <c r="Q30" s="1263" t="str">
        <f t="shared" si="8"/>
        <v>土地级别</v>
      </c>
      <c r="R30" s="667" t="s">
        <v>14</v>
      </c>
      <c r="S30" s="668">
        <f t="shared" si="10"/>
        <v>100</v>
      </c>
      <c r="T30" s="667" t="s">
        <v>14</v>
      </c>
      <c r="U30" s="668">
        <f t="shared" si="11"/>
        <v>100</v>
      </c>
      <c r="V30" s="667" t="s">
        <v>14</v>
      </c>
      <c r="W30" s="668">
        <f t="shared" si="12"/>
        <v>100</v>
      </c>
      <c r="X30" s="1265"/>
      <c r="Y30" s="340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1"/>
      <c r="Q31" s="1263">
        <f t="shared" si="8"/>
        <v>111</v>
      </c>
      <c r="R31" s="667" t="s">
        <v>14</v>
      </c>
      <c r="S31" s="668">
        <f t="shared" si="10"/>
        <v>100</v>
      </c>
      <c r="T31" s="667" t="s">
        <v>14</v>
      </c>
      <c r="U31" s="668">
        <f t="shared" si="11"/>
        <v>100</v>
      </c>
      <c r="V31" s="667" t="s">
        <v>14</v>
      </c>
      <c r="W31" s="668">
        <f t="shared" si="12"/>
        <v>100</v>
      </c>
      <c r="X31" s="1265"/>
      <c r="Y31" s="340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5" t="s">
        <v>1696</v>
      </c>
      <c r="Q32" s="1263">
        <f t="shared" si="8"/>
        <v>111</v>
      </c>
      <c r="R32" s="667" t="s">
        <v>14</v>
      </c>
      <c r="S32" s="668">
        <f t="shared" si="10"/>
        <v>100</v>
      </c>
      <c r="T32" s="667" t="s">
        <v>14</v>
      </c>
      <c r="U32" s="668">
        <f t="shared" si="11"/>
        <v>100</v>
      </c>
      <c r="V32" s="667" t="s">
        <v>14</v>
      </c>
      <c r="W32" s="668">
        <f t="shared" si="12"/>
        <v>100</v>
      </c>
      <c r="X32" s="1265"/>
      <c r="Y32" s="340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5"/>
      <c r="Q33" s="1263">
        <f t="shared" si="8"/>
        <v>111</v>
      </c>
      <c r="R33" s="669" t="s">
        <v>14</v>
      </c>
      <c r="S33" s="670">
        <f t="shared" si="10"/>
        <v>100</v>
      </c>
      <c r="T33" s="669" t="s">
        <v>14</v>
      </c>
      <c r="U33" s="670">
        <f t="shared" si="11"/>
        <v>100</v>
      </c>
      <c r="V33" s="669" t="s">
        <v>14</v>
      </c>
      <c r="W33" s="670">
        <f t="shared" si="12"/>
        <v>100</v>
      </c>
      <c r="X33" s="671"/>
      <c r="Y33" s="340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5"/>
      <c r="Q34" s="1263" t="str">
        <f>B34</f>
        <v>宗地面积</v>
      </c>
      <c r="R34" s="667" t="s">
        <v>14</v>
      </c>
      <c r="S34" s="668" t="e">
        <f t="shared" si="10"/>
        <v>#N/A</v>
      </c>
      <c r="T34" s="667" t="s">
        <v>14</v>
      </c>
      <c r="U34" s="668" t="e">
        <f t="shared" si="11"/>
        <v>#N/A</v>
      </c>
      <c r="V34" s="667" t="s">
        <v>14</v>
      </c>
      <c r="W34" s="668" t="e">
        <f t="shared" si="12"/>
        <v>#N/A</v>
      </c>
      <c r="X34" s="1265"/>
      <c r="Y34" s="340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5"/>
      <c r="Q35" s="1263" t="str">
        <f t="shared" ref="Q35:Q40" si="14">B35</f>
        <v>宗地形状</v>
      </c>
      <c r="R35" s="667" t="s">
        <v>14</v>
      </c>
      <c r="S35" s="668">
        <f t="shared" si="10"/>
        <v>100</v>
      </c>
      <c r="T35" s="667" t="s">
        <v>14</v>
      </c>
      <c r="U35" s="668">
        <f t="shared" si="11"/>
        <v>100</v>
      </c>
      <c r="V35" s="667" t="s">
        <v>14</v>
      </c>
      <c r="W35" s="668">
        <f t="shared" si="12"/>
        <v>100</v>
      </c>
      <c r="X35" s="1265"/>
      <c r="Y35" s="340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05"/>
      <c r="Q36" s="1263" t="str">
        <f t="shared" si="14"/>
        <v>宗地开发程度</v>
      </c>
      <c r="R36" s="664" t="s">
        <v>14</v>
      </c>
      <c r="S36" s="665">
        <f t="shared" si="10"/>
        <v>100</v>
      </c>
      <c r="T36" s="664" t="s">
        <v>14</v>
      </c>
      <c r="U36" s="665">
        <f t="shared" si="11"/>
        <v>100</v>
      </c>
      <c r="V36" s="664" t="s">
        <v>14</v>
      </c>
      <c r="W36" s="665">
        <f t="shared" si="12"/>
        <v>100</v>
      </c>
      <c r="X36" s="666"/>
      <c r="Y36" s="340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5" t="s">
        <v>1696</v>
      </c>
      <c r="Q37" s="1263" t="str">
        <f t="shared" si="14"/>
        <v>工程地质条件</v>
      </c>
      <c r="R37" s="667" t="s">
        <v>14</v>
      </c>
      <c r="S37" s="668">
        <f t="shared" si="10"/>
        <v>100</v>
      </c>
      <c r="T37" s="667" t="s">
        <v>14</v>
      </c>
      <c r="U37" s="668">
        <f t="shared" si="11"/>
        <v>100</v>
      </c>
      <c r="V37" s="667" t="s">
        <v>14</v>
      </c>
      <c r="W37" s="668">
        <f t="shared" si="12"/>
        <v>100</v>
      </c>
      <c r="X37" s="1265"/>
      <c r="Y37" s="340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5"/>
      <c r="Q38" s="1263">
        <f t="shared" si="14"/>
        <v>111</v>
      </c>
      <c r="R38" s="667" t="s">
        <v>14</v>
      </c>
      <c r="S38" s="668">
        <f t="shared" si="10"/>
        <v>100</v>
      </c>
      <c r="T38" s="667" t="s">
        <v>14</v>
      </c>
      <c r="U38" s="668">
        <f t="shared" si="11"/>
        <v>100</v>
      </c>
      <c r="V38" s="667" t="s">
        <v>14</v>
      </c>
      <c r="W38" s="668">
        <f t="shared" si="12"/>
        <v>100</v>
      </c>
      <c r="X38" s="1265"/>
      <c r="Y38" s="340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5"/>
      <c r="Q39" s="1263">
        <f t="shared" si="14"/>
        <v>111</v>
      </c>
      <c r="R39" s="667" t="s">
        <v>14</v>
      </c>
      <c r="S39" s="668">
        <f t="shared" si="10"/>
        <v>100</v>
      </c>
      <c r="T39" s="667" t="s">
        <v>14</v>
      </c>
      <c r="U39" s="668">
        <f t="shared" si="11"/>
        <v>100</v>
      </c>
      <c r="V39" s="667" t="s">
        <v>14</v>
      </c>
      <c r="W39" s="668">
        <f t="shared" si="12"/>
        <v>100</v>
      </c>
      <c r="X39" s="1265"/>
      <c r="Y39" s="340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5"/>
      <c r="Q40" s="1263">
        <f t="shared" si="14"/>
        <v>111</v>
      </c>
      <c r="R40" s="669" t="s">
        <v>14</v>
      </c>
      <c r="S40" s="670">
        <f t="shared" si="10"/>
        <v>100</v>
      </c>
      <c r="T40" s="669" t="s">
        <v>14</v>
      </c>
      <c r="U40" s="670">
        <f t="shared" si="11"/>
        <v>100</v>
      </c>
      <c r="V40" s="669" t="s">
        <v>14</v>
      </c>
      <c r="W40" s="670">
        <f t="shared" si="12"/>
        <v>100</v>
      </c>
      <c r="X40" s="671"/>
      <c r="Y40" s="340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07" t="str">
        <f>A41</f>
        <v>成交单价</v>
      </c>
      <c r="Q41" s="3407"/>
      <c r="R41" s="3395">
        <f>E41</f>
        <v>0</v>
      </c>
      <c r="S41" s="3395"/>
      <c r="T41" s="3395">
        <f>G41</f>
        <v>0</v>
      </c>
      <c r="U41" s="3395"/>
      <c r="V41" s="3395">
        <f>I41</f>
        <v>0</v>
      </c>
      <c r="W41" s="3395"/>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407" t="str">
        <f>A42</f>
        <v>比较价值（元/平方米）</v>
      </c>
      <c r="Q42" s="3407"/>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2" t="str">
        <f>A43</f>
        <v>估价对象XX用房的比较价值（楼面单价，元/平方米）</v>
      </c>
      <c r="Q43" s="3443"/>
      <c r="R43" s="3448" t="e">
        <f>ROUND(IF(D42="简单平均",AVERAGE(R42:W42),R42*F42+T42*H42+V42*J42),0)</f>
        <v>#DIV/0!</v>
      </c>
      <c r="S43" s="3448"/>
      <c r="T43" s="3448"/>
      <c r="U43" s="3448"/>
      <c r="V43" s="3448"/>
      <c r="W43" s="344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82" t="s">
        <v>1887</v>
      </c>
      <c r="H50" s="344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1058.25</v>
      </c>
      <c r="F51" s="611" t="e">
        <f t="shared" ref="F51:F60" si="15">ROUND(B51*E51/10000,0)</f>
        <v>#DIV/0!</v>
      </c>
      <c r="G51" s="3378"/>
      <c r="H51" s="340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22" sqref="C22:Q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3555</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33593</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1058.25</v>
      </c>
      <c r="C22" s="3454" t="s">
        <v>27</v>
      </c>
      <c r="D22" s="3455"/>
      <c r="E22" s="3455"/>
      <c r="F22" s="3455"/>
      <c r="G22" s="3455"/>
      <c r="H22" s="3455"/>
      <c r="I22" s="3455"/>
      <c r="J22" s="3455"/>
      <c r="K22" s="3455"/>
      <c r="L22" s="3455"/>
      <c r="M22" s="3455"/>
      <c r="N22" s="3455"/>
      <c r="O22" s="3455"/>
      <c r="P22" s="3455"/>
      <c r="Q22" s="3456"/>
      <c r="R22" s="21">
        <f ca="1">ROUND(S22*10000/B22,0)</f>
        <v>33593</v>
      </c>
      <c r="S22" s="21">
        <f ca="1">SUM(S24:S10000)</f>
        <v>3555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'数据-基础表'!C13</f>
        <v>0</v>
      </c>
      <c r="B24" s="633">
        <f>'数据-基础表'!I13</f>
        <v>1058.25</v>
      </c>
      <c r="C24" s="2570">
        <v>1</v>
      </c>
      <c r="D24" s="2571"/>
      <c r="E24" s="2570">
        <v>1</v>
      </c>
      <c r="F24" s="2571"/>
      <c r="G24" s="2570">
        <v>1</v>
      </c>
      <c r="H24" s="2571"/>
      <c r="I24" s="2570">
        <v>1</v>
      </c>
      <c r="J24" s="2571"/>
      <c r="K24" s="2570">
        <v>1</v>
      </c>
      <c r="L24" s="2571"/>
      <c r="M24" s="2570">
        <v>1</v>
      </c>
      <c r="N24" s="2571"/>
      <c r="O24" s="2570">
        <v>1</v>
      </c>
      <c r="P24" s="2571"/>
      <c r="Q24" s="2570">
        <v>1</v>
      </c>
      <c r="R24" s="633">
        <f ca="1">结果表!G20</f>
        <v>33590</v>
      </c>
      <c r="S24" s="634">
        <f t="shared" ref="S24:S54" ca="1" si="11">ROUND(R24*B24/10000,0)</f>
        <v>3555</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'数据-基础表'!C14</f>
        <v>0</v>
      </c>
      <c r="B25" s="633">
        <f>'数据-基础表'!I14</f>
        <v>0</v>
      </c>
      <c r="C25" s="21">
        <f>IF(B25="",1,(LOOKUP(B25,$3:$3,$4:$4)-LOOKUP($B$24,$3:$3,$4:$4)+100)/100)</f>
        <v>1.02</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34262</v>
      </c>
      <c r="S25" s="308">
        <f t="shared" ca="1" si="11"/>
        <v>0</v>
      </c>
    </row>
    <row r="26" spans="1:45">
      <c r="A26" s="633">
        <f>'数据-基础表'!C15</f>
        <v>0</v>
      </c>
      <c r="B26" s="633">
        <f>'数据-基础表'!I15</f>
        <v>0</v>
      </c>
      <c r="C26" s="21">
        <f t="shared" ref="C26:C89" si="12">IF(B26="",1,(LOOKUP(B26,$3:$3,$4:$4)-LOOKUP($B$24,$3:$3,$4:$4)+100)/100)</f>
        <v>1.02</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34262</v>
      </c>
      <c r="S26" s="308">
        <f t="shared" ca="1" si="11"/>
        <v>0</v>
      </c>
    </row>
    <row r="27" spans="1:45">
      <c r="A27" s="633">
        <f>'数据-基础表'!C16</f>
        <v>0</v>
      </c>
      <c r="B27" s="633">
        <f>'数据-基础表'!I16</f>
        <v>0</v>
      </c>
      <c r="C27" s="21">
        <f t="shared" si="12"/>
        <v>1.02</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34262</v>
      </c>
      <c r="S27" s="308">
        <f t="shared" ca="1" si="11"/>
        <v>0</v>
      </c>
    </row>
    <row r="28" spans="1:45">
      <c r="A28" s="633">
        <f>'数据-基础表'!C17</f>
        <v>0</v>
      </c>
      <c r="B28" s="633">
        <f>'数据-基础表'!I17</f>
        <v>0</v>
      </c>
      <c r="C28" s="21">
        <f t="shared" si="12"/>
        <v>1.02</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34262</v>
      </c>
      <c r="S28" s="308">
        <f t="shared" ca="1" si="11"/>
        <v>0</v>
      </c>
    </row>
    <row r="29" spans="1:45">
      <c r="A29" s="633">
        <f>'数据-基础表'!C18</f>
        <v>0</v>
      </c>
      <c r="B29" s="633">
        <f>'数据-基础表'!I18</f>
        <v>0</v>
      </c>
      <c r="C29" s="21">
        <f t="shared" si="12"/>
        <v>1.02</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34262</v>
      </c>
      <c r="S29" s="308">
        <f t="shared" ca="1" si="11"/>
        <v>0</v>
      </c>
    </row>
    <row r="30" spans="1:45">
      <c r="A30" s="633">
        <f>'数据-基础表'!C19</f>
        <v>0</v>
      </c>
      <c r="B30" s="633">
        <f>'数据-基础表'!I19</f>
        <v>0</v>
      </c>
      <c r="C30" s="21">
        <f t="shared" si="12"/>
        <v>1.02</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34262</v>
      </c>
      <c r="S30" s="308">
        <f t="shared" ca="1" si="11"/>
        <v>0</v>
      </c>
    </row>
    <row r="31" spans="1:45">
      <c r="A31" s="633">
        <f>'数据-基础表'!C20</f>
        <v>0</v>
      </c>
      <c r="B31" s="633">
        <f>'数据-基础表'!I20</f>
        <v>0</v>
      </c>
      <c r="C31" s="21">
        <f t="shared" si="12"/>
        <v>1.02</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34262</v>
      </c>
      <c r="S31" s="308">
        <f t="shared" ca="1" si="11"/>
        <v>0</v>
      </c>
    </row>
    <row r="32" spans="1:45">
      <c r="A32" s="633">
        <f>'数据-基础表'!C21</f>
        <v>0</v>
      </c>
      <c r="B32" s="633">
        <f>'数据-基础表'!I21</f>
        <v>0</v>
      </c>
      <c r="C32" s="21">
        <f t="shared" si="12"/>
        <v>1.02</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34262</v>
      </c>
      <c r="S32" s="308">
        <f t="shared" ca="1"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67"/>
      <c r="B4" s="3468"/>
      <c r="C4" s="3468"/>
      <c r="D4" s="3469"/>
      <c r="E4" s="3469"/>
      <c r="F4" s="3469"/>
      <c r="G4" s="3469"/>
      <c r="H4" s="3469"/>
      <c r="I4" s="3469"/>
      <c r="J4" s="347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4" t="s">
        <v>1960</v>
      </c>
      <c r="X8" s="346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6"/>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3237</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3238</v>
      </c>
      <c r="G14" s="3020" t="s">
        <v>3238</v>
      </c>
      <c r="H14" s="3020" t="s">
        <v>3238</v>
      </c>
      <c r="I14" s="3020" t="s">
        <v>3238</v>
      </c>
      <c r="J14" s="3020" t="s">
        <v>3238</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3243</v>
      </c>
      <c r="E18" s="2356"/>
      <c r="F18" s="3030" t="s">
        <v>3246</v>
      </c>
      <c r="G18" s="3034">
        <f>ROUND(1-(1/(POWER(1+G24,E18))),4)</f>
        <v>0</v>
      </c>
      <c r="H18" s="3030" t="s">
        <v>3248</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71" t="s">
        <v>3249</v>
      </c>
      <c r="B20" s="159" t="s">
        <v>1994</v>
      </c>
      <c r="C20" s="3031" t="e">
        <f>ROUND(IF(F21="与级别开发程度一致",0,(G21-E21)/C21),0)</f>
        <v>#DIV/0!</v>
      </c>
      <c r="D20" s="3046" t="s">
        <v>1998</v>
      </c>
      <c r="E20" s="3047"/>
      <c r="F20" s="3477" t="s">
        <v>1995</v>
      </c>
      <c r="G20" s="347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7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45757</v>
      </c>
      <c r="H23" s="3048" t="s">
        <v>3251</v>
      </c>
      <c r="I23" s="3049" t="str">
        <f>IF(H23="季度增幅（自定义）",SUMIF(N25:N28,E2,O25:O28),"")</f>
        <v/>
      </c>
      <c r="J23" s="3141" t="s">
        <v>3250</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3330</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3261</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6"/>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有695、323、425路等公交路线经过，紧邻地铁4号线——人民大学站，交通便捷度较好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次干道-中关村南大街</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估价对象所在区域公共配套设施较齐备</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估价对象所在区域基础设施水平较好</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周边有动物园、北京艺术博物馆、双榆树公园等自然人文环境，质量较好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周边有铸诚大厦、天作国际等较多办公项目，办公集聚程度较好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有695、323、425路等公交路线经过，紧邻地铁4号线——人民大学站，交通便捷度较好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次干道-中关村南大街</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估价对象所在区域公共配套设施较齐备</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估价对象所在区域基础设施水平较好</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周边有动物园、北京艺术博物馆、双榆树公园等自然人文环境，质量较好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有695、323、425路等公交路线经过，紧邻地铁4号线——人民大学站，交通便捷度较好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次干道-中关村南大街</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估价对象所在区域公共配套设施较齐备</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估价对象所在区域基础设施水平较好</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周边有动物园、北京艺术博物馆、双榆树公园等自然人文环境，质量较好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3265</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2607</v>
      </c>
      <c r="B91" s="3079">
        <f>1+E93</f>
        <v>1</v>
      </c>
      <c r="C91" s="3072"/>
      <c r="D91" s="3073"/>
      <c r="E91" s="1675"/>
      <c r="F91" s="1675"/>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50" t="s">
        <v>3284</v>
      </c>
      <c r="K92" s="2150" t="s">
        <v>3285</v>
      </c>
      <c r="L92" s="2150" t="s">
        <v>3286</v>
      </c>
      <c r="M92" s="2150" t="s">
        <v>3287</v>
      </c>
      <c r="N92" s="2150" t="s">
        <v>3288</v>
      </c>
    </row>
    <row r="93" spans="1:37" ht="24">
      <c r="A93" s="3070" t="s">
        <v>3267</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3268</v>
      </c>
      <c r="B94" s="3071" t="str">
        <f>估价对象房地状况!C18</f>
        <v>有695、323、425路等公交路线经过，紧邻地铁4号线——人民大学站，交通便捷度较好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3264</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3269</v>
      </c>
      <c r="B96" s="3086" t="s">
        <v>3280</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3270</v>
      </c>
      <c r="B97" s="3071" t="str">
        <f>估价对象房地状况!C24</f>
        <v>次干道-中关村南大街</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3271</v>
      </c>
      <c r="B98" s="3087" t="s">
        <v>3281</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3272</v>
      </c>
      <c r="B99" s="3071" t="str">
        <f>估价对象房地状况!C21</f>
        <v>估价对象所在区域公共配套设施较齐备</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3273</v>
      </c>
      <c r="B100" s="3071" t="str">
        <f>估价对象房地状况!C22</f>
        <v>估价对象所在区域基础设施水平较好</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3274</v>
      </c>
      <c r="B101" s="3088" t="str">
        <f>估价对象房地状况!C20</f>
        <v>周边有动物园、北京艺术博物馆、双榆树公园等自然人文环境，质量较好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73" t="s">
        <v>3289</v>
      </c>
      <c r="B103" s="3473"/>
      <c r="C103" s="3473"/>
      <c r="D103" s="3473"/>
      <c r="E103" s="3473"/>
      <c r="F103" s="3473"/>
      <c r="G103" s="3473"/>
      <c r="H103" s="3473"/>
      <c r="I103" s="3473"/>
      <c r="J103" s="3473"/>
      <c r="K103" s="1667"/>
      <c r="L103" s="1667"/>
      <c r="M103" s="1667"/>
      <c r="N103" s="1667"/>
    </row>
    <row r="104" spans="1:14">
      <c r="A104" s="3474" t="s">
        <v>3290</v>
      </c>
      <c r="B104" s="3474" t="s">
        <v>3291</v>
      </c>
      <c r="C104" s="3090" t="s">
        <v>3292</v>
      </c>
      <c r="D104" s="3091"/>
      <c r="E104" s="3091"/>
      <c r="F104" s="3091"/>
      <c r="G104" s="3091"/>
      <c r="H104" s="3091"/>
      <c r="I104" s="3091"/>
      <c r="J104" s="3092"/>
      <c r="K104" s="3093"/>
      <c r="L104" s="3093"/>
      <c r="M104" s="3093"/>
      <c r="N104" s="3093"/>
    </row>
    <row r="105" spans="1:14">
      <c r="A105" s="3474"/>
      <c r="B105" s="3474"/>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60"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1"/>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3" t="s">
        <v>3306</v>
      </c>
      <c r="B113" s="3463"/>
      <c r="C113" s="3463"/>
      <c r="D113" s="3463"/>
      <c r="E113" s="3463"/>
      <c r="F113" s="3463"/>
      <c r="G113" s="3463"/>
      <c r="H113" s="3463"/>
      <c r="I113" s="3463"/>
      <c r="J113" s="346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86" t="s">
        <v>2602</v>
      </c>
      <c r="B20" s="3479" t="s">
        <v>2623</v>
      </c>
      <c r="C20" s="2842" t="s">
        <v>2434</v>
      </c>
      <c r="D20" s="2843"/>
      <c r="E20" s="2844">
        <v>1</v>
      </c>
      <c r="F20" s="2845" t="s">
        <v>2435</v>
      </c>
      <c r="G20" s="2845"/>
    </row>
    <row r="21" spans="1:13" ht="19.5" customHeight="1">
      <c r="A21" s="3487"/>
      <c r="B21" s="3480"/>
      <c r="C21" s="2846" t="s">
        <v>2436</v>
      </c>
      <c r="D21" s="2847"/>
      <c r="E21" s="2848">
        <v>1</v>
      </c>
      <c r="F21" s="2845" t="s">
        <v>2437</v>
      </c>
      <c r="G21" s="2845"/>
    </row>
    <row r="22" spans="1:13" ht="19.5" customHeight="1">
      <c r="A22" s="3487"/>
      <c r="B22" s="3480"/>
      <c r="C22" s="2846" t="s">
        <v>2438</v>
      </c>
      <c r="D22" s="2847"/>
      <c r="E22" s="2848">
        <v>0.9</v>
      </c>
      <c r="F22" s="2845" t="s">
        <v>2439</v>
      </c>
      <c r="G22" s="2845"/>
    </row>
    <row r="23" spans="1:13" ht="19.5" customHeight="1">
      <c r="A23" s="3487"/>
      <c r="B23" s="3480"/>
      <c r="C23" s="2846" t="s">
        <v>2440</v>
      </c>
      <c r="D23" s="2847"/>
      <c r="E23" s="2848">
        <v>0.9</v>
      </c>
      <c r="F23" s="2845" t="s">
        <v>2441</v>
      </c>
      <c r="G23" s="2845"/>
    </row>
    <row r="24" spans="1:13" ht="19.5" customHeight="1">
      <c r="A24" s="3487"/>
      <c r="B24" s="3480"/>
      <c r="C24" s="2846" t="s">
        <v>2442</v>
      </c>
      <c r="D24" s="2847"/>
      <c r="E24" s="2848">
        <v>0.8</v>
      </c>
      <c r="F24" s="2845" t="s">
        <v>2443</v>
      </c>
      <c r="G24" s="2845"/>
    </row>
    <row r="25" spans="1:13" ht="19.5" customHeight="1" thickBot="1">
      <c r="A25" s="3488"/>
      <c r="B25" s="3481"/>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82" t="s">
        <v>2626</v>
      </c>
      <c r="B27" s="3479" t="s">
        <v>2607</v>
      </c>
      <c r="C27" s="2842" t="s">
        <v>2447</v>
      </c>
      <c r="D27" s="2843"/>
      <c r="E27" s="2844">
        <v>1</v>
      </c>
      <c r="F27" s="2845" t="s">
        <v>2448</v>
      </c>
      <c r="G27" s="2845"/>
    </row>
    <row r="28" spans="1:13" ht="19.5" customHeight="1">
      <c r="A28" s="3483"/>
      <c r="B28" s="3480"/>
      <c r="C28" s="2846" t="s">
        <v>2449</v>
      </c>
      <c r="D28" s="2847"/>
      <c r="E28" s="2848">
        <v>1</v>
      </c>
      <c r="F28" s="2845" t="s">
        <v>2450</v>
      </c>
      <c r="G28" s="2845"/>
    </row>
    <row r="29" spans="1:13" ht="19.5" customHeight="1">
      <c r="A29" s="3483"/>
      <c r="B29" s="3480"/>
      <c r="C29" s="2846" t="s">
        <v>2451</v>
      </c>
      <c r="D29" s="2847"/>
      <c r="E29" s="2848">
        <v>0.8</v>
      </c>
      <c r="F29" s="2845" t="s">
        <v>2452</v>
      </c>
      <c r="G29" s="2845"/>
    </row>
    <row r="30" spans="1:13" ht="19.5" customHeight="1">
      <c r="A30" s="3483"/>
      <c r="B30" s="3480"/>
      <c r="C30" s="2846" t="s">
        <v>2453</v>
      </c>
      <c r="D30" s="2847"/>
      <c r="E30" s="2848">
        <v>0.8</v>
      </c>
      <c r="F30" s="2845" t="s">
        <v>2454</v>
      </c>
      <c r="G30" s="2845"/>
    </row>
    <row r="31" spans="1:13" ht="19.5" customHeight="1">
      <c r="A31" s="3483"/>
      <c r="B31" s="3480"/>
      <c r="C31" s="2846" t="s">
        <v>2455</v>
      </c>
      <c r="D31" s="2847"/>
      <c r="E31" s="2848">
        <v>0.8</v>
      </c>
      <c r="F31" s="2845" t="s">
        <v>2456</v>
      </c>
      <c r="G31" s="2845"/>
    </row>
    <row r="32" spans="1:13" ht="19.5" customHeight="1">
      <c r="A32" s="3483"/>
      <c r="B32" s="3480"/>
      <c r="C32" s="2846" t="s">
        <v>2457</v>
      </c>
      <c r="D32" s="2847"/>
      <c r="E32" s="2848">
        <v>0.7</v>
      </c>
      <c r="F32" s="2845" t="s">
        <v>2458</v>
      </c>
      <c r="G32" s="2845"/>
    </row>
    <row r="33" spans="1:7" ht="19.5" customHeight="1">
      <c r="A33" s="3483"/>
      <c r="B33" s="3480"/>
      <c r="C33" s="2846" t="s">
        <v>2459</v>
      </c>
      <c r="D33" s="2847"/>
      <c r="E33" s="2848">
        <v>0.8</v>
      </c>
      <c r="F33" s="2845" t="s">
        <v>2460</v>
      </c>
      <c r="G33" s="2845"/>
    </row>
    <row r="34" spans="1:7" ht="19.5" customHeight="1">
      <c r="A34" s="3483"/>
      <c r="B34" s="3480"/>
      <c r="C34" s="2846" t="s">
        <v>2461</v>
      </c>
      <c r="D34" s="2847"/>
      <c r="E34" s="2848">
        <v>0.6</v>
      </c>
      <c r="F34" s="2845" t="s">
        <v>2462</v>
      </c>
      <c r="G34" s="2845"/>
    </row>
    <row r="35" spans="1:7" ht="19.5" customHeight="1">
      <c r="A35" s="3483"/>
      <c r="B35" s="3480"/>
      <c r="C35" s="2846" t="s">
        <v>2463</v>
      </c>
      <c r="D35" s="2847"/>
      <c r="E35" s="2848">
        <v>0.2</v>
      </c>
      <c r="F35" s="2845" t="s">
        <v>2464</v>
      </c>
      <c r="G35" s="2845"/>
    </row>
    <row r="36" spans="1:7" ht="19.5" customHeight="1">
      <c r="A36" s="3483"/>
      <c r="B36" s="3480"/>
      <c r="C36" s="2846" t="s">
        <v>2465</v>
      </c>
      <c r="D36" s="2847"/>
      <c r="E36" s="2848">
        <v>0.2</v>
      </c>
      <c r="F36" s="2845" t="s">
        <v>2466</v>
      </c>
      <c r="G36" s="2845"/>
    </row>
    <row r="37" spans="1:7" ht="19.5" customHeight="1">
      <c r="A37" s="3483"/>
      <c r="B37" s="3485" t="s">
        <v>2627</v>
      </c>
      <c r="C37" s="2846" t="s">
        <v>2467</v>
      </c>
      <c r="D37" s="2847"/>
      <c r="E37" s="2848">
        <v>0.6</v>
      </c>
      <c r="F37" s="2845" t="s">
        <v>2468</v>
      </c>
      <c r="G37" s="2845"/>
    </row>
    <row r="38" spans="1:7" ht="19.5" customHeight="1">
      <c r="A38" s="3483"/>
      <c r="B38" s="3480"/>
      <c r="C38" s="2846" t="s">
        <v>2469</v>
      </c>
      <c r="D38" s="2847"/>
      <c r="E38" s="2848">
        <v>0.6</v>
      </c>
      <c r="F38" s="2845" t="s">
        <v>2470</v>
      </c>
      <c r="G38" s="2845"/>
    </row>
    <row r="39" spans="1:7" ht="19.5" customHeight="1" thickBot="1">
      <c r="A39" s="3484"/>
      <c r="B39" s="3481"/>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86" t="s">
        <v>2605</v>
      </c>
      <c r="B41" s="3479" t="s">
        <v>2629</v>
      </c>
      <c r="C41" s="2842" t="s">
        <v>2474</v>
      </c>
      <c r="D41" s="2843"/>
      <c r="E41" s="2844">
        <v>1</v>
      </c>
      <c r="F41" s="2845" t="s">
        <v>2475</v>
      </c>
      <c r="G41" s="2845"/>
    </row>
    <row r="42" spans="1:7" ht="19.5" customHeight="1">
      <c r="A42" s="3487"/>
      <c r="B42" s="3480"/>
      <c r="C42" s="2846" t="s">
        <v>2476</v>
      </c>
      <c r="D42" s="2847"/>
      <c r="E42" s="2848">
        <v>1</v>
      </c>
      <c r="F42" s="2845" t="s">
        <v>2477</v>
      </c>
      <c r="G42" s="2845"/>
    </row>
    <row r="43" spans="1:7" ht="19.5" customHeight="1">
      <c r="A43" s="3487"/>
      <c r="B43" s="3489"/>
      <c r="C43" s="2846" t="s">
        <v>2478</v>
      </c>
      <c r="D43" s="2847"/>
      <c r="E43" s="2848">
        <v>1.5</v>
      </c>
      <c r="F43" s="2845" t="s">
        <v>2479</v>
      </c>
      <c r="G43" s="2845"/>
    </row>
    <row r="44" spans="1:7" ht="19.5" customHeight="1">
      <c r="A44" s="3487"/>
      <c r="B44" s="2857" t="s">
        <v>2630</v>
      </c>
      <c r="C44" s="2846" t="s">
        <v>2631</v>
      </c>
      <c r="D44" s="2847"/>
      <c r="E44" s="2848">
        <v>2</v>
      </c>
      <c r="F44" s="2845" t="s">
        <v>2480</v>
      </c>
      <c r="G44" s="2845"/>
    </row>
    <row r="45" spans="1:7" ht="19.5" customHeight="1">
      <c r="A45" s="3487"/>
      <c r="B45" s="3485" t="s">
        <v>2632</v>
      </c>
      <c r="C45" s="2846" t="s">
        <v>2481</v>
      </c>
      <c r="D45" s="2847"/>
      <c r="E45" s="2848">
        <v>1</v>
      </c>
      <c r="F45" s="2845" t="s">
        <v>2482</v>
      </c>
      <c r="G45" s="2845"/>
    </row>
    <row r="46" spans="1:7" ht="19.5" customHeight="1">
      <c r="A46" s="3487"/>
      <c r="B46" s="3480"/>
      <c r="C46" s="2846" t="s">
        <v>2483</v>
      </c>
      <c r="D46" s="2847"/>
      <c r="E46" s="2848">
        <v>1</v>
      </c>
      <c r="F46" s="2845" t="s">
        <v>2484</v>
      </c>
      <c r="G46" s="2845"/>
    </row>
    <row r="47" spans="1:7" ht="19.5" customHeight="1">
      <c r="A47" s="3487"/>
      <c r="B47" s="3480"/>
      <c r="C47" s="2846" t="s">
        <v>2485</v>
      </c>
      <c r="D47" s="2847"/>
      <c r="E47" s="2848">
        <v>1</v>
      </c>
      <c r="F47" s="2845" t="s">
        <v>2486</v>
      </c>
      <c r="G47" s="2845"/>
    </row>
    <row r="48" spans="1:7" ht="19.5" customHeight="1">
      <c r="A48" s="3487"/>
      <c r="B48" s="3480"/>
      <c r="C48" s="2846" t="s">
        <v>2487</v>
      </c>
      <c r="D48" s="2847"/>
      <c r="E48" s="2848">
        <v>1</v>
      </c>
      <c r="F48" s="2845" t="s">
        <v>2488</v>
      </c>
      <c r="G48" s="2845"/>
    </row>
    <row r="49" spans="1:7" ht="19.5" customHeight="1">
      <c r="A49" s="3487"/>
      <c r="B49" s="3480"/>
      <c r="C49" s="2846" t="s">
        <v>2489</v>
      </c>
      <c r="D49" s="2847"/>
      <c r="E49" s="2848">
        <v>1</v>
      </c>
      <c r="F49" s="2845" t="s">
        <v>2490</v>
      </c>
      <c r="G49" s="2845"/>
    </row>
    <row r="50" spans="1:7" ht="19.5" customHeight="1">
      <c r="A50" s="3487"/>
      <c r="B50" s="3480"/>
      <c r="C50" s="2846" t="s">
        <v>2491</v>
      </c>
      <c r="D50" s="2847"/>
      <c r="E50" s="2848">
        <v>1</v>
      </c>
      <c r="F50" s="2845" t="s">
        <v>2492</v>
      </c>
      <c r="G50" s="2845"/>
    </row>
    <row r="51" spans="1:7" ht="19.5" customHeight="1" thickBot="1">
      <c r="A51" s="3488"/>
      <c r="B51" s="3481"/>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85" t="s">
        <v>2646</v>
      </c>
      <c r="C73" s="2831" t="s">
        <v>2647</v>
      </c>
      <c r="D73" s="2831" t="s">
        <v>2648</v>
      </c>
      <c r="E73" s="2857">
        <v>0.2</v>
      </c>
      <c r="F73" s="2857">
        <v>25</v>
      </c>
    </row>
    <row r="74" spans="1:7" ht="24">
      <c r="A74" s="2857">
        <v>2</v>
      </c>
      <c r="B74" s="3480"/>
      <c r="C74" s="2831" t="s">
        <v>2649</v>
      </c>
      <c r="D74" s="2831" t="s">
        <v>2650</v>
      </c>
      <c r="E74" s="2857">
        <v>0.2</v>
      </c>
      <c r="F74" s="2857">
        <v>25</v>
      </c>
    </row>
    <row r="75" spans="1:7" ht="24">
      <c r="A75" s="2857">
        <v>3</v>
      </c>
      <c r="B75" s="3480"/>
      <c r="C75" s="2831" t="s">
        <v>2651</v>
      </c>
      <c r="D75" s="2831" t="s">
        <v>2652</v>
      </c>
      <c r="E75" s="2857">
        <v>0.2</v>
      </c>
      <c r="F75" s="2857">
        <v>25</v>
      </c>
    </row>
    <row r="76" spans="1:7" ht="13.5">
      <c r="A76" s="2857">
        <v>4</v>
      </c>
      <c r="B76" s="3480"/>
      <c r="C76" s="2831" t="s">
        <v>2653</v>
      </c>
      <c r="D76" s="2831" t="s">
        <v>2654</v>
      </c>
      <c r="E76" s="2857">
        <v>0.15</v>
      </c>
      <c r="F76" s="2857">
        <v>20</v>
      </c>
    </row>
    <row r="77" spans="1:7" ht="24">
      <c r="A77" s="2857">
        <v>5</v>
      </c>
      <c r="B77" s="3480"/>
      <c r="C77" s="2831" t="s">
        <v>2655</v>
      </c>
      <c r="D77" s="2831" t="s">
        <v>2656</v>
      </c>
      <c r="E77" s="2857">
        <v>0.15</v>
      </c>
      <c r="F77" s="2857">
        <v>20</v>
      </c>
    </row>
    <row r="78" spans="1:7" ht="24">
      <c r="A78" s="2857">
        <v>6</v>
      </c>
      <c r="B78" s="3480"/>
      <c r="C78" s="2831" t="s">
        <v>2657</v>
      </c>
      <c r="D78" s="2831" t="s">
        <v>2658</v>
      </c>
      <c r="E78" s="2857">
        <v>0.15</v>
      </c>
      <c r="F78" s="2857">
        <v>20</v>
      </c>
    </row>
    <row r="79" spans="1:7" ht="24">
      <c r="A79" s="2857">
        <v>7</v>
      </c>
      <c r="B79" s="3480"/>
      <c r="C79" s="2831" t="s">
        <v>2659</v>
      </c>
      <c r="D79" s="2831" t="s">
        <v>2660</v>
      </c>
      <c r="E79" s="2857">
        <v>0.15</v>
      </c>
      <c r="F79" s="2857">
        <v>20</v>
      </c>
    </row>
    <row r="80" spans="1:7" ht="24">
      <c r="A80" s="2857">
        <v>8</v>
      </c>
      <c r="B80" s="3480"/>
      <c r="C80" s="2831" t="s">
        <v>2661</v>
      </c>
      <c r="D80" s="2831" t="s">
        <v>2662</v>
      </c>
      <c r="E80" s="2857">
        <v>0.1</v>
      </c>
      <c r="F80" s="2857">
        <v>15</v>
      </c>
    </row>
    <row r="81" spans="1:6" ht="24">
      <c r="A81" s="2857">
        <v>9</v>
      </c>
      <c r="B81" s="3480"/>
      <c r="C81" s="2831" t="s">
        <v>2663</v>
      </c>
      <c r="D81" s="2831" t="s">
        <v>2664</v>
      </c>
      <c r="E81" s="2857">
        <v>0.1</v>
      </c>
      <c r="F81" s="2857">
        <v>15</v>
      </c>
    </row>
    <row r="82" spans="1:6" ht="24">
      <c r="A82" s="2857">
        <v>10</v>
      </c>
      <c r="B82" s="3480"/>
      <c r="C82" s="2831" t="s">
        <v>2665</v>
      </c>
      <c r="D82" s="2831" t="s">
        <v>2666</v>
      </c>
      <c r="E82" s="2857">
        <v>0.1</v>
      </c>
      <c r="F82" s="2857">
        <v>15</v>
      </c>
    </row>
    <row r="83" spans="1:6" ht="24">
      <c r="A83" s="2857">
        <v>11</v>
      </c>
      <c r="B83" s="3480"/>
      <c r="C83" s="2831" t="s">
        <v>2667</v>
      </c>
      <c r="D83" s="2831" t="s">
        <v>2668</v>
      </c>
      <c r="E83" s="2857">
        <v>0.1</v>
      </c>
      <c r="F83" s="2857">
        <v>15</v>
      </c>
    </row>
    <row r="84" spans="1:6" ht="24">
      <c r="A84" s="2857">
        <v>12</v>
      </c>
      <c r="B84" s="3480"/>
      <c r="C84" s="2831" t="s">
        <v>2669</v>
      </c>
      <c r="D84" s="2831" t="s">
        <v>2670</v>
      </c>
      <c r="E84" s="2857">
        <v>0.1</v>
      </c>
      <c r="F84" s="2857">
        <v>15</v>
      </c>
    </row>
    <row r="85" spans="1:6" ht="13.5">
      <c r="A85" s="2857">
        <v>13</v>
      </c>
      <c r="B85" s="3480"/>
      <c r="C85" s="2831" t="s">
        <v>2671</v>
      </c>
      <c r="D85" s="2831" t="s">
        <v>2672</v>
      </c>
      <c r="E85" s="2857">
        <v>0.1</v>
      </c>
      <c r="F85" s="2857">
        <v>15</v>
      </c>
    </row>
    <row r="86" spans="1:6" ht="13.5">
      <c r="A86" s="2857">
        <v>14</v>
      </c>
      <c r="B86" s="3480"/>
      <c r="C86" s="2831" t="s">
        <v>2673</v>
      </c>
      <c r="D86" s="2831" t="s">
        <v>2674</v>
      </c>
      <c r="E86" s="2857">
        <v>0.1</v>
      </c>
      <c r="F86" s="2857">
        <v>15</v>
      </c>
    </row>
    <row r="87" spans="1:6" ht="13.5">
      <c r="A87" s="2857">
        <v>15</v>
      </c>
      <c r="B87" s="3480"/>
      <c r="C87" s="2831" t="s">
        <v>2675</v>
      </c>
      <c r="D87" s="2831" t="s">
        <v>2676</v>
      </c>
      <c r="E87" s="2857">
        <v>0.1</v>
      </c>
      <c r="F87" s="2857">
        <v>15</v>
      </c>
    </row>
    <row r="88" spans="1:6" ht="24">
      <c r="A88" s="2857">
        <v>16</v>
      </c>
      <c r="B88" s="3480"/>
      <c r="C88" s="2831" t="s">
        <v>2677</v>
      </c>
      <c r="D88" s="2831" t="s">
        <v>2678</v>
      </c>
      <c r="E88" s="2857">
        <v>0.1</v>
      </c>
      <c r="F88" s="2857">
        <v>15</v>
      </c>
    </row>
    <row r="89" spans="1:6" ht="24">
      <c r="A89" s="2857">
        <v>17</v>
      </c>
      <c r="B89" s="3489"/>
      <c r="C89" s="2831" t="s">
        <v>2679</v>
      </c>
      <c r="D89" s="2831" t="s">
        <v>2680</v>
      </c>
      <c r="E89" s="2857">
        <v>0.1</v>
      </c>
      <c r="F89" s="2857">
        <v>15</v>
      </c>
    </row>
    <row r="90" spans="1:6" ht="13.5">
      <c r="A90" s="2857">
        <v>18</v>
      </c>
      <c r="B90" s="3485" t="s">
        <v>2681</v>
      </c>
      <c r="C90" s="2831" t="s">
        <v>2682</v>
      </c>
      <c r="D90" s="2831" t="s">
        <v>2683</v>
      </c>
      <c r="E90" s="2857">
        <v>0.2</v>
      </c>
      <c r="F90" s="2857">
        <v>25</v>
      </c>
    </row>
    <row r="91" spans="1:6" ht="24">
      <c r="A91" s="2857">
        <v>19</v>
      </c>
      <c r="B91" s="3480"/>
      <c r="C91" s="2831" t="s">
        <v>2684</v>
      </c>
      <c r="D91" s="2831" t="s">
        <v>2685</v>
      </c>
      <c r="E91" s="2857">
        <v>0.2</v>
      </c>
      <c r="F91" s="2857">
        <v>25</v>
      </c>
    </row>
    <row r="92" spans="1:6" ht="13.5">
      <c r="A92" s="2857">
        <v>20</v>
      </c>
      <c r="B92" s="3480"/>
      <c r="C92" s="2831" t="s">
        <v>2686</v>
      </c>
      <c r="D92" s="2831" t="s">
        <v>2687</v>
      </c>
      <c r="E92" s="2857">
        <v>0.15</v>
      </c>
      <c r="F92" s="2857">
        <v>20</v>
      </c>
    </row>
    <row r="93" spans="1:6" ht="13.5">
      <c r="A93" s="2857">
        <v>21</v>
      </c>
      <c r="B93" s="3480"/>
      <c r="C93" s="2831" t="s">
        <v>2688</v>
      </c>
      <c r="D93" s="2831" t="s">
        <v>2689</v>
      </c>
      <c r="E93" s="2857">
        <v>0.15</v>
      </c>
      <c r="F93" s="2857">
        <v>20</v>
      </c>
    </row>
    <row r="94" spans="1:6" ht="13.5">
      <c r="A94" s="2857">
        <v>22</v>
      </c>
      <c r="B94" s="3480"/>
      <c r="C94" s="2831" t="s">
        <v>2690</v>
      </c>
      <c r="D94" s="2831" t="s">
        <v>2691</v>
      </c>
      <c r="E94" s="2857">
        <v>0.15</v>
      </c>
      <c r="F94" s="2857">
        <v>20</v>
      </c>
    </row>
    <row r="95" spans="1:6" ht="36">
      <c r="A95" s="2857">
        <v>23</v>
      </c>
      <c r="B95" s="3480"/>
      <c r="C95" s="2831" t="s">
        <v>2692</v>
      </c>
      <c r="D95" s="2831" t="s">
        <v>2693</v>
      </c>
      <c r="E95" s="2857">
        <v>0.15</v>
      </c>
      <c r="F95" s="2857">
        <v>20</v>
      </c>
    </row>
    <row r="96" spans="1:6" ht="13.5">
      <c r="A96" s="2857">
        <v>24</v>
      </c>
      <c r="B96" s="3480"/>
      <c r="C96" s="2831" t="s">
        <v>2694</v>
      </c>
      <c r="D96" s="2831" t="s">
        <v>2695</v>
      </c>
      <c r="E96" s="2857">
        <v>0.1</v>
      </c>
      <c r="F96" s="2857">
        <v>15</v>
      </c>
    </row>
    <row r="97" spans="1:6" ht="13.5">
      <c r="A97" s="2857">
        <v>25</v>
      </c>
      <c r="B97" s="3480"/>
      <c r="C97" s="2831" t="s">
        <v>2696</v>
      </c>
      <c r="D97" s="2831" t="s">
        <v>2697</v>
      </c>
      <c r="E97" s="2857">
        <v>0.1</v>
      </c>
      <c r="F97" s="2857">
        <v>15</v>
      </c>
    </row>
    <row r="98" spans="1:6" ht="24">
      <c r="A98" s="2857">
        <v>26</v>
      </c>
      <c r="B98" s="3480"/>
      <c r="C98" s="2831" t="s">
        <v>2698</v>
      </c>
      <c r="D98" s="2831" t="s">
        <v>2699</v>
      </c>
      <c r="E98" s="2857">
        <v>0.1</v>
      </c>
      <c r="F98" s="2857">
        <v>15</v>
      </c>
    </row>
    <row r="99" spans="1:6" ht="24">
      <c r="A99" s="2857">
        <v>27</v>
      </c>
      <c r="B99" s="3480"/>
      <c r="C99" s="2831" t="s">
        <v>2700</v>
      </c>
      <c r="D99" s="2831" t="s">
        <v>2701</v>
      </c>
      <c r="E99" s="2857">
        <v>0.1</v>
      </c>
      <c r="F99" s="2857">
        <v>15</v>
      </c>
    </row>
    <row r="100" spans="1:6" ht="13.5">
      <c r="A100" s="2857">
        <v>28</v>
      </c>
      <c r="B100" s="3480"/>
      <c r="C100" s="2831" t="s">
        <v>2702</v>
      </c>
      <c r="D100" s="2831" t="s">
        <v>2703</v>
      </c>
      <c r="E100" s="2857">
        <v>0.1</v>
      </c>
      <c r="F100" s="2857">
        <v>15</v>
      </c>
    </row>
    <row r="101" spans="1:6" ht="13.5">
      <c r="A101" s="2857">
        <v>29</v>
      </c>
      <c r="B101" s="3480"/>
      <c r="C101" s="2831" t="s">
        <v>2704</v>
      </c>
      <c r="D101" s="2831" t="s">
        <v>2705</v>
      </c>
      <c r="E101" s="2857">
        <v>0.1</v>
      </c>
      <c r="F101" s="2857">
        <v>15</v>
      </c>
    </row>
    <row r="102" spans="1:6" ht="13.5">
      <c r="A102" s="2857">
        <v>30</v>
      </c>
      <c r="B102" s="3480"/>
      <c r="C102" s="2831" t="s">
        <v>2706</v>
      </c>
      <c r="D102" s="2831" t="s">
        <v>2707</v>
      </c>
      <c r="E102" s="2857">
        <v>0.1</v>
      </c>
      <c r="F102" s="2857">
        <v>15</v>
      </c>
    </row>
    <row r="103" spans="1:6" ht="24">
      <c r="A103" s="2857">
        <v>31</v>
      </c>
      <c r="B103" s="3480"/>
      <c r="C103" s="2831" t="s">
        <v>2708</v>
      </c>
      <c r="D103" s="2831" t="s">
        <v>2709</v>
      </c>
      <c r="E103" s="2857">
        <v>0.1</v>
      </c>
      <c r="F103" s="2857">
        <v>15</v>
      </c>
    </row>
    <row r="104" spans="1:6" ht="24">
      <c r="A104" s="2857">
        <v>32</v>
      </c>
      <c r="B104" s="3480"/>
      <c r="C104" s="2831" t="s">
        <v>2710</v>
      </c>
      <c r="D104" s="2831" t="s">
        <v>2711</v>
      </c>
      <c r="E104" s="2857">
        <v>0.1</v>
      </c>
      <c r="F104" s="2857">
        <v>15</v>
      </c>
    </row>
    <row r="105" spans="1:6" ht="24">
      <c r="A105" s="2857">
        <v>33</v>
      </c>
      <c r="B105" s="3480"/>
      <c r="C105" s="2831" t="s">
        <v>2712</v>
      </c>
      <c r="D105" s="2831" t="s">
        <v>2713</v>
      </c>
      <c r="E105" s="2857">
        <v>0.1</v>
      </c>
      <c r="F105" s="2857">
        <v>15</v>
      </c>
    </row>
    <row r="106" spans="1:6" ht="24">
      <c r="A106" s="2857">
        <v>34</v>
      </c>
      <c r="B106" s="3489"/>
      <c r="C106" s="2831" t="s">
        <v>2714</v>
      </c>
      <c r="D106" s="2831" t="s">
        <v>2715</v>
      </c>
      <c r="E106" s="2857">
        <v>0.1</v>
      </c>
      <c r="F106" s="2857">
        <v>15</v>
      </c>
    </row>
    <row r="107" spans="1:6" ht="24">
      <c r="A107" s="2857">
        <v>35</v>
      </c>
      <c r="B107" s="3485" t="s">
        <v>2716</v>
      </c>
      <c r="C107" s="2857" t="s">
        <v>2717</v>
      </c>
      <c r="D107" s="2831" t="s">
        <v>2718</v>
      </c>
      <c r="E107" s="2857">
        <v>0.15</v>
      </c>
      <c r="F107" s="2857">
        <v>20</v>
      </c>
    </row>
    <row r="108" spans="1:6" ht="13.5">
      <c r="A108" s="2857">
        <v>36</v>
      </c>
      <c r="B108" s="3480"/>
      <c r="C108" s="2857" t="s">
        <v>2719</v>
      </c>
      <c r="D108" s="2831" t="s">
        <v>2720</v>
      </c>
      <c r="E108" s="2857">
        <v>0.15</v>
      </c>
      <c r="F108" s="2857">
        <v>20</v>
      </c>
    </row>
    <row r="109" spans="1:6" ht="13.5">
      <c r="A109" s="2857">
        <v>37</v>
      </c>
      <c r="B109" s="3480"/>
      <c r="C109" s="2857" t="s">
        <v>2721</v>
      </c>
      <c r="D109" s="2831" t="s">
        <v>2722</v>
      </c>
      <c r="E109" s="2857">
        <v>0.15</v>
      </c>
      <c r="F109" s="2857">
        <v>20</v>
      </c>
    </row>
    <row r="110" spans="1:6" ht="13.5">
      <c r="A110" s="2857">
        <v>38</v>
      </c>
      <c r="B110" s="3480"/>
      <c r="C110" s="2857" t="s">
        <v>2723</v>
      </c>
      <c r="D110" s="2831" t="s">
        <v>2724</v>
      </c>
      <c r="E110" s="2857">
        <v>0.1</v>
      </c>
      <c r="F110" s="2857">
        <v>15</v>
      </c>
    </row>
    <row r="111" spans="1:6" ht="24">
      <c r="A111" s="2857">
        <v>39</v>
      </c>
      <c r="B111" s="3480"/>
      <c r="C111" s="2857" t="s">
        <v>2725</v>
      </c>
      <c r="D111" s="2831" t="s">
        <v>2726</v>
      </c>
      <c r="E111" s="2857">
        <v>0.1</v>
      </c>
      <c r="F111" s="2857">
        <v>15</v>
      </c>
    </row>
    <row r="112" spans="1:6" ht="24">
      <c r="A112" s="2857">
        <v>40</v>
      </c>
      <c r="B112" s="3489"/>
      <c r="C112" s="2857" t="s">
        <v>2727</v>
      </c>
      <c r="D112" s="2831" t="s">
        <v>2728</v>
      </c>
      <c r="E112" s="2857">
        <v>0.1</v>
      </c>
      <c r="F112" s="2857">
        <v>15</v>
      </c>
    </row>
    <row r="113" spans="1:6" ht="13.5">
      <c r="A113" s="2857">
        <v>41</v>
      </c>
      <c r="B113" s="3490" t="s">
        <v>2729</v>
      </c>
      <c r="C113" s="2857" t="s">
        <v>2730</v>
      </c>
      <c r="D113" s="2831" t="s">
        <v>2731</v>
      </c>
      <c r="E113" s="2857">
        <v>0.1</v>
      </c>
      <c r="F113" s="2857">
        <v>15</v>
      </c>
    </row>
    <row r="114" spans="1:6" ht="13.5">
      <c r="A114" s="2857">
        <v>42</v>
      </c>
      <c r="B114" s="3490"/>
      <c r="C114" s="2857" t="s">
        <v>2732</v>
      </c>
      <c r="D114" s="2831" t="s">
        <v>2733</v>
      </c>
      <c r="E114" s="2857">
        <v>0.1</v>
      </c>
      <c r="F114" s="2857">
        <v>15</v>
      </c>
    </row>
    <row r="115" spans="1:6" ht="24">
      <c r="A115" s="2857">
        <v>43</v>
      </c>
      <c r="B115" s="3490"/>
      <c r="C115" s="2857" t="s">
        <v>2734</v>
      </c>
      <c r="D115" s="2831" t="s">
        <v>2735</v>
      </c>
      <c r="E115" s="2857">
        <v>0.1</v>
      </c>
      <c r="F115" s="2857">
        <v>15</v>
      </c>
    </row>
    <row r="116" spans="1:6" ht="13.5">
      <c r="A116" s="2857">
        <v>44</v>
      </c>
      <c r="B116" s="3485" t="s">
        <v>2736</v>
      </c>
      <c r="C116" s="2857" t="s">
        <v>2737</v>
      </c>
      <c r="D116" s="2831" t="s">
        <v>2738</v>
      </c>
      <c r="E116" s="2857">
        <v>0.1</v>
      </c>
      <c r="F116" s="2857">
        <v>15</v>
      </c>
    </row>
    <row r="117" spans="1:6" ht="24">
      <c r="A117" s="2857">
        <v>45</v>
      </c>
      <c r="B117" s="3489"/>
      <c r="C117" s="2831" t="s">
        <v>2739</v>
      </c>
      <c r="D117" s="2831" t="s">
        <v>2740</v>
      </c>
      <c r="E117" s="2857">
        <v>0.1</v>
      </c>
      <c r="F117" s="2857">
        <v>15</v>
      </c>
    </row>
    <row r="118" spans="1:6" ht="24">
      <c r="A118" s="2857">
        <v>46</v>
      </c>
      <c r="B118" s="3485" t="s">
        <v>2741</v>
      </c>
      <c r="C118" s="2857" t="s">
        <v>2742</v>
      </c>
      <c r="D118" s="2831" t="s">
        <v>2743</v>
      </c>
      <c r="E118" s="2857">
        <v>0.1</v>
      </c>
      <c r="F118" s="2857">
        <v>15</v>
      </c>
    </row>
    <row r="119" spans="1:6" ht="24">
      <c r="A119" s="2857">
        <v>47</v>
      </c>
      <c r="B119" s="3489"/>
      <c r="C119" s="2857" t="s">
        <v>2744</v>
      </c>
      <c r="D119" s="2831" t="s">
        <v>2745</v>
      </c>
      <c r="E119" s="2857">
        <v>0.1</v>
      </c>
      <c r="F119" s="2857">
        <v>15</v>
      </c>
    </row>
    <row r="120" spans="1:6" ht="13.5">
      <c r="A120" s="2857">
        <v>48</v>
      </c>
      <c r="B120" s="3485" t="s">
        <v>2746</v>
      </c>
      <c r="C120" s="2857" t="s">
        <v>2747</v>
      </c>
      <c r="D120" s="2831" t="s">
        <v>2748</v>
      </c>
      <c r="E120" s="2857">
        <v>0.1</v>
      </c>
      <c r="F120" s="2857">
        <v>15</v>
      </c>
    </row>
    <row r="121" spans="1:6" ht="13.5">
      <c r="A121" s="2857">
        <v>49</v>
      </c>
      <c r="B121" s="3489"/>
      <c r="C121" s="2857" t="s">
        <v>2749</v>
      </c>
      <c r="D121" s="2831" t="s">
        <v>2750</v>
      </c>
      <c r="E121" s="2857">
        <v>0.1</v>
      </c>
      <c r="F121" s="2857">
        <v>15</v>
      </c>
    </row>
    <row r="122" spans="1:6" ht="24">
      <c r="A122" s="2857">
        <v>50</v>
      </c>
      <c r="B122" s="3490" t="s">
        <v>2751</v>
      </c>
      <c r="C122" s="2857" t="s">
        <v>2752</v>
      </c>
      <c r="D122" s="2831" t="s">
        <v>2753</v>
      </c>
      <c r="E122" s="2857">
        <v>0.1</v>
      </c>
      <c r="F122" s="2857">
        <v>15</v>
      </c>
    </row>
    <row r="123" spans="1:6" ht="24">
      <c r="A123" s="2857">
        <v>51</v>
      </c>
      <c r="B123" s="3490"/>
      <c r="C123" s="2857" t="s">
        <v>2754</v>
      </c>
      <c r="D123" s="2831" t="s">
        <v>2755</v>
      </c>
      <c r="E123" s="2857">
        <v>0.1</v>
      </c>
      <c r="F123" s="2857">
        <v>15</v>
      </c>
    </row>
    <row r="124" spans="1:6" ht="24">
      <c r="A124" s="2857">
        <v>52</v>
      </c>
      <c r="B124" s="3490" t="s">
        <v>2756</v>
      </c>
      <c r="C124" s="2857" t="s">
        <v>2757</v>
      </c>
      <c r="D124" s="2831" t="s">
        <v>2758</v>
      </c>
      <c r="E124" s="2857">
        <v>0.1</v>
      </c>
      <c r="F124" s="2857">
        <v>15</v>
      </c>
    </row>
    <row r="125" spans="1:6" ht="24">
      <c r="A125" s="2857">
        <v>53</v>
      </c>
      <c r="B125" s="3490"/>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490" t="s">
        <v>2764</v>
      </c>
      <c r="C127" s="2857" t="s">
        <v>2765</v>
      </c>
      <c r="D127" s="2831" t="s">
        <v>2766</v>
      </c>
      <c r="E127" s="2857">
        <v>0.1</v>
      </c>
      <c r="F127" s="2857">
        <v>15</v>
      </c>
    </row>
    <row r="128" spans="1:6" ht="13.5">
      <c r="A128" s="2857">
        <v>56</v>
      </c>
      <c r="B128" s="3490"/>
      <c r="C128" s="2857" t="s">
        <v>2767</v>
      </c>
      <c r="D128" s="2831" t="s">
        <v>2768</v>
      </c>
      <c r="E128" s="2857">
        <v>0.1</v>
      </c>
      <c r="F128" s="2857">
        <v>15</v>
      </c>
    </row>
    <row r="129" spans="1:6" ht="24">
      <c r="A129" s="2857">
        <v>57</v>
      </c>
      <c r="B129" s="3490"/>
      <c r="C129" s="2857" t="s">
        <v>2769</v>
      </c>
      <c r="D129" s="2831" t="s">
        <v>2770</v>
      </c>
      <c r="E129" s="2857">
        <v>0.1</v>
      </c>
      <c r="F129" s="2857">
        <v>15</v>
      </c>
    </row>
    <row r="130" spans="1:6" ht="24">
      <c r="A130" s="2857">
        <v>58</v>
      </c>
      <c r="B130" s="3490" t="s">
        <v>2771</v>
      </c>
      <c r="C130" s="2857" t="s">
        <v>2772</v>
      </c>
      <c r="D130" s="2831" t="s">
        <v>2773</v>
      </c>
      <c r="E130" s="2857">
        <v>0.1</v>
      </c>
      <c r="F130" s="2857">
        <v>15</v>
      </c>
    </row>
    <row r="131" spans="1:6" ht="13.5">
      <c r="A131" s="2857">
        <v>59</v>
      </c>
      <c r="B131" s="3490"/>
      <c r="C131" s="2857" t="s">
        <v>2774</v>
      </c>
      <c r="D131" s="2831" t="s">
        <v>2775</v>
      </c>
      <c r="E131" s="2857">
        <v>0.1</v>
      </c>
      <c r="F131" s="2857">
        <v>15</v>
      </c>
    </row>
    <row r="132" spans="1:6" ht="13.5">
      <c r="A132" s="2857">
        <v>60</v>
      </c>
      <c r="B132" s="3485" t="s">
        <v>2776</v>
      </c>
      <c r="C132" s="2857" t="s">
        <v>2777</v>
      </c>
      <c r="D132" s="2831" t="s">
        <v>2778</v>
      </c>
      <c r="E132" s="2857">
        <v>0.1</v>
      </c>
      <c r="F132" s="2857">
        <v>15</v>
      </c>
    </row>
    <row r="133" spans="1:6" ht="13.5">
      <c r="A133" s="2857">
        <v>61</v>
      </c>
      <c r="B133" s="3489"/>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490" t="s">
        <v>2784</v>
      </c>
      <c r="C135" s="2857" t="s">
        <v>2785</v>
      </c>
      <c r="D135" s="2831" t="s">
        <v>2786</v>
      </c>
      <c r="E135" s="2857">
        <v>0.1</v>
      </c>
      <c r="F135" s="2857">
        <v>15</v>
      </c>
    </row>
    <row r="136" spans="1:6" ht="13.5">
      <c r="A136" s="2857">
        <v>64</v>
      </c>
      <c r="B136" s="3490"/>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28377</v>
      </c>
      <c r="C2" s="2" t="s">
        <v>106</v>
      </c>
      <c r="D2" s="191"/>
      <c r="E2" s="191"/>
      <c r="F2" s="191"/>
      <c r="G2" s="191"/>
    </row>
    <row r="3" spans="1:7" s="192" customFormat="1" ht="18" customHeight="1" thickBot="1">
      <c r="A3" s="195" t="s">
        <v>58</v>
      </c>
      <c r="B3" s="196">
        <f ca="1">ROUND(B2*10000/'数据-汇总表'!E3,0)</f>
        <v>268150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21</v>
      </c>
      <c r="D10" s="795">
        <f>'数据-汇总表'!E6</f>
        <v>1058.25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21</v>
      </c>
      <c r="D19" s="204">
        <f>'数据-汇总表'!E3</f>
        <v>1058.25</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1318</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3188</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3188</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27903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476</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21</v>
      </c>
      <c r="D37" s="209">
        <f>'数据-汇总表'!E3</f>
        <v>1058.25</v>
      </c>
      <c r="E37" s="241">
        <f>'数据-取费表'!B35</f>
        <v>200</v>
      </c>
      <c r="F37" s="251"/>
      <c r="G37" s="253" t="s">
        <v>92</v>
      </c>
    </row>
    <row r="38" spans="1:7" ht="13.5" customHeight="1">
      <c r="A38" s="734" t="s">
        <v>354</v>
      </c>
      <c r="B38" s="207" t="s">
        <v>36</v>
      </c>
      <c r="C38" s="212">
        <f>ROUND(C34*F38,0)</f>
        <v>10</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16</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81</v>
      </c>
      <c r="D45" s="227">
        <f>C47</f>
        <v>3.0000000000000001E-3</v>
      </c>
      <c r="E45" s="228" t="s">
        <v>102</v>
      </c>
      <c r="F45" s="238"/>
      <c r="G45" s="239" t="s">
        <v>434</v>
      </c>
    </row>
    <row r="46" spans="1:7" s="206" customFormat="1" ht="13.5" customHeight="1">
      <c r="A46" s="734" t="s">
        <v>349</v>
      </c>
      <c r="B46" s="240" t="s">
        <v>427</v>
      </c>
      <c r="C46" s="241">
        <f>ROUND((C33+C39)*F27,0)</f>
        <v>81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687</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474</v>
      </c>
      <c r="D51" s="224"/>
      <c r="E51" s="224"/>
      <c r="F51" s="256"/>
      <c r="G51" s="226" t="s">
        <v>37</v>
      </c>
    </row>
    <row r="52" spans="1:7" s="200" customFormat="1" ht="16.5" thickBot="1">
      <c r="A52" s="257" t="s">
        <v>38</v>
      </c>
      <c r="B52" s="258"/>
      <c r="C52" s="259">
        <f ca="1">C31+C51</f>
        <v>28377</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91"/>
      <c r="B4" s="3175" t="s">
        <v>917</v>
      </c>
      <c r="C4" s="3175"/>
      <c r="D4" s="3175"/>
      <c r="E4" s="1391"/>
    </row>
    <row r="5" spans="1:5" ht="16.5" thickTop="1">
      <c r="B5" s="3173" t="s">
        <v>909</v>
      </c>
      <c r="C5" s="1392" t="s">
        <v>910</v>
      </c>
      <c r="D5" s="797">
        <f ca="1">结果表!H101</f>
        <v>3555</v>
      </c>
    </row>
    <row r="6" spans="1:5" ht="15.75">
      <c r="B6" s="3173"/>
      <c r="C6" s="1392" t="s">
        <v>911</v>
      </c>
      <c r="D6" s="797" t="str">
        <f ca="1">NUMBERSTRING(INT(D5*10000),2)&amp;"元整"</f>
        <v>叁仟伍佰伍拾伍万元整</v>
      </c>
    </row>
    <row r="7" spans="1:5" ht="15.75">
      <c r="B7" s="3178"/>
      <c r="C7" s="1393" t="s">
        <v>912</v>
      </c>
      <c r="D7" s="798">
        <f ca="1">结果表!H102</f>
        <v>33590</v>
      </c>
    </row>
    <row r="8" spans="1:5" ht="15.75">
      <c r="B8" s="3179" t="str">
        <f>结果表!E103</f>
        <v>2.估价师知悉的法定优先受偿款</v>
      </c>
      <c r="C8" s="1394" t="s">
        <v>913</v>
      </c>
      <c r="D8" s="798">
        <f>结果表!H103</f>
        <v>0</v>
      </c>
    </row>
    <row r="9" spans="1:5" ht="15.75">
      <c r="B9" s="318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2" t="str">
        <f>结果表!E107</f>
        <v>3.房地产抵押价值</v>
      </c>
      <c r="C13" s="1397" t="s">
        <v>910</v>
      </c>
      <c r="D13" s="800">
        <f ca="1">结果表!H107</f>
        <v>3555</v>
      </c>
    </row>
    <row r="14" spans="1:5" ht="15.75">
      <c r="B14" s="3173"/>
      <c r="C14" s="1392" t="s">
        <v>911</v>
      </c>
      <c r="D14" s="797" t="str">
        <f ca="1">NUMBERSTRING(INT(D13*10000),2)&amp;"元整"</f>
        <v>叁仟伍佰伍拾伍万元整</v>
      </c>
    </row>
    <row r="15" spans="1:5" ht="15">
      <c r="B15" s="3178"/>
      <c r="C15" s="1393" t="s">
        <v>921</v>
      </c>
      <c r="D15" s="806">
        <f ca="1">结果表!H108</f>
        <v>33590</v>
      </c>
    </row>
    <row r="16" spans="1:5" ht="15">
      <c r="B16" s="3179" t="str">
        <f>结果表!E109</f>
        <v>——</v>
      </c>
      <c r="C16" s="1397" t="s">
        <v>922</v>
      </c>
      <c r="D16" s="1398" t="str">
        <f>结果表!H109</f>
        <v>——</v>
      </c>
    </row>
    <row r="17" spans="1:5" ht="15.75">
      <c r="B17" s="3180"/>
      <c r="C17" s="1392" t="s">
        <v>923</v>
      </c>
      <c r="D17" s="797" t="e">
        <f>NUMBERSTRING(INT(D16*10000),2)&amp;"元整"</f>
        <v>#VALUE!</v>
      </c>
    </row>
    <row r="18" spans="1:5" ht="15">
      <c r="B18" s="3181"/>
      <c r="C18" s="1393" t="s">
        <v>912</v>
      </c>
      <c r="D18" s="806" t="str">
        <f>结果表!H110</f>
        <v>——</v>
      </c>
    </row>
    <row r="19" spans="1:5" ht="15.75">
      <c r="B19" s="3172" t="str">
        <f>结果表!E111</f>
        <v>——</v>
      </c>
      <c r="C19" s="1397" t="s">
        <v>910</v>
      </c>
      <c r="D19" s="798" t="str">
        <f>结果表!H111</f>
        <v>——</v>
      </c>
    </row>
    <row r="20" spans="1:5" ht="15.75">
      <c r="B20" s="3173"/>
      <c r="C20" s="1392" t="s">
        <v>923</v>
      </c>
      <c r="D20" s="797" t="e">
        <f>NUMBERSTRING(INT(D19*10000),2)&amp;"元整"</f>
        <v>#VALUE!</v>
      </c>
    </row>
    <row r="21" spans="1:5" ht="15.75" thickBot="1">
      <c r="B21" s="317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1" t="s">
        <v>3176</v>
      </c>
      <c r="B1" s="3491"/>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2" t="s">
        <v>3227</v>
      </c>
      <c r="B1" s="3492"/>
      <c r="C1" s="3492"/>
      <c r="D1" s="3492"/>
      <c r="E1" s="3492"/>
      <c r="F1" s="3493"/>
    </row>
    <row r="2" spans="1:6">
      <c r="A2" s="3002" t="s">
        <v>3228</v>
      </c>
    </row>
    <row r="3" spans="1:6">
      <c r="A3" s="3002" t="s">
        <v>3229</v>
      </c>
      <c r="F3" s="3003" t="s">
        <v>3230</v>
      </c>
    </row>
    <row r="4" spans="1:6">
      <c r="A4" s="3004" t="s">
        <v>672</v>
      </c>
      <c r="B4" s="3004" t="s">
        <v>673</v>
      </c>
      <c r="C4" s="3004" t="s">
        <v>21</v>
      </c>
      <c r="D4" s="3004" t="s">
        <v>674</v>
      </c>
      <c r="E4" s="3004" t="s">
        <v>3</v>
      </c>
      <c r="F4" s="3004" t="s">
        <v>3231</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X30" sqref="X30"/>
    </sheetView>
  </sheetViews>
  <sheetFormatPr defaultRowHeight="13.5"/>
  <cols>
    <col min="1" max="1" width="13.875" customWidth="1"/>
    <col min="11" max="17" width="0" hidden="1" customWidth="1"/>
    <col min="25" max="30" width="0" hidden="1" customWidth="1"/>
  </cols>
  <sheetData>
    <row r="1" spans="1:44">
      <c r="A1" s="2937">
        <f>基准地价修正!G23</f>
        <v>45757</v>
      </c>
      <c r="B1" s="2929" t="s">
        <v>3373</v>
      </c>
      <c r="C1" s="2930"/>
      <c r="D1" s="2930"/>
      <c r="E1" s="2930"/>
      <c r="F1" s="2930"/>
      <c r="G1" s="2930"/>
      <c r="H1" s="2930"/>
      <c r="I1" s="2930"/>
      <c r="J1" s="2896"/>
      <c r="K1" s="2930" t="s">
        <v>454</v>
      </c>
      <c r="L1" s="2930"/>
      <c r="M1" s="2930"/>
      <c r="N1" s="2930"/>
      <c r="O1" s="2930"/>
      <c r="P1" s="2930"/>
      <c r="Q1" s="2896"/>
      <c r="R1" s="3494" t="s">
        <v>456</v>
      </c>
      <c r="S1" s="3495"/>
      <c r="T1" s="3495"/>
      <c r="U1" s="3495"/>
      <c r="V1" s="3495"/>
      <c r="W1" s="3495"/>
      <c r="X1" s="2896"/>
      <c r="Y1" s="3494" t="s">
        <v>457</v>
      </c>
      <c r="Z1" s="3495"/>
      <c r="AA1" s="3495"/>
      <c r="AB1" s="3495"/>
      <c r="AC1" s="3495"/>
      <c r="AD1" s="3495"/>
    </row>
    <row r="2" spans="1:44" s="2010" customFormat="1" ht="14.2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3398</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5" t="s">
        <v>2820</v>
      </c>
    </row>
    <row r="29" spans="1:44" s="2009" customFormat="1" ht="12.75">
      <c r="B29" s="2929" t="s">
        <v>3374</v>
      </c>
      <c r="C29" s="2930"/>
      <c r="D29" s="2930"/>
      <c r="E29" s="2930"/>
      <c r="F29" s="2930"/>
      <c r="G29" s="2930"/>
      <c r="H29" s="2930"/>
      <c r="I29" s="2930"/>
      <c r="J29" s="2896"/>
      <c r="K29" s="2930" t="s">
        <v>2821</v>
      </c>
      <c r="L29" s="2930"/>
      <c r="M29" s="2930"/>
      <c r="N29" s="2930"/>
      <c r="O29" s="2930"/>
      <c r="P29" s="2930"/>
      <c r="Q29" s="2896"/>
      <c r="R29" s="3494" t="s">
        <v>2822</v>
      </c>
      <c r="S29" s="3495"/>
      <c r="T29" s="3495"/>
      <c r="U29" s="3495"/>
      <c r="V29" s="3495"/>
      <c r="W29" s="3495"/>
      <c r="X29" s="2896"/>
      <c r="Y29" s="3494" t="s">
        <v>2823</v>
      </c>
      <c r="Z29" s="3495"/>
      <c r="AA29" s="3495"/>
      <c r="AB29" s="3495"/>
      <c r="AC29" s="3495"/>
      <c r="AD29" s="3495"/>
    </row>
    <row r="30" spans="1:44" s="2010" customFormat="1" ht="14.2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3398</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7" t="s">
        <v>2834</v>
      </c>
      <c r="B1" s="3507"/>
      <c r="C1" s="3507"/>
      <c r="D1" s="3507"/>
      <c r="E1" s="3507"/>
      <c r="F1" s="3507"/>
      <c r="G1" s="3508"/>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05"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06"/>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45757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801" t="s">
        <v>925</v>
      </c>
      <c r="E3" s="801" t="s">
        <v>931</v>
      </c>
      <c r="F3" s="801" t="s">
        <v>925</v>
      </c>
      <c r="G3" s="801" t="s">
        <v>926</v>
      </c>
      <c r="H3" s="801" t="s">
        <v>925</v>
      </c>
      <c r="I3" s="801" t="s">
        <v>926</v>
      </c>
    </row>
    <row r="4" spans="1:9" ht="15">
      <c r="A4" s="1403" t="str">
        <f>项目基本情况!S2</f>
        <v>房地产</v>
      </c>
      <c r="B4" s="801">
        <f>项目基本情况!C17</f>
        <v>1058.25</v>
      </c>
      <c r="C4" s="801">
        <f>项目基本情况!C18</f>
        <v>0</v>
      </c>
      <c r="D4" s="801" t="e">
        <f ca="1">结果表!D118</f>
        <v>#REF!</v>
      </c>
      <c r="E4" s="801" t="e">
        <f ca="1">结果表!E118</f>
        <v>#REF!</v>
      </c>
      <c r="F4" s="801" t="e">
        <f ca="1">结果表!F118</f>
        <v>#REF!</v>
      </c>
      <c r="G4" s="801" t="e">
        <f ca="1">结果表!G118</f>
        <v>#REF!</v>
      </c>
      <c r="H4" s="801">
        <f ca="1">结果表!H118</f>
        <v>3555</v>
      </c>
      <c r="I4" s="801">
        <f ca="1">结果表!I118</f>
        <v>33590</v>
      </c>
    </row>
    <row r="5" spans="1:9" ht="30" customHeight="1">
      <c r="A5" s="3184" t="s">
        <v>927</v>
      </c>
      <c r="B5" s="3184"/>
      <c r="C5" s="3184"/>
      <c r="D5" s="3184" t="e">
        <f ca="1">结果表!D119</f>
        <v>#REF!</v>
      </c>
      <c r="E5" s="3184"/>
      <c r="F5" s="3184" t="e">
        <f ca="1">结果表!F119</f>
        <v>#REF!</v>
      </c>
      <c r="G5" s="3184"/>
      <c r="H5" s="3184" t="str">
        <f ca="1">结果表!H119</f>
        <v>叁仟伍佰伍拾伍万元整</v>
      </c>
      <c r="I5" s="3184"/>
    </row>
    <row r="6" spans="1:9" ht="15.75">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75">
      <c r="A8" s="3185" t="str">
        <f>结果表!A122</f>
        <v>房地产抵押价值</v>
      </c>
      <c r="B8" s="3185"/>
      <c r="C8" s="3185"/>
      <c r="D8" s="3185">
        <f ca="1">结果表!D122</f>
        <v>3555</v>
      </c>
      <c r="E8" s="3185"/>
      <c r="F8" s="3185"/>
      <c r="G8" s="3185"/>
      <c r="H8" s="3185"/>
      <c r="I8" s="3185"/>
    </row>
    <row r="9" spans="1:9" ht="15">
      <c r="A9" s="3184" t="s">
        <v>927</v>
      </c>
      <c r="B9" s="3184"/>
      <c r="C9" s="3184"/>
      <c r="D9" s="3184" t="str">
        <f ca="1">结果表!D123</f>
        <v>叁仟伍佰伍拾伍万元整</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75">
      <c r="A12" s="3185" t="str">
        <f>结果表!A126</f>
        <v/>
      </c>
      <c r="B12" s="3185"/>
      <c r="C12" s="3185"/>
      <c r="D12" s="3185" t="str">
        <f>结果表!D126</f>
        <v>——</v>
      </c>
      <c r="E12" s="3185"/>
      <c r="F12" s="3185"/>
      <c r="G12" s="3185"/>
      <c r="H12" s="3185"/>
      <c r="I12" s="3185"/>
    </row>
    <row r="13" spans="1:9" ht="15.75" thickBot="1">
      <c r="A13" s="3189" t="s">
        <v>927</v>
      </c>
      <c r="B13" s="3189"/>
      <c r="C13" s="3189"/>
      <c r="D13" s="3189" t="e">
        <f>结果表!D127</f>
        <v>#VALUE!</v>
      </c>
      <c r="E13" s="3189"/>
      <c r="F13" s="3189"/>
      <c r="G13" s="3189"/>
      <c r="H13" s="3189"/>
      <c r="I13" s="3189"/>
    </row>
    <row r="14" spans="1:9" ht="15" thickTop="1">
      <c r="A14" s="3190" t="s">
        <v>932</v>
      </c>
      <c r="B14" s="3190"/>
      <c r="C14" s="3190"/>
      <c r="D14" s="3190"/>
      <c r="E14" s="3190"/>
      <c r="F14" s="3190"/>
      <c r="G14" s="3190"/>
      <c r="H14" s="3190"/>
      <c r="I14" s="319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1" t="s">
        <v>949</v>
      </c>
      <c r="B1" s="3191"/>
      <c r="C1" s="3191"/>
      <c r="D1" s="3191"/>
    </row>
    <row r="2" spans="1:4" ht="18">
      <c r="A2" s="3192" t="s">
        <v>933</v>
      </c>
      <c r="B2" s="3192"/>
      <c r="C2" s="3192"/>
      <c r="D2" s="3192"/>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2" t="s">
        <v>939</v>
      </c>
      <c r="B6" s="3192"/>
      <c r="C6" s="3192"/>
      <c r="D6" s="319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3"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5" t="s">
        <v>956</v>
      </c>
      <c r="B15" s="3200" t="s">
        <v>109</v>
      </c>
      <c r="C15" s="3201"/>
    </row>
    <row r="16" spans="1:7" ht="13.5">
      <c r="A16" s="3206"/>
      <c r="B16" s="3200" t="s">
        <v>42</v>
      </c>
      <c r="C16" s="3201"/>
    </row>
    <row r="17" spans="1:3" ht="13.5">
      <c r="A17" s="3206"/>
      <c r="B17" s="3203" t="s">
        <v>957</v>
      </c>
      <c r="C17" s="1429" t="s">
        <v>956</v>
      </c>
    </row>
    <row r="18" spans="1:3" ht="13.5">
      <c r="A18" s="3206"/>
      <c r="B18" s="3203"/>
      <c r="C18" s="1429" t="s">
        <v>958</v>
      </c>
    </row>
    <row r="19" spans="1:3" ht="13.5">
      <c r="A19" s="3206"/>
      <c r="B19" s="3203"/>
      <c r="C19" s="1429" t="s">
        <v>959</v>
      </c>
    </row>
    <row r="20" spans="1:3" ht="13.5">
      <c r="A20" s="3207"/>
      <c r="B20" s="3202" t="s">
        <v>960</v>
      </c>
      <c r="C20" s="3201"/>
    </row>
    <row r="21" spans="1:3" ht="13.5">
      <c r="A21" s="1430" t="s">
        <v>961</v>
      </c>
      <c r="B21" s="1431"/>
      <c r="C21" s="1432"/>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29" t="s">
        <v>967</v>
      </c>
    </row>
    <row r="26" spans="1:3" ht="13.5">
      <c r="A26" s="3204"/>
      <c r="B26" s="3203"/>
      <c r="C26" s="1429" t="s">
        <v>968</v>
      </c>
    </row>
    <row r="27" spans="1:3" ht="13.5">
      <c r="A27" s="3204"/>
      <c r="B27" s="3203"/>
      <c r="C27" s="1429" t="s">
        <v>969</v>
      </c>
    </row>
    <row r="28" spans="1:3" ht="13.5">
      <c r="A28" s="3204"/>
      <c r="B28" s="3203"/>
      <c r="C28" s="1429" t="s">
        <v>970</v>
      </c>
    </row>
    <row r="29" spans="1:3" ht="13.5">
      <c r="A29" s="3204"/>
      <c r="B29" s="3203"/>
      <c r="C29" s="1429" t="s">
        <v>971</v>
      </c>
    </row>
    <row r="30" spans="1:3" ht="13.5">
      <c r="A30" s="3204"/>
      <c r="B30" s="3203"/>
      <c r="C30" s="1429" t="s">
        <v>972</v>
      </c>
    </row>
    <row r="31" spans="1:3" ht="13.5">
      <c r="A31" s="3204"/>
      <c r="B31" s="3203"/>
      <c r="C31" s="1429" t="s">
        <v>973</v>
      </c>
    </row>
    <row r="32" spans="1:3" ht="13.5">
      <c r="A32" s="3204"/>
      <c r="B32" s="3203"/>
      <c r="C32" s="1429" t="s">
        <v>974</v>
      </c>
    </row>
    <row r="33" spans="1:3" ht="13.5">
      <c r="A33" s="3204"/>
      <c r="B33" s="320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45758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2025-04-11T08:30:51Z</dcterms:modified>
</cp:coreProperties>
</file>