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45" windowWidth="19320" windowHeight="15330" tabRatio="899" firstSheet="25"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标准房屋）" sheetId="84" r:id="rId26"/>
    <sheet name="比较法-住宅（建欣苑一里）"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住宅（建欣苑三里）" sheetId="82" r:id="rId47"/>
    <sheet name="比较法-住宅（建欣苑四里）" sheetId="83" r:id="rId48"/>
    <sheet name="成交案例" sheetId="80" r:id="rId49"/>
    <sheet name="参数" sheetId="81"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'比较法-住宅（标准房屋）'!$A$1:$L$49</definedName>
    <definedName name="_xlnm._FilterDatabase" localSheetId="46" hidden="1">'比较法-住宅（建欣苑三里）'!$A$1:$L$49</definedName>
    <definedName name="_xlnm._FilterDatabase" localSheetId="47" hidden="1">'比较法-住宅（建欣苑四里）'!$A$1:$L$49</definedName>
    <definedName name="_xlnm._FilterDatabase" localSheetId="26" hidden="1">'比较法-住宅（建欣苑一里）'!$A$1:$L$49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GoBack" localSheetId="49">参数!$B$3</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'比较法-住宅（标准房屋）'!$A$1:$K$54</definedName>
    <definedName name="_xlnm.Print_Area" localSheetId="46">'比较法-住宅（建欣苑三里）'!$A$1:$K$54,'比较法-住宅（建欣苑三里）'!$A$57:$M$131</definedName>
    <definedName name="_xlnm.Print_Area" localSheetId="47">'比较法-住宅（建欣苑四里）'!$A$1:$K$54,'比较法-住宅（建欣苑四里）'!$A$57:$M$131</definedName>
    <definedName name="_xlnm.Print_Area" localSheetId="26">'比较法-住宅（建欣苑一里）'!$A$1:$K$54,'比较法-住宅（建欣苑一里）'!$A$57:$M$131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'比较法-住宅（标准房屋）'!$B$88:$M$88</definedName>
    <definedName name="住宅朝向" localSheetId="46">'比较法-住宅（建欣苑三里）'!$B$88:$M$88</definedName>
    <definedName name="住宅朝向" localSheetId="47">'比较法-住宅（建欣苑四里）'!$B$88:$M$88</definedName>
    <definedName name="住宅朝向">'比较法-住宅（建欣苑一里）'!$B$88:$M$88</definedName>
    <definedName name="住宅房型" localSheetId="25">'比较法-住宅（标准房屋）'!$B$118:$M$118</definedName>
    <definedName name="住宅房型" localSheetId="46">'比较法-住宅（建欣苑三里）'!$B$118:$M$118</definedName>
    <definedName name="住宅房型" localSheetId="47">'比较法-住宅（建欣苑四里）'!$B$118:$M$118</definedName>
    <definedName name="住宅房型">'比较法-住宅（建欣苑一里）'!$B$118:$M$118</definedName>
    <definedName name="住宅公共部分装修" localSheetId="25">'比较法-住宅（标准房屋）'!$B$109:$M$109</definedName>
    <definedName name="住宅公共部分装修" localSheetId="46">'比较法-住宅（建欣苑三里）'!$B$109:$M$109</definedName>
    <definedName name="住宅公共部分装修" localSheetId="47">'比较法-住宅（建欣苑四里）'!$B$109:$M$109</definedName>
    <definedName name="住宅公共部分装修">'比较法-住宅（建欣苑一里）'!$B$109:$M$109</definedName>
    <definedName name="住宅基础设施水平" localSheetId="25">'比较法-住宅（标准房屋）'!$B$116:$M$116</definedName>
    <definedName name="住宅基础设施水平" localSheetId="46">'比较法-住宅（建欣苑三里）'!$B$116:$M$116</definedName>
    <definedName name="住宅基础设施水平" localSheetId="47">'比较法-住宅（建欣苑四里）'!$B$116:$M$116</definedName>
    <definedName name="住宅基础设施水平">'比较法-住宅（建欣苑一里）'!$B$116:$M$116</definedName>
    <definedName name="住宅建筑结构" localSheetId="25">'比较法-住宅（标准房屋）'!$B$105:$M$105</definedName>
    <definedName name="住宅建筑结构" localSheetId="46">'比较法-住宅（建欣苑三里）'!$B$105:$M$105</definedName>
    <definedName name="住宅建筑结构" localSheetId="47">'比较法-住宅（建欣苑四里）'!$B$105:$M$105</definedName>
    <definedName name="住宅建筑结构">'比较法-住宅（建欣苑一里）'!$B$105:$M$105</definedName>
    <definedName name="住宅建筑类型" localSheetId="25">'比较法-住宅（标准房屋）'!$B$100:$M$100</definedName>
    <definedName name="住宅建筑类型" localSheetId="46">'比较法-住宅（建欣苑三里）'!$B$100:$M$100</definedName>
    <definedName name="住宅建筑类型" localSheetId="47">'比较法-住宅（建欣苑四里）'!$B$100:$M$100</definedName>
    <definedName name="住宅建筑类型">'比较法-住宅（建欣苑一里）'!$B$100:$M$100</definedName>
    <definedName name="住宅建筑品质" localSheetId="25">'比较法-住宅（标准房屋）'!$B$107:$M$107</definedName>
    <definedName name="住宅建筑品质" localSheetId="46">'比较法-住宅（建欣苑三里）'!$B$107:$M$107</definedName>
    <definedName name="住宅建筑品质" localSheetId="47">'比较法-住宅（建欣苑四里）'!$B$107:$M$107</definedName>
    <definedName name="住宅建筑品质">'比较法-住宅（建欣苑一里）'!$B$107:$M$107</definedName>
    <definedName name="住宅交易情况" localSheetId="25">'比较法-住宅（标准房屋）'!$A$61:$M$61</definedName>
    <definedName name="住宅交易情况" localSheetId="46">'比较法-住宅（建欣苑三里）'!$A$61:$M$61</definedName>
    <definedName name="住宅交易情况" localSheetId="47">'比较法-住宅（建欣苑四里）'!$A$61:$M$61</definedName>
    <definedName name="住宅交易情况">'比较法-住宅（建欣苑一里）'!$A$61:$M$61</definedName>
    <definedName name="住宅楼层" localSheetId="25">'比较法-住宅（标准房屋）'!$B$86:$M$86</definedName>
    <definedName name="住宅楼层" localSheetId="46">'比较法-住宅（建欣苑三里）'!$B$86:$M$86</definedName>
    <definedName name="住宅楼层" localSheetId="47">'比较法-住宅（建欣苑四里）'!$B$86:$M$86</definedName>
    <definedName name="住宅楼层">'比较法-住宅（建欣苑一里）'!$B$86:$M$86</definedName>
    <definedName name="住宅内部装修" localSheetId="25">'比较法-住宅（标准房屋）'!$B$122:$M$122</definedName>
    <definedName name="住宅内部装修" localSheetId="46">'比较法-住宅（建欣苑三里）'!$B$122:$M$122</definedName>
    <definedName name="住宅内部装修" localSheetId="47">'比较法-住宅（建欣苑四里）'!$B$122:$M$122</definedName>
    <definedName name="住宅内部装修">'比较法-住宅（建欣苑一里）'!$B$122:$M$122</definedName>
    <definedName name="住宅物业管理" localSheetId="25">'比较法-住宅（标准房屋）'!$B$114:$M$114</definedName>
    <definedName name="住宅物业管理" localSheetId="46">'比较法-住宅（建欣苑三里）'!$B$114:$M$114</definedName>
    <definedName name="住宅物业管理" localSheetId="47">'比较法-住宅（建欣苑四里）'!$B$114:$M$114</definedName>
    <definedName name="住宅物业管理">'比较法-住宅（建欣苑一里）'!$B$114:$M$114</definedName>
    <definedName name="住宅用途" localSheetId="25">'比较法-住宅（标准房屋）'!$B$63:$M$63</definedName>
    <definedName name="住宅用途" localSheetId="46">'比较法-住宅（建欣苑三里）'!$B$63:$M$63</definedName>
    <definedName name="住宅用途" localSheetId="47">'比较法-住宅（建欣苑四里）'!$B$63:$M$63</definedName>
    <definedName name="住宅用途">'比较法-住宅（建欣苑一里）'!$B$63:$M$63</definedName>
    <definedName name="住宅主力户型面积" localSheetId="25">'比较法-住宅（标准房屋）'!$B$120:$M$120</definedName>
    <definedName name="住宅主力户型面积" localSheetId="46">'比较法-住宅（建欣苑三里）'!$B$120:$M$120</definedName>
    <definedName name="住宅主力户型面积" localSheetId="47">'比较法-住宅（建欣苑四里）'!$B$120:$M$120</definedName>
    <definedName name="住宅主力户型面积">'比较法-住宅（建欣苑一里）'!$B$120:$M$120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3" i="83" l="1"/>
  <c r="G33" i="83"/>
  <c r="E33" i="83"/>
  <c r="I29" i="83"/>
  <c r="I28" i="83"/>
  <c r="I27" i="83"/>
  <c r="G29" i="83"/>
  <c r="G28" i="83"/>
  <c r="G27" i="83"/>
  <c r="E29" i="83"/>
  <c r="E28" i="83"/>
  <c r="E27" i="83"/>
  <c r="I14" i="82"/>
  <c r="I29" i="82"/>
  <c r="I28" i="82"/>
  <c r="I27" i="82"/>
  <c r="G29" i="82"/>
  <c r="G28" i="82"/>
  <c r="G27" i="82"/>
  <c r="E29" i="82"/>
  <c r="E28" i="82"/>
  <c r="E27" i="82"/>
  <c r="G27" i="21"/>
  <c r="G29" i="21"/>
  <c r="G28" i="21"/>
  <c r="E29" i="21"/>
  <c r="E28" i="21"/>
  <c r="E27" i="21"/>
  <c r="I29" i="21"/>
  <c r="I28" i="21"/>
  <c r="I27" i="21"/>
  <c r="G29" i="81" l="1"/>
  <c r="H29" i="81"/>
  <c r="I29" i="81"/>
  <c r="J29" i="81"/>
  <c r="K29" i="81"/>
  <c r="L29" i="81"/>
  <c r="M29" i="81"/>
  <c r="N29" i="81"/>
  <c r="O29" i="81"/>
  <c r="P29" i="81"/>
  <c r="Q29" i="81"/>
  <c r="R29" i="81"/>
  <c r="S29" i="81"/>
  <c r="I33" i="82" l="1"/>
  <c r="G33" i="21"/>
  <c r="G47" i="21" l="1"/>
  <c r="G7" i="21"/>
  <c r="I47" i="82"/>
  <c r="I7" i="82"/>
  <c r="I47" i="21" l="1"/>
  <c r="I33" i="21"/>
  <c r="I14" i="21"/>
  <c r="I7" i="21"/>
  <c r="Q23" i="81" l="1"/>
  <c r="P23" i="81"/>
  <c r="R23" i="81"/>
  <c r="F69" i="80"/>
  <c r="F70" i="80"/>
  <c r="I14" i="83" l="1"/>
  <c r="G14" i="83"/>
  <c r="E14" i="83"/>
  <c r="I7" i="83"/>
  <c r="G7" i="83"/>
  <c r="E7" i="83"/>
  <c r="G33" i="82"/>
  <c r="E33" i="82"/>
  <c r="G14" i="82"/>
  <c r="E14" i="82"/>
  <c r="G7" i="82"/>
  <c r="E7" i="82"/>
  <c r="E33" i="21"/>
  <c r="G14" i="21"/>
  <c r="E14" i="21"/>
  <c r="E7" i="21"/>
  <c r="O74" i="80" l="1"/>
  <c r="M74" i="80"/>
  <c r="K74" i="80"/>
  <c r="O73" i="80"/>
  <c r="M73" i="80"/>
  <c r="K73" i="80"/>
  <c r="O72" i="80"/>
  <c r="M72" i="80"/>
  <c r="K72" i="80"/>
  <c r="K71" i="80"/>
  <c r="M71" i="80"/>
  <c r="M33" i="80"/>
  <c r="K33" i="80"/>
  <c r="F130" i="80"/>
  <c r="F129" i="80"/>
  <c r="F74" i="80"/>
  <c r="F73" i="80"/>
  <c r="F72" i="80"/>
  <c r="F71" i="80"/>
  <c r="F33" i="80"/>
  <c r="R17" i="81" l="1"/>
  <c r="I31" i="84" l="1"/>
  <c r="G31" i="84"/>
  <c r="D68" i="80"/>
  <c r="C68" i="80"/>
  <c r="D65" i="80"/>
  <c r="C65" i="80"/>
  <c r="C32" i="80"/>
  <c r="C29" i="80"/>
  <c r="C7" i="80"/>
  <c r="D32" i="80"/>
  <c r="D29" i="80"/>
  <c r="D7" i="80"/>
  <c r="C30" i="80" l="1"/>
  <c r="C37" i="82" s="1"/>
  <c r="C5" i="80"/>
  <c r="C37" i="21" s="1"/>
  <c r="C27" i="80"/>
  <c r="C63" i="80"/>
  <c r="I37" i="83" s="1"/>
  <c r="C66" i="80"/>
  <c r="G6" i="83"/>
  <c r="O92" i="80"/>
  <c r="O89" i="80"/>
  <c r="O88" i="80"/>
  <c r="O87" i="80"/>
  <c r="O85" i="80"/>
  <c r="O84" i="80"/>
  <c r="O81" i="80"/>
  <c r="O78" i="80"/>
  <c r="O77" i="80"/>
  <c r="M82" i="80"/>
  <c r="M83" i="80"/>
  <c r="M93" i="80"/>
  <c r="M92" i="80"/>
  <c r="M90" i="80"/>
  <c r="M89" i="80"/>
  <c r="M88" i="80"/>
  <c r="M87" i="80"/>
  <c r="M86" i="80"/>
  <c r="M84" i="80"/>
  <c r="M80" i="80"/>
  <c r="M79" i="80"/>
  <c r="M78" i="80"/>
  <c r="M77" i="80"/>
  <c r="M76" i="80"/>
  <c r="K83" i="80"/>
  <c r="K93" i="80"/>
  <c r="K86" i="80"/>
  <c r="K84" i="80"/>
  <c r="K80" i="80"/>
  <c r="K77" i="80"/>
  <c r="K91" i="80"/>
  <c r="K90" i="80"/>
  <c r="K88" i="80"/>
  <c r="K87" i="80"/>
  <c r="K85" i="80"/>
  <c r="K78" i="80"/>
  <c r="K76" i="80"/>
  <c r="D91" i="83"/>
  <c r="E91" i="83"/>
  <c r="F91" i="83"/>
  <c r="G91" i="83"/>
  <c r="H91" i="83"/>
  <c r="D92" i="83"/>
  <c r="E92" i="83"/>
  <c r="F92" i="83"/>
  <c r="G92" i="83"/>
  <c r="C91" i="83"/>
  <c r="C92" i="83"/>
  <c r="E5" i="83"/>
  <c r="K42" i="83"/>
  <c r="K42" i="82"/>
  <c r="K42" i="21"/>
  <c r="E5" i="82"/>
  <c r="M42" i="80"/>
  <c r="M41" i="80"/>
  <c r="M46" i="80"/>
  <c r="M43" i="80"/>
  <c r="M40" i="80"/>
  <c r="M37" i="80"/>
  <c r="M36" i="80"/>
  <c r="M35" i="80"/>
  <c r="M16" i="80"/>
  <c r="M10" i="80"/>
  <c r="M11" i="80"/>
  <c r="M12" i="80"/>
  <c r="M13" i="80"/>
  <c r="M9" i="80"/>
  <c r="O46" i="80"/>
  <c r="O45" i="80"/>
  <c r="O42" i="80"/>
  <c r="O38" i="80"/>
  <c r="O36" i="80"/>
  <c r="O13" i="80"/>
  <c r="O12" i="80"/>
  <c r="O10" i="80"/>
  <c r="K46" i="80"/>
  <c r="K45" i="80"/>
  <c r="K44" i="80"/>
  <c r="K43" i="80"/>
  <c r="K42" i="80"/>
  <c r="K41" i="80"/>
  <c r="K40" i="80"/>
  <c r="K38" i="80"/>
  <c r="K37" i="80"/>
  <c r="K36" i="80"/>
  <c r="K35" i="80"/>
  <c r="K16" i="80"/>
  <c r="K15" i="80"/>
  <c r="K13" i="80"/>
  <c r="K12" i="80"/>
  <c r="K11" i="80"/>
  <c r="K10" i="80"/>
  <c r="K17" i="80"/>
  <c r="K9" i="80"/>
  <c r="E37" i="83" l="1"/>
  <c r="G37" i="83"/>
  <c r="G37" i="82"/>
  <c r="I37" i="82"/>
  <c r="E37" i="82"/>
  <c r="C37" i="83"/>
  <c r="K14" i="80"/>
  <c r="I5" i="21"/>
  <c r="G5" i="21"/>
  <c r="E5" i="21"/>
  <c r="D90" i="83"/>
  <c r="E90" i="83"/>
  <c r="F90" i="83"/>
  <c r="G90" i="83"/>
  <c r="H90" i="83"/>
  <c r="C90" i="83"/>
  <c r="D90" i="82"/>
  <c r="E90" i="82"/>
  <c r="F90" i="82"/>
  <c r="G90" i="82"/>
  <c r="H90" i="82"/>
  <c r="C90" i="82"/>
  <c r="D90" i="21"/>
  <c r="E90" i="21"/>
  <c r="F90" i="21"/>
  <c r="G90" i="21"/>
  <c r="H90" i="21"/>
  <c r="C90" i="21"/>
  <c r="D88" i="83"/>
  <c r="E88" i="83"/>
  <c r="F88" i="83"/>
  <c r="G88" i="83"/>
  <c r="H88" i="83"/>
  <c r="I88" i="83"/>
  <c r="J88" i="83"/>
  <c r="K88" i="83"/>
  <c r="L88" i="83"/>
  <c r="M88" i="83"/>
  <c r="C88" i="83"/>
  <c r="K26" i="83"/>
  <c r="K26" i="82"/>
  <c r="D88" i="82"/>
  <c r="E88" i="82"/>
  <c r="F88" i="82"/>
  <c r="G88" i="82"/>
  <c r="H88" i="82"/>
  <c r="I88" i="82"/>
  <c r="J88" i="82"/>
  <c r="K88" i="82"/>
  <c r="L88" i="82"/>
  <c r="M88" i="82"/>
  <c r="C88" i="82"/>
  <c r="K26" i="21"/>
  <c r="D88" i="21"/>
  <c r="E88" i="21"/>
  <c r="F88" i="21"/>
  <c r="G88" i="21"/>
  <c r="H88" i="21"/>
  <c r="I88" i="21"/>
  <c r="J88" i="21"/>
  <c r="K88" i="21"/>
  <c r="L88" i="21"/>
  <c r="M88" i="21"/>
  <c r="C88" i="21"/>
  <c r="E127" i="80"/>
  <c r="B127" i="80"/>
  <c r="E60" i="80"/>
  <c r="E25" i="80"/>
  <c r="E3" i="80"/>
  <c r="F9" i="80"/>
  <c r="F2" i="80"/>
  <c r="S26" i="81"/>
  <c r="R26" i="81" s="1"/>
  <c r="Q26" i="81" s="1"/>
  <c r="Q21" i="81"/>
  <c r="R21" i="81" s="1"/>
  <c r="S21" i="81" s="1"/>
  <c r="T21" i="81" s="1"/>
  <c r="P17" i="81"/>
  <c r="O17" i="81"/>
  <c r="F169" i="80"/>
  <c r="A169" i="80"/>
  <c r="F166" i="80"/>
  <c r="A166" i="80"/>
  <c r="A163" i="80"/>
  <c r="F163" i="80"/>
  <c r="F126" i="80"/>
  <c r="F59" i="80"/>
  <c r="F24" i="80"/>
  <c r="F34" i="80"/>
  <c r="F171" i="80"/>
  <c r="F170" i="80"/>
  <c r="F168" i="80"/>
  <c r="F167" i="80"/>
  <c r="F165" i="80"/>
  <c r="F164" i="80"/>
  <c r="F139" i="80"/>
  <c r="F138" i="80"/>
  <c r="F137" i="80"/>
  <c r="F136" i="80"/>
  <c r="F135" i="80"/>
  <c r="F134" i="80"/>
  <c r="F133" i="80"/>
  <c r="F132" i="80"/>
  <c r="F131" i="80"/>
  <c r="F162" i="80"/>
  <c r="F161" i="80"/>
  <c r="F160" i="80"/>
  <c r="F159" i="80"/>
  <c r="F158" i="80"/>
  <c r="F157" i="80"/>
  <c r="F156" i="80"/>
  <c r="F155" i="80"/>
  <c r="F154" i="80"/>
  <c r="F153" i="80"/>
  <c r="F152" i="80"/>
  <c r="F151" i="80"/>
  <c r="F150" i="80"/>
  <c r="F149" i="80"/>
  <c r="F148" i="80"/>
  <c r="F147" i="80"/>
  <c r="F146" i="80"/>
  <c r="F145" i="80"/>
  <c r="F144" i="80"/>
  <c r="F143" i="80"/>
  <c r="F142" i="80"/>
  <c r="F141" i="80"/>
  <c r="F140" i="80"/>
  <c r="F75" i="80"/>
  <c r="F125" i="80"/>
  <c r="F124" i="80"/>
  <c r="F123" i="80"/>
  <c r="F122" i="80"/>
  <c r="F121" i="80"/>
  <c r="F120" i="80"/>
  <c r="F119" i="80"/>
  <c r="F118" i="80"/>
  <c r="F117" i="80"/>
  <c r="F116" i="80"/>
  <c r="F115" i="80"/>
  <c r="F114" i="80"/>
  <c r="F113" i="80"/>
  <c r="F112" i="80"/>
  <c r="F111" i="80"/>
  <c r="F110" i="80"/>
  <c r="F109" i="80"/>
  <c r="F108" i="80"/>
  <c r="F107" i="80"/>
  <c r="F106" i="80"/>
  <c r="F105" i="80"/>
  <c r="F104" i="80"/>
  <c r="F103" i="80"/>
  <c r="F102" i="80"/>
  <c r="F101" i="80"/>
  <c r="F100" i="80"/>
  <c r="F99" i="80"/>
  <c r="F98" i="80"/>
  <c r="F97" i="80"/>
  <c r="F96" i="80"/>
  <c r="F95" i="80"/>
  <c r="F94" i="80"/>
  <c r="F93" i="80"/>
  <c r="F92" i="80"/>
  <c r="F91" i="80"/>
  <c r="F90" i="80"/>
  <c r="F89" i="80"/>
  <c r="F88" i="80"/>
  <c r="F87" i="80"/>
  <c r="F86" i="80"/>
  <c r="F85" i="80"/>
  <c r="I47" i="83" s="1"/>
  <c r="F84" i="80"/>
  <c r="G47" i="83" s="1"/>
  <c r="F83" i="80"/>
  <c r="F82" i="80"/>
  <c r="F81" i="80"/>
  <c r="F80" i="80"/>
  <c r="F79" i="80"/>
  <c r="F78" i="80"/>
  <c r="F77" i="80"/>
  <c r="F76" i="80"/>
  <c r="E47" i="83" s="1"/>
  <c r="F36" i="80"/>
  <c r="F35" i="80"/>
  <c r="E47" i="82" s="1"/>
  <c r="F58" i="80"/>
  <c r="F57" i="80"/>
  <c r="F56" i="80"/>
  <c r="F55" i="80"/>
  <c r="F54" i="80"/>
  <c r="F53" i="80"/>
  <c r="F52" i="80"/>
  <c r="F51" i="80"/>
  <c r="F50" i="80"/>
  <c r="F49" i="80"/>
  <c r="F48" i="80"/>
  <c r="F47" i="80"/>
  <c r="F46" i="80"/>
  <c r="F45" i="80"/>
  <c r="F44" i="80"/>
  <c r="F43" i="80"/>
  <c r="F42" i="80"/>
  <c r="G47" i="82" s="1"/>
  <c r="F41" i="80"/>
  <c r="F40" i="80"/>
  <c r="F39" i="80"/>
  <c r="F38" i="80"/>
  <c r="F37" i="80"/>
  <c r="F11" i="80"/>
  <c r="F10" i="80"/>
  <c r="F8" i="80"/>
  <c r="F23" i="80"/>
  <c r="F21" i="80"/>
  <c r="F20" i="80"/>
  <c r="F19" i="80"/>
  <c r="F18" i="80"/>
  <c r="F17" i="80"/>
  <c r="F16" i="80"/>
  <c r="F15" i="80"/>
  <c r="E47" i="21" s="1"/>
  <c r="F14" i="80"/>
  <c r="F13" i="80"/>
  <c r="F12" i="80"/>
  <c r="O26" i="81" l="1"/>
  <c r="N26" i="81" s="1"/>
  <c r="P26" i="81"/>
  <c r="E31" i="84"/>
  <c r="C31" i="84"/>
  <c r="E6" i="84" l="1"/>
  <c r="I5" i="83"/>
  <c r="I5" i="84" s="1"/>
  <c r="I5" i="82"/>
  <c r="G5" i="83" l="1"/>
  <c r="E5" i="84"/>
  <c r="G5" i="82"/>
  <c r="G5" i="84" s="1"/>
  <c r="D99" i="82"/>
  <c r="E99" i="82" s="1"/>
  <c r="F99" i="82" s="1"/>
  <c r="G99" i="82" s="1"/>
  <c r="H99" i="82" s="1"/>
  <c r="I99" i="82" s="1"/>
  <c r="J99" i="82" s="1"/>
  <c r="K99" i="82" s="1"/>
  <c r="G37" i="84"/>
  <c r="D99" i="84"/>
  <c r="E99" i="84" s="1"/>
  <c r="F99" i="84" s="1"/>
  <c r="G99" i="84" s="1"/>
  <c r="H99" i="84" s="1"/>
  <c r="I99" i="84" s="1"/>
  <c r="J99" i="84" s="1"/>
  <c r="K99" i="84" s="1"/>
  <c r="N17" i="81" l="1"/>
  <c r="M26" i="81" s="1"/>
  <c r="L26" i="81" s="1"/>
  <c r="K26" i="81" s="1"/>
  <c r="M17" i="81"/>
  <c r="L17" i="81"/>
  <c r="H3" i="84"/>
  <c r="C37" i="84" s="1"/>
  <c r="E37" i="84"/>
  <c r="G37" i="21" l="1"/>
  <c r="I37" i="21"/>
  <c r="E37" i="21"/>
  <c r="I37" i="84"/>
  <c r="D89" i="83"/>
  <c r="D85" i="83"/>
  <c r="E85" i="83" s="1"/>
  <c r="F85" i="83" s="1"/>
  <c r="G85" i="83" s="1"/>
  <c r="D79" i="83"/>
  <c r="E79" i="83" s="1"/>
  <c r="F79" i="83" s="1"/>
  <c r="G79" i="83" s="1"/>
  <c r="D77" i="83"/>
  <c r="E77" i="83" s="1"/>
  <c r="F77" i="83" s="1"/>
  <c r="G77" i="83" s="1"/>
  <c r="D89" i="82"/>
  <c r="E89" i="82" s="1"/>
  <c r="F89" i="82" s="1"/>
  <c r="G89" i="82" s="1"/>
  <c r="D83" i="82"/>
  <c r="E83" i="82" s="1"/>
  <c r="F83" i="82" s="1"/>
  <c r="G83" i="82" s="1"/>
  <c r="D81" i="82"/>
  <c r="E81" i="82" s="1"/>
  <c r="F81" i="82" s="1"/>
  <c r="G81" i="82" s="1"/>
  <c r="D79" i="82"/>
  <c r="E79" i="82" s="1"/>
  <c r="F79" i="82" s="1"/>
  <c r="G79" i="82" s="1"/>
  <c r="D77" i="82"/>
  <c r="E77" i="82" s="1"/>
  <c r="F77" i="82" s="1"/>
  <c r="G77" i="82" s="1"/>
  <c r="A18" i="81"/>
  <c r="K17" i="81"/>
  <c r="J26" i="81" s="1"/>
  <c r="I26" i="81" s="1"/>
  <c r="H26" i="81" s="1"/>
  <c r="J17" i="81"/>
  <c r="I17" i="81"/>
  <c r="I23" i="81" s="1"/>
  <c r="H17" i="81"/>
  <c r="G17" i="81"/>
  <c r="F17" i="81"/>
  <c r="E17" i="81"/>
  <c r="D17" i="81"/>
  <c r="C17" i="81"/>
  <c r="B17" i="81"/>
  <c r="A17" i="81"/>
  <c r="I6" i="83"/>
  <c r="I6" i="84" s="1"/>
  <c r="I6" i="82"/>
  <c r="G6" i="82"/>
  <c r="G6" i="84" s="1"/>
  <c r="I6" i="21"/>
  <c r="G6" i="21"/>
  <c r="C145" i="84"/>
  <c r="J142" i="84"/>
  <c r="J140" i="84"/>
  <c r="K139" i="84"/>
  <c r="B130" i="84"/>
  <c r="B128" i="84"/>
  <c r="B126" i="84"/>
  <c r="D125" i="84"/>
  <c r="E125" i="84" s="1"/>
  <c r="F125" i="84" s="1"/>
  <c r="G125" i="84" s="1"/>
  <c r="D123" i="84"/>
  <c r="E123" i="84" s="1"/>
  <c r="F123" i="84" s="1"/>
  <c r="G123" i="84" s="1"/>
  <c r="H123" i="84" s="1"/>
  <c r="I123" i="84" s="1"/>
  <c r="J123" i="84" s="1"/>
  <c r="K123" i="84" s="1"/>
  <c r="L123" i="84" s="1"/>
  <c r="M123" i="84" s="1"/>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J29" i="84" s="1"/>
  <c r="AC29" i="84" s="1"/>
  <c r="B92" i="84"/>
  <c r="B90" i="84"/>
  <c r="D89" i="84"/>
  <c r="E89" i="84" s="1"/>
  <c r="F89" i="84" s="1"/>
  <c r="G89" i="84" s="1"/>
  <c r="M87" i="84"/>
  <c r="L87" i="84"/>
  <c r="K87" i="84"/>
  <c r="J87" i="84"/>
  <c r="I87" i="84"/>
  <c r="H87" i="84"/>
  <c r="G87" i="84"/>
  <c r="F87" i="84"/>
  <c r="E87" i="84"/>
  <c r="D87" i="84"/>
  <c r="D85" i="84"/>
  <c r="E85" i="84" s="1"/>
  <c r="D83" i="84"/>
  <c r="E83" i="84" s="1"/>
  <c r="F83" i="84" s="1"/>
  <c r="G83" i="84" s="1"/>
  <c r="D81" i="84"/>
  <c r="E81" i="84" s="1"/>
  <c r="F81" i="84" s="1"/>
  <c r="G81" i="84" s="1"/>
  <c r="D79" i="84"/>
  <c r="E79" i="84" s="1"/>
  <c r="D77" i="84"/>
  <c r="E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C23" i="84"/>
  <c r="Q21" i="84"/>
  <c r="Z21" i="84" s="1"/>
  <c r="J21" i="84"/>
  <c r="AC21" i="84" s="1"/>
  <c r="H21" i="84"/>
  <c r="AB21" i="84" s="1"/>
  <c r="F21" i="84"/>
  <c r="AA21" i="84" s="1"/>
  <c r="C21" i="84"/>
  <c r="Q19" i="84"/>
  <c r="Z19" i="84" s="1"/>
  <c r="J19" i="84"/>
  <c r="AC19" i="84" s="1"/>
  <c r="H19" i="84"/>
  <c r="AB19" i="84" s="1"/>
  <c r="F19" i="84"/>
  <c r="AA19" i="84" s="1"/>
  <c r="C19" i="84"/>
  <c r="Q17" i="84"/>
  <c r="Z17" i="84" s="1"/>
  <c r="C17" i="84"/>
  <c r="Q15" i="84"/>
  <c r="Z15" i="84" s="1"/>
  <c r="C15" i="84"/>
  <c r="Q14" i="84"/>
  <c r="Z14" i="84" s="1"/>
  <c r="J14" i="84"/>
  <c r="AC14" i="84" s="1"/>
  <c r="H14" i="84"/>
  <c r="AB14" i="84" s="1"/>
  <c r="F14" i="84"/>
  <c r="AA14" i="84" s="1"/>
  <c r="Q13" i="84"/>
  <c r="Z13" i="84" s="1"/>
  <c r="H13" i="84"/>
  <c r="AB13" i="84" s="1"/>
  <c r="Q12" i="84"/>
  <c r="Z12" i="84" s="1"/>
  <c r="J12" i="84"/>
  <c r="AC12" i="84" s="1"/>
  <c r="H12" i="84"/>
  <c r="AB12" i="84" s="1"/>
  <c r="F12" i="84"/>
  <c r="AA12" i="84" s="1"/>
  <c r="Q11" i="84"/>
  <c r="Z11" i="84" s="1"/>
  <c r="J11" i="84"/>
  <c r="AC11" i="84" s="1"/>
  <c r="H11" i="84"/>
  <c r="F11" i="84"/>
  <c r="AA11" i="84" s="1"/>
  <c r="Q10" i="84"/>
  <c r="Z10" i="84" s="1"/>
  <c r="J10" i="84"/>
  <c r="AC10" i="84" s="1"/>
  <c r="H10" i="84"/>
  <c r="AB10" i="84" s="1"/>
  <c r="F10" i="84"/>
  <c r="AA10" i="84" s="1"/>
  <c r="Q9" i="84"/>
  <c r="Z9" i="84" s="1"/>
  <c r="J9" i="84"/>
  <c r="AC9" i="84" s="1"/>
  <c r="H9" i="84"/>
  <c r="AB9" i="84" s="1"/>
  <c r="F9" i="84"/>
  <c r="AA9" i="84" s="1"/>
  <c r="J8" i="84"/>
  <c r="AC8" i="84" s="1"/>
  <c r="H8" i="84"/>
  <c r="AB8" i="84" s="1"/>
  <c r="F8" i="84"/>
  <c r="AA8" i="84" s="1"/>
  <c r="B2" i="84"/>
  <c r="J33" i="83"/>
  <c r="F33" i="83"/>
  <c r="C145" i="83"/>
  <c r="K139" i="83" s="1"/>
  <c r="K143" i="83" s="1"/>
  <c r="J142" i="83"/>
  <c r="J140" i="83"/>
  <c r="B130" i="83"/>
  <c r="F46" i="83" s="1"/>
  <c r="AA46" i="83" s="1"/>
  <c r="B128" i="83"/>
  <c r="J45" i="83" s="1"/>
  <c r="AC45" i="83" s="1"/>
  <c r="B126" i="83"/>
  <c r="J44" i="83" s="1"/>
  <c r="AC44" i="83" s="1"/>
  <c r="D125" i="83"/>
  <c r="E125" i="83" s="1"/>
  <c r="F125" i="83" s="1"/>
  <c r="G125" i="83" s="1"/>
  <c r="D123" i="83"/>
  <c r="E123" i="83" s="1"/>
  <c r="F123" i="83" s="1"/>
  <c r="G123" i="83" s="1"/>
  <c r="H123" i="83" s="1"/>
  <c r="I123" i="83" s="1"/>
  <c r="J123" i="83" s="1"/>
  <c r="K123" i="83" s="1"/>
  <c r="L123" i="83" s="1"/>
  <c r="M123" i="83" s="1"/>
  <c r="E119" i="83"/>
  <c r="F119" i="83" s="1"/>
  <c r="G119" i="83" s="1"/>
  <c r="H119" i="83" s="1"/>
  <c r="I119" i="83" s="1"/>
  <c r="J119" i="83" s="1"/>
  <c r="K119" i="83" s="1"/>
  <c r="L119" i="83" s="1"/>
  <c r="M119" i="83" s="1"/>
  <c r="D119" i="83"/>
  <c r="E117" i="83"/>
  <c r="F117" i="83" s="1"/>
  <c r="G117" i="83" s="1"/>
  <c r="D117" i="83"/>
  <c r="E115" i="83"/>
  <c r="F115" i="83" s="1"/>
  <c r="G115" i="83" s="1"/>
  <c r="H115" i="83" s="1"/>
  <c r="I115" i="83" s="1"/>
  <c r="J115" i="83" s="1"/>
  <c r="K115" i="83" s="1"/>
  <c r="L115" i="83" s="1"/>
  <c r="M115" i="83" s="1"/>
  <c r="D115" i="83"/>
  <c r="F38" i="83" s="1"/>
  <c r="AA38"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J31" i="83" s="1"/>
  <c r="AC31" i="83" s="1"/>
  <c r="B96" i="83"/>
  <c r="F30" i="83" s="1"/>
  <c r="AA30" i="83" s="1"/>
  <c r="B94" i="83"/>
  <c r="J29" i="83" s="1"/>
  <c r="AC29" i="83" s="1"/>
  <c r="B92" i="83"/>
  <c r="J28" i="83" s="1"/>
  <c r="AC28" i="83" s="1"/>
  <c r="B90" i="83"/>
  <c r="J27" i="83" s="1"/>
  <c r="AC27" i="83" s="1"/>
  <c r="M87" i="83"/>
  <c r="L87" i="83"/>
  <c r="K87" i="83"/>
  <c r="J87" i="83"/>
  <c r="I87" i="83"/>
  <c r="H87" i="83"/>
  <c r="G87" i="83"/>
  <c r="F87" i="83"/>
  <c r="E87" i="83"/>
  <c r="D87" i="83"/>
  <c r="D83" i="83"/>
  <c r="E83" i="83" s="1"/>
  <c r="F83" i="83" s="1"/>
  <c r="G83" i="83" s="1"/>
  <c r="D81" i="83"/>
  <c r="E81" i="83" s="1"/>
  <c r="F81" i="83" s="1"/>
  <c r="G81"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Q45" i="83"/>
  <c r="Z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Q37" i="83"/>
  <c r="Z37" i="83" s="1"/>
  <c r="Q36" i="83"/>
  <c r="Z36" i="83" s="1"/>
  <c r="H36" i="83"/>
  <c r="AB36" i="83" s="1"/>
  <c r="F36" i="83"/>
  <c r="AA36" i="83" s="1"/>
  <c r="Q35" i="83"/>
  <c r="Z35" i="83" s="1"/>
  <c r="Q34" i="83"/>
  <c r="Z34" i="83" s="1"/>
  <c r="J34" i="83"/>
  <c r="AC34" i="83" s="1"/>
  <c r="Q33" i="83"/>
  <c r="Z33" i="83" s="1"/>
  <c r="H33" i="83"/>
  <c r="Q32" i="83"/>
  <c r="Z32" i="83" s="1"/>
  <c r="J32" i="83"/>
  <c r="AC32" i="83" s="1"/>
  <c r="H32" i="83"/>
  <c r="AB32" i="83" s="1"/>
  <c r="F32" i="83"/>
  <c r="AA32" i="83" s="1"/>
  <c r="Q31" i="83"/>
  <c r="Z31" i="83" s="1"/>
  <c r="Q30" i="83"/>
  <c r="Z30" i="83" s="1"/>
  <c r="J30" i="83"/>
  <c r="AC30" i="83" s="1"/>
  <c r="H30" i="83"/>
  <c r="AB30" i="83" s="1"/>
  <c r="Q29" i="83"/>
  <c r="Z29" i="83" s="1"/>
  <c r="Q28" i="83"/>
  <c r="Z28" i="83" s="1"/>
  <c r="H28" i="83"/>
  <c r="AB28" i="83" s="1"/>
  <c r="F28" i="83"/>
  <c r="AA28" i="83" s="1"/>
  <c r="Q27" i="83"/>
  <c r="Z27" i="83" s="1"/>
  <c r="Q26" i="83"/>
  <c r="Z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AB15" i="83" s="1"/>
  <c r="F15" i="83"/>
  <c r="S15" i="83" s="1"/>
  <c r="C15" i="83"/>
  <c r="Q14" i="83"/>
  <c r="Z14" i="83" s="1"/>
  <c r="J14" i="83"/>
  <c r="AC14" i="83" s="1"/>
  <c r="H14" i="83"/>
  <c r="AB14" i="83" s="1"/>
  <c r="F14" i="83"/>
  <c r="AA14" i="83" s="1"/>
  <c r="Q13" i="83"/>
  <c r="Z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S8" i="83"/>
  <c r="J8" i="83"/>
  <c r="AC8" i="83" s="1"/>
  <c r="H8" i="83"/>
  <c r="U8" i="83" s="1"/>
  <c r="F8" i="83"/>
  <c r="AA8" i="83" s="1"/>
  <c r="B2" i="83"/>
  <c r="J33" i="82"/>
  <c r="AC33" i="82" s="1"/>
  <c r="C145" i="82"/>
  <c r="K139" i="82" s="1"/>
  <c r="J142" i="82"/>
  <c r="J140" i="82"/>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E108" i="82"/>
  <c r="F108" i="82" s="1"/>
  <c r="G108" i="82" s="1"/>
  <c r="H108" i="82" s="1"/>
  <c r="I108" i="82" s="1"/>
  <c r="J108" i="82" s="1"/>
  <c r="K108" i="82" s="1"/>
  <c r="L108" i="82" s="1"/>
  <c r="M108"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J31" i="82" s="1"/>
  <c r="AC31" i="82" s="1"/>
  <c r="B96" i="82"/>
  <c r="B94" i="82"/>
  <c r="B92" i="82"/>
  <c r="H28" i="82" s="1"/>
  <c r="AB28" i="82" s="1"/>
  <c r="B90" i="82"/>
  <c r="J27" i="82" s="1"/>
  <c r="AC27" i="82" s="1"/>
  <c r="M87" i="82"/>
  <c r="L87" i="82"/>
  <c r="K87" i="82"/>
  <c r="J87" i="82"/>
  <c r="I87" i="82"/>
  <c r="H87" i="82"/>
  <c r="G87" i="82"/>
  <c r="F87" i="82"/>
  <c r="E87" i="82"/>
  <c r="D87" i="82"/>
  <c r="D85" i="82"/>
  <c r="E85" i="82" s="1"/>
  <c r="F85" i="82" s="1"/>
  <c r="G85" i="82" s="1"/>
  <c r="B74" i="82"/>
  <c r="H14" i="82" s="1"/>
  <c r="AB14" i="82" s="1"/>
  <c r="B72" i="82"/>
  <c r="F13" i="82" s="1"/>
  <c r="AA13" i="82" s="1"/>
  <c r="B70" i="82"/>
  <c r="F12" i="82" s="1"/>
  <c r="AA12" i="82" s="1"/>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Q43" i="82"/>
  <c r="Z43" i="82" s="1"/>
  <c r="J43" i="82"/>
  <c r="AC43" i="82" s="1"/>
  <c r="H43" i="82"/>
  <c r="AB43" i="82" s="1"/>
  <c r="F43" i="82"/>
  <c r="AA43" i="82" s="1"/>
  <c r="Q42" i="82"/>
  <c r="Z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F38" i="82"/>
  <c r="AA38" i="82" s="1"/>
  <c r="Q37" i="82"/>
  <c r="Z37" i="82" s="1"/>
  <c r="Q36" i="82"/>
  <c r="Z36" i="82" s="1"/>
  <c r="Q35" i="82"/>
  <c r="Z35" i="82" s="1"/>
  <c r="J35" i="82"/>
  <c r="AC35" i="82" s="1"/>
  <c r="H35" i="82"/>
  <c r="AB35" i="82" s="1"/>
  <c r="F35" i="82"/>
  <c r="AA35" i="82" s="1"/>
  <c r="Q34" i="82"/>
  <c r="Z34" i="82" s="1"/>
  <c r="Q33" i="82"/>
  <c r="Z33" i="82" s="1"/>
  <c r="H33" i="82"/>
  <c r="AB33" i="82" s="1"/>
  <c r="F33" i="82"/>
  <c r="AA33" i="82" s="1"/>
  <c r="Q32" i="82"/>
  <c r="Z32" i="82" s="1"/>
  <c r="J32" i="82"/>
  <c r="AC32" i="82" s="1"/>
  <c r="H32" i="82"/>
  <c r="AB32" i="82" s="1"/>
  <c r="F32" i="82"/>
  <c r="AA32" i="82" s="1"/>
  <c r="Q31" i="82"/>
  <c r="Z31" i="82" s="1"/>
  <c r="Q30" i="82"/>
  <c r="Z30" i="82" s="1"/>
  <c r="J30" i="82"/>
  <c r="AC30" i="82" s="1"/>
  <c r="H30" i="82"/>
  <c r="AB30" i="82" s="1"/>
  <c r="F30" i="82"/>
  <c r="AA30" i="82" s="1"/>
  <c r="Q29" i="82"/>
  <c r="Z29" i="82" s="1"/>
  <c r="J29" i="82"/>
  <c r="AC29" i="82" s="1"/>
  <c r="H29" i="82"/>
  <c r="AB29" i="82" s="1"/>
  <c r="F29" i="82"/>
  <c r="AA29" i="82" s="1"/>
  <c r="Q28" i="82"/>
  <c r="Z28" i="82" s="1"/>
  <c r="J28" i="82"/>
  <c r="AC28" i="82" s="1"/>
  <c r="Q27" i="82"/>
  <c r="Z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H17" i="82"/>
  <c r="AB17" i="82" s="1"/>
  <c r="F17" i="82"/>
  <c r="AA17" i="82" s="1"/>
  <c r="C17" i="82"/>
  <c r="Q15" i="82"/>
  <c r="Z15" i="82" s="1"/>
  <c r="J15" i="82"/>
  <c r="AC15" i="82" s="1"/>
  <c r="H15" i="82"/>
  <c r="AB15" i="82" s="1"/>
  <c r="F15" i="82"/>
  <c r="AA15" i="82" s="1"/>
  <c r="C15" i="82"/>
  <c r="Q14" i="82"/>
  <c r="Z14" i="82" s="1"/>
  <c r="J14" i="82"/>
  <c r="W14" i="82" s="1"/>
  <c r="F14" i="82"/>
  <c r="AA14" i="82" s="1"/>
  <c r="Q13" i="82"/>
  <c r="Z13" i="82" s="1"/>
  <c r="J13" i="82"/>
  <c r="AC13" i="82" s="1"/>
  <c r="H13" i="82"/>
  <c r="AB13" i="82" s="1"/>
  <c r="Q12" i="82"/>
  <c r="Z12" i="82" s="1"/>
  <c r="J12" i="82"/>
  <c r="AC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B2" i="82"/>
  <c r="D2" i="82"/>
  <c r="D2" i="83"/>
  <c r="D2" i="84"/>
  <c r="J23" i="81" l="1"/>
  <c r="K23" i="81" s="1"/>
  <c r="L23" i="81" s="1"/>
  <c r="M23" i="81" s="1"/>
  <c r="N23" i="81" s="1"/>
  <c r="O23" i="81" s="1"/>
  <c r="C20" i="81"/>
  <c r="D20" i="81" s="1"/>
  <c r="E20" i="81" s="1"/>
  <c r="F20" i="81" s="1"/>
  <c r="G20" i="81" s="1"/>
  <c r="H20" i="81" s="1"/>
  <c r="I20" i="81" s="1"/>
  <c r="J20" i="81" s="1"/>
  <c r="K20" i="81" s="1"/>
  <c r="L20" i="81" s="1"/>
  <c r="M20" i="81" s="1"/>
  <c r="N20" i="81" s="1"/>
  <c r="O20" i="81" s="1"/>
  <c r="P20" i="81" s="1"/>
  <c r="Q20" i="81" s="1"/>
  <c r="R20" i="81" s="1"/>
  <c r="S20" i="81" s="1"/>
  <c r="T20" i="81" s="1"/>
  <c r="H38" i="83"/>
  <c r="AB38" i="83" s="1"/>
  <c r="F45" i="83"/>
  <c r="AA45" i="83" s="1"/>
  <c r="W8" i="82"/>
  <c r="H45" i="83"/>
  <c r="AB45" i="83" s="1"/>
  <c r="F31" i="83"/>
  <c r="AA31" i="83" s="1"/>
  <c r="J36" i="83"/>
  <c r="AC36" i="83" s="1"/>
  <c r="F44" i="83"/>
  <c r="S44" i="83" s="1"/>
  <c r="W10" i="82"/>
  <c r="H31" i="83"/>
  <c r="AB31" i="83" s="1"/>
  <c r="H44" i="83"/>
  <c r="AB44" i="83" s="1"/>
  <c r="H34" i="83"/>
  <c r="AB34" i="83" s="1"/>
  <c r="F31" i="82"/>
  <c r="AA31" i="82" s="1"/>
  <c r="H31" i="82"/>
  <c r="AB31" i="82" s="1"/>
  <c r="F34" i="82"/>
  <c r="AA34" i="82" s="1"/>
  <c r="W8" i="83"/>
  <c r="F35" i="83"/>
  <c r="AA35" i="83" s="1"/>
  <c r="S8" i="84"/>
  <c r="W14" i="84"/>
  <c r="F28" i="82"/>
  <c r="AA28" i="82" s="1"/>
  <c r="J34" i="82"/>
  <c r="AC34" i="82" s="1"/>
  <c r="F42" i="82"/>
  <c r="AA42" i="82" s="1"/>
  <c r="J37" i="82"/>
  <c r="AC37" i="82" s="1"/>
  <c r="H35" i="83"/>
  <c r="AB35" i="83" s="1"/>
  <c r="F42" i="83"/>
  <c r="AA42" i="83" s="1"/>
  <c r="W8" i="84"/>
  <c r="H38" i="82"/>
  <c r="AB38" i="82" s="1"/>
  <c r="H42" i="82"/>
  <c r="AB42" i="82" s="1"/>
  <c r="F29" i="83"/>
  <c r="AA29" i="83" s="1"/>
  <c r="J35" i="83"/>
  <c r="AC35" i="83" s="1"/>
  <c r="H42" i="83"/>
  <c r="AB42" i="83" s="1"/>
  <c r="J42" i="82"/>
  <c r="AC42" i="82" s="1"/>
  <c r="H29" i="83"/>
  <c r="AB29" i="83" s="1"/>
  <c r="J42" i="83"/>
  <c r="AC42" i="83" s="1"/>
  <c r="K145" i="84"/>
  <c r="S8" i="82"/>
  <c r="K145" i="82"/>
  <c r="H27" i="83"/>
  <c r="AB27" i="83" s="1"/>
  <c r="F34" i="83"/>
  <c r="AA34" i="83" s="1"/>
  <c r="K145" i="83"/>
  <c r="H38" i="84"/>
  <c r="AB38" i="84" s="1"/>
  <c r="F38" i="84"/>
  <c r="AA38" i="84" s="1"/>
  <c r="J38" i="84"/>
  <c r="AC38" i="84" s="1"/>
  <c r="H89" i="84"/>
  <c r="I89" i="84" s="1"/>
  <c r="J89" i="84" s="1"/>
  <c r="K89" i="84" s="1"/>
  <c r="L89" i="84" s="1"/>
  <c r="M89" i="84" s="1"/>
  <c r="J26" i="84"/>
  <c r="AC26" i="84" s="1"/>
  <c r="F26" i="84"/>
  <c r="AA26" i="84" s="1"/>
  <c r="H26" i="84"/>
  <c r="AB26" i="84" s="1"/>
  <c r="F110" i="82"/>
  <c r="G110" i="82" s="1"/>
  <c r="H110" i="82" s="1"/>
  <c r="I110" i="82" s="1"/>
  <c r="J110" i="82" s="1"/>
  <c r="K110" i="82" s="1"/>
  <c r="L110" i="82" s="1"/>
  <c r="M110" i="82" s="1"/>
  <c r="J36" i="82"/>
  <c r="AC36" i="82" s="1"/>
  <c r="F36" i="82"/>
  <c r="AA36" i="82" s="1"/>
  <c r="H36" i="82"/>
  <c r="AB36" i="82" s="1"/>
  <c r="AC14" i="82"/>
  <c r="F79" i="84"/>
  <c r="G79" i="84" s="1"/>
  <c r="J17" i="84"/>
  <c r="AC17" i="84" s="1"/>
  <c r="F17" i="84"/>
  <c r="AA17" i="84" s="1"/>
  <c r="F29" i="84"/>
  <c r="AA29" i="84" s="1"/>
  <c r="U12" i="84"/>
  <c r="F27" i="83"/>
  <c r="AA27" i="83" s="1"/>
  <c r="AA44" i="83"/>
  <c r="H34" i="82"/>
  <c r="AB34" i="82" s="1"/>
  <c r="G54" i="83"/>
  <c r="H54" i="83" s="1"/>
  <c r="I54" i="83"/>
  <c r="J54" i="83" s="1"/>
  <c r="E54" i="83"/>
  <c r="F54" i="83" s="1"/>
  <c r="E89" i="83"/>
  <c r="F89" i="83" s="1"/>
  <c r="G89" i="83" s="1"/>
  <c r="J26" i="83" s="1"/>
  <c r="AC26" i="83" s="1"/>
  <c r="H89" i="82"/>
  <c r="I89" i="82" s="1"/>
  <c r="J89" i="82" s="1"/>
  <c r="K89" i="82" s="1"/>
  <c r="L89" i="82" s="1"/>
  <c r="M89" i="82" s="1"/>
  <c r="H26" i="82"/>
  <c r="AB26" i="82" s="1"/>
  <c r="F26" i="82"/>
  <c r="AA26" i="82" s="1"/>
  <c r="J26" i="82"/>
  <c r="AC26" i="82" s="1"/>
  <c r="W15" i="82"/>
  <c r="F77" i="84"/>
  <c r="G77" i="84" s="1"/>
  <c r="J15" i="84"/>
  <c r="AC15" i="84" s="1"/>
  <c r="F15" i="84"/>
  <c r="AA15" i="84" s="1"/>
  <c r="H15" i="84"/>
  <c r="AB15" i="84" s="1"/>
  <c r="F85" i="84"/>
  <c r="G85" i="84" s="1"/>
  <c r="H23" i="84"/>
  <c r="AB23" i="84" s="1"/>
  <c r="J23" i="84"/>
  <c r="AC23" i="84" s="1"/>
  <c r="F23" i="84"/>
  <c r="AA23" i="84" s="1"/>
  <c r="H17" i="84"/>
  <c r="AB17" i="84" s="1"/>
  <c r="U8" i="84"/>
  <c r="U9" i="84"/>
  <c r="S10" i="84"/>
  <c r="W10" i="84"/>
  <c r="AB11" i="84"/>
  <c r="U11" i="84"/>
  <c r="W11" i="84"/>
  <c r="J13" i="84"/>
  <c r="F13" i="84"/>
  <c r="S14" i="84"/>
  <c r="S9" i="84"/>
  <c r="W9" i="84"/>
  <c r="U10" i="84"/>
  <c r="S11" i="84"/>
  <c r="U13" i="84"/>
  <c r="S12" i="84"/>
  <c r="W12" i="84"/>
  <c r="U14" i="84"/>
  <c r="U19" i="84"/>
  <c r="U21" i="84"/>
  <c r="S25" i="84"/>
  <c r="W25" i="84"/>
  <c r="S27" i="84"/>
  <c r="W27" i="84"/>
  <c r="U28" i="84"/>
  <c r="W29" i="84"/>
  <c r="U30" i="84"/>
  <c r="S31" i="84"/>
  <c r="W31" i="84"/>
  <c r="U32" i="84"/>
  <c r="U33" i="84"/>
  <c r="S34" i="84"/>
  <c r="W34" i="84"/>
  <c r="U35" i="84"/>
  <c r="S36" i="84"/>
  <c r="W36" i="84"/>
  <c r="U39" i="84"/>
  <c r="S40" i="84"/>
  <c r="W40" i="84"/>
  <c r="U41" i="84"/>
  <c r="S42" i="84"/>
  <c r="W42" i="84"/>
  <c r="U43" i="84"/>
  <c r="AA44" i="84"/>
  <c r="S44" i="84"/>
  <c r="U44" i="84"/>
  <c r="S19" i="84"/>
  <c r="W19" i="84"/>
  <c r="S21" i="84"/>
  <c r="W21" i="84"/>
  <c r="U25" i="84"/>
  <c r="U27" i="84"/>
  <c r="S28" i="84"/>
  <c r="W28" i="84"/>
  <c r="U29" i="84"/>
  <c r="S30" i="84"/>
  <c r="W30" i="84"/>
  <c r="U31" i="84"/>
  <c r="S32" i="84"/>
  <c r="W32" i="84"/>
  <c r="S33" i="84"/>
  <c r="W33" i="84"/>
  <c r="U34" i="84"/>
  <c r="S35" i="84"/>
  <c r="W35" i="84"/>
  <c r="U36" i="84"/>
  <c r="S39" i="84"/>
  <c r="W39" i="84"/>
  <c r="U40" i="84"/>
  <c r="S41" i="84"/>
  <c r="W41" i="84"/>
  <c r="U42" i="84"/>
  <c r="S43" i="84"/>
  <c r="W43" i="84"/>
  <c r="S45" i="84"/>
  <c r="W45" i="84"/>
  <c r="U46" i="84"/>
  <c r="K141" i="84"/>
  <c r="K143" i="84"/>
  <c r="W44" i="84"/>
  <c r="U45" i="84"/>
  <c r="S46" i="84"/>
  <c r="W46" i="84"/>
  <c r="K144" i="84"/>
  <c r="AB8" i="83"/>
  <c r="U10" i="83"/>
  <c r="S11" i="83"/>
  <c r="W11" i="83"/>
  <c r="U12" i="83"/>
  <c r="J37" i="83"/>
  <c r="H37" i="83"/>
  <c r="F37" i="83"/>
  <c r="H13" i="83"/>
  <c r="S14" i="83"/>
  <c r="W14" i="83"/>
  <c r="U9" i="83"/>
  <c r="S10" i="83"/>
  <c r="W10" i="83"/>
  <c r="U11" i="83"/>
  <c r="S12" i="83"/>
  <c r="W12" i="83"/>
  <c r="F13" i="83"/>
  <c r="J13" i="83"/>
  <c r="U14" i="83"/>
  <c r="U15" i="83"/>
  <c r="AA15" i="83"/>
  <c r="W17" i="83"/>
  <c r="AA19" i="83"/>
  <c r="S19" i="83"/>
  <c r="AA33" i="83"/>
  <c r="S33" i="83"/>
  <c r="AC33" i="83"/>
  <c r="W33" i="83"/>
  <c r="S9" i="83"/>
  <c r="W9" i="83"/>
  <c r="W15" i="83"/>
  <c r="S17" i="83"/>
  <c r="AB33" i="83"/>
  <c r="U33" i="83"/>
  <c r="U17" i="83"/>
  <c r="U19" i="83"/>
  <c r="U21" i="83"/>
  <c r="U23" i="83"/>
  <c r="S25" i="83"/>
  <c r="W25" i="83"/>
  <c r="W27" i="83"/>
  <c r="U28" i="83"/>
  <c r="W29" i="83"/>
  <c r="U30" i="83"/>
  <c r="W31" i="83"/>
  <c r="U32" i="83"/>
  <c r="S34" i="83"/>
  <c r="W34" i="83"/>
  <c r="U35" i="83"/>
  <c r="S36" i="83"/>
  <c r="W36" i="83"/>
  <c r="S38" i="83"/>
  <c r="W38" i="83"/>
  <c r="U39" i="83"/>
  <c r="S40" i="83"/>
  <c r="W40" i="83"/>
  <c r="U41" i="83"/>
  <c r="U43" i="83"/>
  <c r="W44" i="83"/>
  <c r="W19" i="83"/>
  <c r="S21" i="83"/>
  <c r="W21" i="83"/>
  <c r="S23" i="83"/>
  <c r="W23" i="83"/>
  <c r="U25" i="83"/>
  <c r="S28" i="83"/>
  <c r="W28" i="83"/>
  <c r="S30" i="83"/>
  <c r="W30" i="83"/>
  <c r="S32" i="83"/>
  <c r="W32" i="83"/>
  <c r="U36" i="83"/>
  <c r="U38" i="83"/>
  <c r="S39" i="83"/>
  <c r="W39" i="83"/>
  <c r="U40" i="83"/>
  <c r="S41" i="83"/>
  <c r="W41" i="83"/>
  <c r="S43" i="83"/>
  <c r="W43" i="83"/>
  <c r="U44" i="83"/>
  <c r="S45" i="83"/>
  <c r="W45" i="83"/>
  <c r="U46" i="83"/>
  <c r="R47" i="83"/>
  <c r="V47" i="83"/>
  <c r="K141" i="83"/>
  <c r="U45" i="83"/>
  <c r="S46" i="83"/>
  <c r="W46" i="83"/>
  <c r="T47" i="83"/>
  <c r="K144" i="83"/>
  <c r="U13" i="82"/>
  <c r="G54" i="82"/>
  <c r="H54" i="82" s="1"/>
  <c r="E54" i="82"/>
  <c r="F54" i="82" s="1"/>
  <c r="I54" i="82"/>
  <c r="J54" i="82" s="1"/>
  <c r="AB8" i="82"/>
  <c r="U9" i="82"/>
  <c r="S10" i="82"/>
  <c r="U11" i="82"/>
  <c r="W12" i="82"/>
  <c r="S14" i="82"/>
  <c r="AC17" i="82"/>
  <c r="W17" i="82"/>
  <c r="S17" i="82"/>
  <c r="S9" i="82"/>
  <c r="W9" i="82"/>
  <c r="S12" i="82"/>
  <c r="S15" i="82"/>
  <c r="U10" i="82"/>
  <c r="S11" i="82"/>
  <c r="W11" i="82"/>
  <c r="U12" i="82"/>
  <c r="S13" i="82"/>
  <c r="W13" i="82"/>
  <c r="U14" i="82"/>
  <c r="U15" i="82"/>
  <c r="U17" i="82"/>
  <c r="U19" i="82"/>
  <c r="U21" i="82"/>
  <c r="U23" i="82"/>
  <c r="S25" i="82"/>
  <c r="W25" i="82"/>
  <c r="S27" i="82"/>
  <c r="W27" i="82"/>
  <c r="U28" i="82"/>
  <c r="S29" i="82"/>
  <c r="W29" i="82"/>
  <c r="U30" i="82"/>
  <c r="W31" i="82"/>
  <c r="U32" i="82"/>
  <c r="U33" i="82"/>
  <c r="S34" i="82"/>
  <c r="U35" i="82"/>
  <c r="S36" i="82"/>
  <c r="W36" i="82"/>
  <c r="F37" i="82"/>
  <c r="H37" i="82"/>
  <c r="S38" i="82"/>
  <c r="W38" i="82"/>
  <c r="U39" i="82"/>
  <c r="S40" i="82"/>
  <c r="W40" i="82"/>
  <c r="U41" i="82"/>
  <c r="U43" i="82"/>
  <c r="AA44" i="82"/>
  <c r="S44" i="82"/>
  <c r="U44" i="82"/>
  <c r="S19" i="82"/>
  <c r="W19" i="82"/>
  <c r="S21" i="82"/>
  <c r="W21" i="82"/>
  <c r="S23" i="82"/>
  <c r="W23" i="82"/>
  <c r="U25" i="82"/>
  <c r="U27" i="82"/>
  <c r="W28" i="82"/>
  <c r="U29" i="82"/>
  <c r="S30" i="82"/>
  <c r="W30" i="82"/>
  <c r="S32" i="82"/>
  <c r="W32" i="82"/>
  <c r="S33" i="82"/>
  <c r="W33" i="82"/>
  <c r="S35" i="82"/>
  <c r="W35" i="82"/>
  <c r="U38" i="82"/>
  <c r="S39" i="82"/>
  <c r="W39" i="82"/>
  <c r="U40" i="82"/>
  <c r="S41" i="82"/>
  <c r="W41" i="82"/>
  <c r="S43" i="82"/>
  <c r="W43" i="82"/>
  <c r="S45" i="82"/>
  <c r="W45" i="82"/>
  <c r="U46" i="82"/>
  <c r="R47" i="82"/>
  <c r="V47" i="82"/>
  <c r="K141" i="82"/>
  <c r="K143" i="82"/>
  <c r="W44" i="82"/>
  <c r="U45" i="82"/>
  <c r="S46" i="82"/>
  <c r="W46" i="82"/>
  <c r="T47" i="82"/>
  <c r="K144" i="82"/>
  <c r="S29" i="83" l="1"/>
  <c r="S28" i="82"/>
  <c r="U31" i="83"/>
  <c r="S31" i="83"/>
  <c r="S26" i="84"/>
  <c r="W35" i="83"/>
  <c r="W34" i="82"/>
  <c r="U34" i="83"/>
  <c r="S31" i="82"/>
  <c r="U31" i="82"/>
  <c r="W37" i="82"/>
  <c r="U38" i="84"/>
  <c r="U42" i="82"/>
  <c r="U42" i="83"/>
  <c r="W42" i="82"/>
  <c r="W42" i="83"/>
  <c r="W26" i="84"/>
  <c r="S42" i="83"/>
  <c r="U29" i="83"/>
  <c r="S42" i="82"/>
  <c r="S35" i="83"/>
  <c r="U27" i="83"/>
  <c r="U26" i="84"/>
  <c r="W38" i="84"/>
  <c r="S38" i="84"/>
  <c r="S26" i="82"/>
  <c r="U36" i="82"/>
  <c r="U23" i="84"/>
  <c r="W17" i="84"/>
  <c r="W23" i="84"/>
  <c r="U26" i="82"/>
  <c r="S17" i="84"/>
  <c r="S29" i="84"/>
  <c r="S27" i="83"/>
  <c r="U34" i="82"/>
  <c r="W26" i="83"/>
  <c r="H89" i="83"/>
  <c r="I89" i="83" s="1"/>
  <c r="J89" i="83" s="1"/>
  <c r="K89" i="83" s="1"/>
  <c r="L89" i="83" s="1"/>
  <c r="M89" i="83" s="1"/>
  <c r="F26" i="83"/>
  <c r="H26" i="83"/>
  <c r="W26" i="82"/>
  <c r="S15" i="84"/>
  <c r="U15" i="84"/>
  <c r="W15" i="84"/>
  <c r="S23" i="84"/>
  <c r="U17" i="84"/>
  <c r="AA13" i="84"/>
  <c r="S13" i="84"/>
  <c r="J37" i="84"/>
  <c r="H37" i="84"/>
  <c r="F37" i="84"/>
  <c r="AC13" i="84"/>
  <c r="W13" i="84"/>
  <c r="AA13" i="83"/>
  <c r="S13" i="83"/>
  <c r="AA37" i="83"/>
  <c r="S37" i="83"/>
  <c r="AC37" i="83"/>
  <c r="W37" i="83"/>
  <c r="AC13" i="83"/>
  <c r="W13" i="83"/>
  <c r="AB13" i="83"/>
  <c r="U13" i="83"/>
  <c r="AB37" i="83"/>
  <c r="U37" i="83"/>
  <c r="AA37" i="82"/>
  <c r="S37" i="82"/>
  <c r="AB37" i="82"/>
  <c r="U37" i="82"/>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B26" i="83"/>
  <c r="U26" i="83"/>
  <c r="AA26" i="83"/>
  <c r="S26" i="83"/>
  <c r="AB37" i="84"/>
  <c r="U37" i="84"/>
  <c r="AA37" i="84"/>
  <c r="S37" i="84"/>
  <c r="AC37" i="84"/>
  <c r="W37" i="84"/>
  <c r="B10" i="74" l="1"/>
  <c r="S23" i="81" l="1"/>
  <c r="G26" i="81"/>
  <c r="S24" i="81" l="1"/>
  <c r="T23" i="81"/>
  <c r="F26"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D59" i="84" l="1"/>
  <c r="R24" i="81"/>
  <c r="E59" i="84"/>
  <c r="H76" i="80" s="1"/>
  <c r="R76" i="80" s="1"/>
  <c r="Q24" i="81"/>
  <c r="P24" i="81" s="1"/>
  <c r="E26" i="81"/>
  <c r="C7" i="78"/>
  <c r="C5" i="78"/>
  <c r="C6" i="78"/>
  <c r="F13" i="1"/>
  <c r="D13" i="1"/>
  <c r="D12" i="1"/>
  <c r="D11" i="1"/>
  <c r="D10" i="1"/>
  <c r="D9" i="1"/>
  <c r="D8" i="1"/>
  <c r="D7" i="1"/>
  <c r="D6" i="1"/>
  <c r="H74" i="80" l="1"/>
  <c r="R74" i="80" s="1"/>
  <c r="H73" i="80"/>
  <c r="R73" i="80" s="1"/>
  <c r="H72" i="80"/>
  <c r="R72" i="80" s="1"/>
  <c r="H71" i="80"/>
  <c r="R71" i="80" s="1"/>
  <c r="F59" i="84"/>
  <c r="D26" i="81"/>
  <c r="I2" i="43"/>
  <c r="M1" i="43" s="1"/>
  <c r="G59" i="84" l="1"/>
  <c r="O24" i="81"/>
  <c r="H10" i="80"/>
  <c r="R10" i="80" s="1"/>
  <c r="H9" i="80"/>
  <c r="R9" i="80" s="1"/>
  <c r="H77" i="80"/>
  <c r="R77" i="80" s="1"/>
  <c r="H11" i="80"/>
  <c r="R11" i="80"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D34" i="79" s="1"/>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R14" i="79" s="1"/>
  <c r="I14" i="79"/>
  <c r="AC13" i="79"/>
  <c r="AB13" i="79"/>
  <c r="AA13" i="79"/>
  <c r="AD13" i="79" s="1"/>
  <c r="Z13" i="79"/>
  <c r="Y13" i="79"/>
  <c r="O13" i="79"/>
  <c r="N13" i="79"/>
  <c r="U13" i="79" s="1"/>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P5" i="79"/>
  <c r="O5" i="79"/>
  <c r="N5" i="79"/>
  <c r="N3" i="79" s="1"/>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24" i="81" l="1"/>
  <c r="H59" i="84"/>
  <c r="H79" i="80"/>
  <c r="R79" i="80" s="1"/>
  <c r="H78" i="80"/>
  <c r="R78" i="80" s="1"/>
  <c r="H35" i="80"/>
  <c r="R35" i="80" s="1"/>
  <c r="E59" i="83"/>
  <c r="D59" i="83"/>
  <c r="V5" i="79"/>
  <c r="S34" i="79"/>
  <c r="AA3" i="79"/>
  <c r="AD3" i="79" s="1"/>
  <c r="AA23" i="79"/>
  <c r="AD23" i="79" s="1"/>
  <c r="Z3" i="79"/>
  <c r="U3" i="79"/>
  <c r="AB23" i="79"/>
  <c r="AB3" i="79"/>
  <c r="U23" i="79"/>
  <c r="AD33" i="79"/>
  <c r="Y3" i="79"/>
  <c r="M23" i="79"/>
  <c r="P23" i="79" s="1"/>
  <c r="N23" i="79"/>
  <c r="AC3" i="79"/>
  <c r="E59" i="82"/>
  <c r="E59" i="21"/>
  <c r="O3" i="79"/>
  <c r="S9" i="79"/>
  <c r="S8" i="79"/>
  <c r="S6" i="79"/>
  <c r="S7" i="79"/>
  <c r="U11" i="79"/>
  <c r="R12" i="79"/>
  <c r="V13" i="79"/>
  <c r="T23" i="79"/>
  <c r="W23" i="79" s="1"/>
  <c r="AD32" i="79"/>
  <c r="S33" i="79"/>
  <c r="T34" i="79"/>
  <c r="W34" i="79" s="1"/>
  <c r="S3" i="79"/>
  <c r="P9" i="79"/>
  <c r="T6" i="79"/>
  <c r="W6" i="79" s="1"/>
  <c r="T7" i="79"/>
  <c r="W7" i="79" s="1"/>
  <c r="T8" i="79"/>
  <c r="W8" i="79" s="1"/>
  <c r="V11" i="79"/>
  <c r="S12" i="79"/>
  <c r="AD31" i="79"/>
  <c r="S32" i="79"/>
  <c r="T33" i="79"/>
  <c r="W33" i="79" s="1"/>
  <c r="U34" i="79"/>
  <c r="R10" i="79"/>
  <c r="T32" i="79"/>
  <c r="W32" i="79" s="1"/>
  <c r="V9" i="79"/>
  <c r="V8" i="79"/>
  <c r="V7" i="79"/>
  <c r="V6" i="79"/>
  <c r="M3" i="79"/>
  <c r="P3" i="79" s="1"/>
  <c r="U5" i="79"/>
  <c r="V10" i="79"/>
  <c r="S11" i="79"/>
  <c r="T25" i="79"/>
  <c r="W25" i="79" s="1"/>
  <c r="U29" i="79"/>
  <c r="U26" i="79"/>
  <c r="U27" i="79"/>
  <c r="U28" i="79"/>
  <c r="R8" i="79"/>
  <c r="R6" i="79"/>
  <c r="R7" i="79"/>
  <c r="U9" i="79"/>
  <c r="U6" i="79"/>
  <c r="U8" i="79"/>
  <c r="U7" i="79"/>
  <c r="T12" i="79"/>
  <c r="W12" i="79" s="1"/>
  <c r="S31" i="79"/>
  <c r="R5" i="79"/>
  <c r="T3" i="79"/>
  <c r="W3" i="79" s="1"/>
  <c r="AD30" i="79"/>
  <c r="U33" i="79"/>
  <c r="S10" i="79"/>
  <c r="U12" i="79"/>
  <c r="V14" i="79"/>
  <c r="AD29" i="79"/>
  <c r="S30" i="79"/>
  <c r="T31" i="79"/>
  <c r="W31" i="79" s="1"/>
  <c r="U32" i="79"/>
  <c r="K3" i="79"/>
  <c r="V3" i="79"/>
  <c r="S5" i="79"/>
  <c r="T10" i="79"/>
  <c r="W10" i="79" s="1"/>
  <c r="V12" i="79"/>
  <c r="R13" i="79"/>
  <c r="S27" i="79"/>
  <c r="S26" i="79"/>
  <c r="S28" i="79"/>
  <c r="U31" i="79"/>
  <c r="L3" i="79"/>
  <c r="T5" i="79"/>
  <c r="W5" i="79" s="1"/>
  <c r="U10" i="79"/>
  <c r="R11" i="79"/>
  <c r="S13" i="79"/>
  <c r="L23" i="79"/>
  <c r="T27" i="79"/>
  <c r="W27" i="79" s="1"/>
  <c r="T26" i="79"/>
  <c r="W26" i="79" s="1"/>
  <c r="T28" i="79"/>
  <c r="W28" i="79" s="1"/>
  <c r="U30" i="79"/>
  <c r="AD3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H80" i="80" l="1"/>
  <c r="R80" i="80" s="1"/>
  <c r="H36" i="80"/>
  <c r="R36" i="80" s="1"/>
  <c r="H81" i="80"/>
  <c r="R81" i="80" s="1"/>
  <c r="I59" i="84"/>
  <c r="H83" i="80" s="1"/>
  <c r="R83" i="80" s="1"/>
  <c r="M24" i="81"/>
  <c r="D59" i="21"/>
  <c r="D59" i="82"/>
  <c r="F59" i="82"/>
  <c r="F59" i="21"/>
  <c r="F59" i="83"/>
  <c r="C15" i="78"/>
  <c r="H100" i="43"/>
  <c r="H97" i="43"/>
  <c r="H95" i="43"/>
  <c r="H94" i="43"/>
  <c r="H98" i="43"/>
  <c r="H93" i="43"/>
  <c r="H101" i="43"/>
  <c r="H99" i="43"/>
  <c r="H96" i="43"/>
  <c r="G23" i="78"/>
  <c r="G24" i="78"/>
  <c r="G25" i="78"/>
  <c r="B15" i="78"/>
  <c r="B18" i="78"/>
  <c r="G14" i="73"/>
  <c r="F14" i="73"/>
  <c r="E14" i="73"/>
  <c r="L24" i="81" l="1"/>
  <c r="J59" i="84"/>
  <c r="G59" i="83"/>
  <c r="G59" i="21"/>
  <c r="G59" i="82"/>
  <c r="G15" i="73"/>
  <c r="F15" i="73"/>
  <c r="E15" i="73"/>
  <c r="H87" i="80" l="1"/>
  <c r="R87" i="80" s="1"/>
  <c r="H86" i="80"/>
  <c r="R86" i="80" s="1"/>
  <c r="H37" i="80"/>
  <c r="R37" i="80" s="1"/>
  <c r="H38" i="80"/>
  <c r="R38" i="80" s="1"/>
  <c r="H13" i="80"/>
  <c r="R13" i="80" s="1"/>
  <c r="H85" i="80"/>
  <c r="R85" i="80" s="1"/>
  <c r="H84" i="80"/>
  <c r="R84" i="80" s="1"/>
  <c r="H12" i="80"/>
  <c r="R12" i="80" s="1"/>
  <c r="K24" i="81"/>
  <c r="K59" i="84"/>
  <c r="H59" i="83"/>
  <c r="H59" i="21"/>
  <c r="H59" i="82"/>
  <c r="G16" i="73"/>
  <c r="F16" i="73"/>
  <c r="E16" i="73"/>
  <c r="H88" i="80" l="1"/>
  <c r="R88" i="80" s="1"/>
  <c r="H43" i="80"/>
  <c r="R43" i="80" s="1"/>
  <c r="H14" i="80"/>
  <c r="R14" i="80" s="1"/>
  <c r="H15" i="80"/>
  <c r="R15" i="80" s="1"/>
  <c r="H40" i="80"/>
  <c r="R40" i="80" s="1"/>
  <c r="H41" i="80"/>
  <c r="R41" i="80" s="1"/>
  <c r="H42" i="80"/>
  <c r="R42" i="80" s="1"/>
  <c r="L59" i="84"/>
  <c r="J24" i="81"/>
  <c r="I59" i="21"/>
  <c r="I59" i="83"/>
  <c r="I59" i="82"/>
  <c r="G13" i="73"/>
  <c r="F13" i="73"/>
  <c r="E13" i="73"/>
  <c r="M59" i="84" l="1"/>
  <c r="H91" i="80" s="1"/>
  <c r="R91" i="80" s="1"/>
  <c r="I24" i="81"/>
  <c r="H90" i="80"/>
  <c r="R90" i="80" s="1"/>
  <c r="H45" i="80"/>
  <c r="R45" i="80" s="1"/>
  <c r="H89" i="80"/>
  <c r="R89" i="80" s="1"/>
  <c r="H16" i="80"/>
  <c r="R16" i="80" s="1"/>
  <c r="J59" i="21"/>
  <c r="J59" i="83"/>
  <c r="J59" i="82"/>
  <c r="AH8" i="71"/>
  <c r="AG8" i="71"/>
  <c r="AE8" i="71"/>
  <c r="AF8" i="71" s="1"/>
  <c r="AD8" i="71"/>
  <c r="Q8" i="71"/>
  <c r="P8" i="71"/>
  <c r="O8" i="71"/>
  <c r="N8" i="71"/>
  <c r="N59" i="84" l="1"/>
  <c r="H24" i="81"/>
  <c r="O59" i="84" s="1"/>
  <c r="H93" i="80" s="1"/>
  <c r="R93" i="80" s="1"/>
  <c r="K59" i="21"/>
  <c r="K59" i="82"/>
  <c r="K59"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H92" i="80" l="1"/>
  <c r="R92" i="80" s="1"/>
  <c r="H17" i="80"/>
  <c r="R17" i="80" s="1"/>
  <c r="H46" i="80"/>
  <c r="R46" i="80" s="1"/>
  <c r="L59" i="83"/>
  <c r="L59" i="21"/>
  <c r="L59" i="82"/>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M59" i="82" l="1"/>
  <c r="M59" i="21"/>
  <c r="M59" i="83"/>
  <c r="R19" i="77"/>
  <c r="R5" i="77" s="1"/>
  <c r="U5" i="77" s="1"/>
  <c r="E26" i="77"/>
  <c r="E38" i="77"/>
  <c r="E39" i="77" s="1"/>
  <c r="C40" i="77" s="1"/>
  <c r="B2" i="77" s="1"/>
  <c r="E29" i="77"/>
  <c r="AH10" i="71"/>
  <c r="AG10" i="71"/>
  <c r="AE10" i="71"/>
  <c r="AF10" i="71" s="1"/>
  <c r="AD10" i="71"/>
  <c r="Q10" i="71"/>
  <c r="P10" i="71"/>
  <c r="O10" i="71"/>
  <c r="N10" i="71"/>
  <c r="N59" i="82" l="1"/>
  <c r="N59" i="83"/>
  <c r="N59" i="21"/>
  <c r="O59" i="82"/>
  <c r="O59" i="83"/>
  <c r="O59" i="2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D80" i="71" s="1"/>
  <c r="T80" i="71"/>
  <c r="B80" i="71"/>
  <c r="B79" i="71" s="1"/>
  <c r="B78" i="71" s="1"/>
  <c r="Q79" i="71"/>
  <c r="P79" i="71"/>
  <c r="O79" i="71"/>
  <c r="N79" i="71"/>
  <c r="Q78" i="71"/>
  <c r="P78" i="71"/>
  <c r="O78" i="71"/>
  <c r="N78" i="71"/>
  <c r="Q77" i="71"/>
  <c r="P77" i="71"/>
  <c r="O77" i="71"/>
  <c r="N77" i="71"/>
  <c r="D77" i="71"/>
  <c r="Q76" i="71"/>
  <c r="P76" i="71"/>
  <c r="O76" i="71"/>
  <c r="N76" i="71"/>
  <c r="F76" i="71"/>
  <c r="V76" i="71" s="1"/>
  <c r="E76" i="71"/>
  <c r="E75"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D72" i="71" s="1"/>
  <c r="B72" i="71"/>
  <c r="S72" i="71" s="1"/>
  <c r="Q71" i="71"/>
  <c r="P71" i="71"/>
  <c r="O71" i="71"/>
  <c r="N71" i="71"/>
  <c r="F71" i="71"/>
  <c r="F70" i="71"/>
  <c r="B71" i="71"/>
  <c r="B70" i="71" s="1"/>
  <c r="Q70" i="71"/>
  <c r="P70" i="71"/>
  <c r="O70" i="71"/>
  <c r="N70" i="71"/>
  <c r="Q69" i="71"/>
  <c r="P69" i="71"/>
  <c r="O69" i="71"/>
  <c r="N69" i="71"/>
  <c r="D69" i="71"/>
  <c r="F68" i="71"/>
  <c r="V68" i="71"/>
  <c r="E68" i="71"/>
  <c r="P68" i="71" s="1"/>
  <c r="C68" i="71"/>
  <c r="O68" i="71" s="1"/>
  <c r="B68" i="71"/>
  <c r="N68" i="71" s="1"/>
  <c r="F67" i="71"/>
  <c r="F66" i="71" s="1"/>
  <c r="Q66" i="71" s="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c r="B63" i="71" s="1"/>
  <c r="D61" i="71"/>
  <c r="Q60" i="71"/>
  <c r="P60" i="71"/>
  <c r="O60" i="71"/>
  <c r="N60" i="71"/>
  <c r="Q59" i="71"/>
  <c r="P59" i="71"/>
  <c r="O59" i="71"/>
  <c r="N59" i="71"/>
  <c r="Q58" i="71"/>
  <c r="F59" i="71" s="1"/>
  <c r="F60" i="71" s="1"/>
  <c r="V60" i="71" s="1"/>
  <c r="P58" i="71"/>
  <c r="O58" i="71"/>
  <c r="N58" i="71"/>
  <c r="Q57" i="71"/>
  <c r="F58" i="7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Q53" i="71"/>
  <c r="F54" i="71" s="1"/>
  <c r="F55" i="71" s="1"/>
  <c r="F56" i="71" s="1"/>
  <c r="V56" i="71" s="1"/>
  <c r="P53" i="71"/>
  <c r="E54" i="71" s="1"/>
  <c r="E55" i="71" s="1"/>
  <c r="O53" i="71"/>
  <c r="N53" i="71"/>
  <c r="B54" i="71" s="1"/>
  <c r="D53" i="71"/>
  <c r="Q52" i="71"/>
  <c r="P52" i="71"/>
  <c r="O52" i="71"/>
  <c r="N52" i="71"/>
  <c r="Q51" i="71"/>
  <c r="P51" i="71"/>
  <c r="O51" i="71"/>
  <c r="N51" i="71"/>
  <c r="Q50" i="71"/>
  <c r="P50" i="71"/>
  <c r="O50" i="71"/>
  <c r="C51" i="71" s="1"/>
  <c r="D51" i="71" s="1"/>
  <c r="N50" i="71"/>
  <c r="Q49" i="71"/>
  <c r="F50" i="71" s="1"/>
  <c r="P49" i="71"/>
  <c r="E50" i="71"/>
  <c r="O49" i="71"/>
  <c r="C50" i="71"/>
  <c r="D50" i="71" s="1"/>
  <c r="N49" i="71"/>
  <c r="B50" i="71" s="1"/>
  <c r="B51" i="7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8" i="71" s="1"/>
  <c r="AA39" i="71"/>
  <c r="O39" i="71"/>
  <c r="N39" i="71"/>
  <c r="X36" i="71" s="1"/>
  <c r="Q38" i="71"/>
  <c r="AB38" i="71" s="1"/>
  <c r="P38" i="71"/>
  <c r="O38" i="71"/>
  <c r="N38" i="71"/>
  <c r="Q37" i="71"/>
  <c r="AB37" i="71" s="1"/>
  <c r="P37" i="71"/>
  <c r="O37" i="71"/>
  <c r="N37" i="71"/>
  <c r="B38" i="71" s="1"/>
  <c r="D37" i="71"/>
  <c r="Q36" i="71"/>
  <c r="P36" i="71"/>
  <c r="AA35" i="71" s="1"/>
  <c r="O36" i="71"/>
  <c r="Y35" i="71" s="1"/>
  <c r="Z35" i="71" s="1"/>
  <c r="N36" i="71"/>
  <c r="Q35" i="71"/>
  <c r="P35" i="71"/>
  <c r="O35" i="71"/>
  <c r="N35" i="71"/>
  <c r="X34" i="71" s="1"/>
  <c r="Q34" i="71"/>
  <c r="AB34" i="71" s="1"/>
  <c r="P34" i="71"/>
  <c r="O34" i="71"/>
  <c r="N34" i="71"/>
  <c r="Q33" i="71"/>
  <c r="AB33" i="71" s="1"/>
  <c r="P33" i="71"/>
  <c r="O33" i="71"/>
  <c r="C34" i="71" s="1"/>
  <c r="N33" i="71"/>
  <c r="X33" i="71" s="1"/>
  <c r="D33" i="71"/>
  <c r="Q32" i="71"/>
  <c r="AB32" i="71" s="1"/>
  <c r="P32" i="71"/>
  <c r="O32" i="71"/>
  <c r="N32" i="71"/>
  <c r="Q31" i="71"/>
  <c r="P31" i="71"/>
  <c r="O31" i="71"/>
  <c r="Y31" i="71" s="1"/>
  <c r="Z31" i="71" s="1"/>
  <c r="N31" i="71"/>
  <c r="Q30" i="71"/>
  <c r="P30" i="71"/>
  <c r="O30" i="71"/>
  <c r="N30" i="71"/>
  <c r="F30" i="71"/>
  <c r="F31" i="71" s="1"/>
  <c r="F32" i="71" s="1"/>
  <c r="V32" i="71" s="1"/>
  <c r="Q29" i="71"/>
  <c r="P29" i="71"/>
  <c r="AA28" i="71" s="1"/>
  <c r="O29" i="71"/>
  <c r="N29" i="71"/>
  <c r="D29" i="71"/>
  <c r="O28" i="71"/>
  <c r="C28" i="71" s="1"/>
  <c r="N28" i="71"/>
  <c r="B28" i="71" s="1"/>
  <c r="E30" i="71"/>
  <c r="E31" i="71" s="1"/>
  <c r="E32" i="71" s="1"/>
  <c r="U32" i="71" s="1"/>
  <c r="E38" i="71"/>
  <c r="E39" i="71" s="1"/>
  <c r="E40" i="71" s="1"/>
  <c r="U40" i="71" s="1"/>
  <c r="Y33" i="71"/>
  <c r="Z33" i="71" s="1"/>
  <c r="C38" i="71"/>
  <c r="C39" i="71" s="1"/>
  <c r="Y37" i="71"/>
  <c r="Z37" i="71" s="1"/>
  <c r="D42" i="71"/>
  <c r="C47" i="71"/>
  <c r="D47" i="71" s="1"/>
  <c r="D46" i="71"/>
  <c r="P28" i="71"/>
  <c r="U68" i="71"/>
  <c r="Q28" i="71"/>
  <c r="C63" i="71"/>
  <c r="D62" i="71"/>
  <c r="Q68" i="71"/>
  <c r="C75" i="71"/>
  <c r="E74" i="71"/>
  <c r="D76" i="71"/>
  <c r="C79" i="71"/>
  <c r="C83" i="71"/>
  <c r="F28" i="71"/>
  <c r="F27" i="71" s="1"/>
  <c r="F26" i="71" s="1"/>
  <c r="E28" i="71"/>
  <c r="D83" i="71"/>
  <c r="C82" i="71"/>
  <c r="D82" i="71" s="1"/>
  <c r="D87" i="71"/>
  <c r="C86" i="71"/>
  <c r="D8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c r="D66" i="36"/>
  <c r="E66" i="36" s="1"/>
  <c r="F66" i="36"/>
  <c r="G66" i="36" s="1"/>
  <c r="H18" i="36"/>
  <c r="U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E83" i="21" s="1"/>
  <c r="F83" i="21" s="1"/>
  <c r="G83" i="21" s="1"/>
  <c r="F21" i="21"/>
  <c r="AA21" i="21" s="1"/>
  <c r="D81" i="21"/>
  <c r="G20" i="20"/>
  <c r="C25" i="40" s="1"/>
  <c r="B88" i="43"/>
  <c r="C22" i="20"/>
  <c r="B100" i="43" s="1"/>
  <c r="B57" i="43"/>
  <c r="F94" i="40"/>
  <c r="G94" i="40" s="1"/>
  <c r="H25" i="40"/>
  <c r="U25" i="40" s="1"/>
  <c r="J25" i="40"/>
  <c r="AC25" i="40" s="1"/>
  <c r="H29" i="39"/>
  <c r="AB29" i="39" s="1"/>
  <c r="J29" i="39"/>
  <c r="J18" i="36"/>
  <c r="W18" i="36" s="1"/>
  <c r="H18" i="35"/>
  <c r="U18" i="35" s="1"/>
  <c r="J18" i="35"/>
  <c r="AC18" i="35" s="1"/>
  <c r="H21" i="37"/>
  <c r="F21" i="37"/>
  <c r="S21" i="37" s="1"/>
  <c r="H21" i="34"/>
  <c r="H21" i="33"/>
  <c r="U21" i="33" s="1"/>
  <c r="F21" i="33"/>
  <c r="AA21" i="33" s="1"/>
  <c r="H1" i="69"/>
  <c r="W25" i="40"/>
  <c r="U29" i="39"/>
  <c r="AB21" i="37"/>
  <c r="U21" i="37"/>
  <c r="S21" i="33"/>
  <c r="W18" i="35"/>
  <c r="J21" i="37"/>
  <c r="J21" i="34"/>
  <c r="AC21" i="34" s="1"/>
  <c r="G83" i="33"/>
  <c r="J21" i="33"/>
  <c r="H21" i="21"/>
  <c r="U21" i="21" s="1"/>
  <c r="F38" i="69"/>
  <c r="E37" i="69"/>
  <c r="F36" i="69"/>
  <c r="F35" i="69"/>
  <c r="F21" i="69"/>
  <c r="F40" i="69" s="1"/>
  <c r="F20" i="69"/>
  <c r="F39" i="69" s="1"/>
  <c r="E10" i="69"/>
  <c r="E9" i="69"/>
  <c r="C7" i="69"/>
  <c r="AC21" i="37"/>
  <c r="W21" i="37"/>
  <c r="AC21" i="33"/>
  <c r="W21" i="33"/>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L73" i="3" s="1"/>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A71" i="3" s="1"/>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A45" i="3" s="1"/>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L36" i="3" s="1"/>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A200" i="3" s="1"/>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A193" i="3" s="1"/>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L301" i="3" s="1"/>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A275" i="3" s="1"/>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L264" i="3" s="1"/>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L247" i="3" s="1"/>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A231" i="3" s="1"/>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L217" i="3" s="1"/>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L214" i="3" s="1"/>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L210" i="3" s="1"/>
  <c r="BP210" i="3"/>
  <c r="BO210" i="3"/>
  <c r="BN210" i="3"/>
  <c r="BM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A484" i="3" s="1"/>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L442" i="3" s="1"/>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A435" i="3" s="1"/>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s="1"/>
  <c r="Q39" i="40"/>
  <c r="Z39" i="40" s="1"/>
  <c r="Q38" i="40"/>
  <c r="Z38" i="40" s="1"/>
  <c r="J38" i="40"/>
  <c r="AC38" i="40" s="1"/>
  <c r="Q37" i="40"/>
  <c r="Z37" i="40" s="1"/>
  <c r="Q36" i="40"/>
  <c r="Z36" i="40" s="1"/>
  <c r="Q35" i="40"/>
  <c r="Z35" i="40" s="1"/>
  <c r="Q34" i="40"/>
  <c r="Z34" i="40"/>
  <c r="J34" i="40"/>
  <c r="AC34" i="40" s="1"/>
  <c r="H34" i="40"/>
  <c r="AB34" i="40"/>
  <c r="F34" i="40"/>
  <c r="AA34" i="40" s="1"/>
  <c r="Q33" i="40"/>
  <c r="Z33" i="40" s="1"/>
  <c r="Q32" i="40"/>
  <c r="Z32" i="40" s="1"/>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AC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H24" i="36" s="1"/>
  <c r="AB24" i="36" s="1"/>
  <c r="B71" i="36"/>
  <c r="D70" i="36"/>
  <c r="H22" i="36"/>
  <c r="AB22" i="36" s="1"/>
  <c r="D68" i="36"/>
  <c r="E68" i="36" s="1"/>
  <c r="F68" i="36"/>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s="1"/>
  <c r="Q26" i="36"/>
  <c r="Z26" i="36"/>
  <c r="H26" i="36"/>
  <c r="AB26" i="36" s="1"/>
  <c r="Q25" i="36"/>
  <c r="Z25" i="36"/>
  <c r="Q24" i="36"/>
  <c r="Z24" i="36" s="1"/>
  <c r="Q23" i="36"/>
  <c r="Z23" i="36" s="1"/>
  <c r="Q22" i="36"/>
  <c r="Z22" i="36" s="1"/>
  <c r="J22" i="36"/>
  <c r="AC22" i="36" s="1"/>
  <c r="Q20" i="36"/>
  <c r="Z20" i="36"/>
  <c r="Q16" i="36"/>
  <c r="Z16" i="36" s="1"/>
  <c r="Q14" i="36"/>
  <c r="Z14" i="36" s="1"/>
  <c r="Q13" i="36"/>
  <c r="Z13" i="36"/>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H36" i="35" s="1"/>
  <c r="AB36" i="35" s="1"/>
  <c r="B99" i="35"/>
  <c r="B97" i="35"/>
  <c r="J34" i="35" s="1"/>
  <c r="AC34" i="35" s="1"/>
  <c r="B77" i="35"/>
  <c r="B75" i="35"/>
  <c r="J24" i="35" s="1"/>
  <c r="AC24" i="35" s="1"/>
  <c r="B73" i="35"/>
  <c r="B57" i="35"/>
  <c r="B61" i="35"/>
  <c r="B59" i="35"/>
  <c r="H12" i="35" s="1"/>
  <c r="U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F34" i="35"/>
  <c r="AA34" i="35" s="1"/>
  <c r="Q33" i="35"/>
  <c r="Z33" i="35" s="1"/>
  <c r="Q32" i="35"/>
  <c r="Z32" i="35"/>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c r="Q10" i="34"/>
  <c r="Z10" i="34" s="1"/>
  <c r="F10" i="34"/>
  <c r="AA10" i="34" s="1"/>
  <c r="Q9" i="34"/>
  <c r="Z9" i="34" s="1"/>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Q38" i="33"/>
  <c r="Z38" i="33" s="1"/>
  <c r="J38" i="33"/>
  <c r="AC38" i="33" s="1"/>
  <c r="H38" i="33"/>
  <c r="AB38" i="33" s="1"/>
  <c r="F38" i="33"/>
  <c r="AA38" i="33"/>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s="1"/>
  <c r="G16" i="20"/>
  <c r="B84" i="43" s="1"/>
  <c r="G15" i="20"/>
  <c r="B83" i="43" s="1"/>
  <c r="C24" i="20"/>
  <c r="B97" i="43" s="1"/>
  <c r="B75" i="43"/>
  <c r="C21" i="20"/>
  <c r="C20" i="20"/>
  <c r="C18" i="20"/>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D113" i="21"/>
  <c r="E113" i="21" s="1"/>
  <c r="F113" i="21" s="1"/>
  <c r="G113" i="21" s="1"/>
  <c r="H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43" i="21"/>
  <c r="S43" i="21" s="1"/>
  <c r="H43" i="21"/>
  <c r="AB43" i="21" s="1"/>
  <c r="F39" i="21"/>
  <c r="AA39" i="21" s="1"/>
  <c r="J40" i="21"/>
  <c r="W40" i="21" s="1"/>
  <c r="H35" i="21"/>
  <c r="AB35" i="21" s="1"/>
  <c r="J8" i="21"/>
  <c r="AC8" i="21" s="1"/>
  <c r="H8" i="21"/>
  <c r="U8" i="21" s="1"/>
  <c r="H10" i="21"/>
  <c r="AB10" i="21" s="1"/>
  <c r="H39" i="21"/>
  <c r="U39" i="21" s="1"/>
  <c r="H36" i="21"/>
  <c r="U36" i="21" s="1"/>
  <c r="J10" i="21"/>
  <c r="AC10" i="21" s="1"/>
  <c r="H26" i="21"/>
  <c r="AB26" i="21" s="1"/>
  <c r="AB19" i="21"/>
  <c r="J19" i="21"/>
  <c r="W19" i="21" s="1"/>
  <c r="AB41" i="21"/>
  <c r="S41" i="21"/>
  <c r="AA41" i="21"/>
  <c r="J44" i="39"/>
  <c r="AC44" i="39"/>
  <c r="F36" i="39"/>
  <c r="S36" i="39" s="1"/>
  <c r="H36" i="39"/>
  <c r="AB36" i="39" s="1"/>
  <c r="F35" i="39"/>
  <c r="AA35" i="39" s="1"/>
  <c r="J36" i="39"/>
  <c r="AC36" i="39" s="1"/>
  <c r="W40" i="39"/>
  <c r="W25" i="37"/>
  <c r="F103" i="37"/>
  <c r="G103" i="37"/>
  <c r="H103" i="37" s="1"/>
  <c r="I103" i="37" s="1"/>
  <c r="J103" i="37" s="1"/>
  <c r="K103" i="37" s="1"/>
  <c r="L103" i="37" s="1"/>
  <c r="M103" i="37" s="1"/>
  <c r="F39" i="37"/>
  <c r="U14" i="37"/>
  <c r="F29" i="36"/>
  <c r="AA29" i="36" s="1"/>
  <c r="F16" i="36"/>
  <c r="AA16" i="36" s="1"/>
  <c r="U9" i="36"/>
  <c r="W28" i="36"/>
  <c r="U31" i="36"/>
  <c r="J33" i="36"/>
  <c r="AC33" i="36" s="1"/>
  <c r="H22" i="35"/>
  <c r="AB22" i="35" s="1"/>
  <c r="AC27" i="35"/>
  <c r="W28" i="35"/>
  <c r="U31" i="35"/>
  <c r="W34" i="35"/>
  <c r="F36" i="34"/>
  <c r="J35" i="34"/>
  <c r="H39" i="33"/>
  <c r="AB39" i="33" s="1"/>
  <c r="F26" i="33"/>
  <c r="AA26" i="33" s="1"/>
  <c r="U35" i="33"/>
  <c r="S40" i="33"/>
  <c r="W33" i="33"/>
  <c r="H39" i="37"/>
  <c r="AB39" i="37"/>
  <c r="S27" i="35"/>
  <c r="F11" i="40"/>
  <c r="AA11" i="40" s="1"/>
  <c r="H11" i="40"/>
  <c r="AB11" i="40" s="1"/>
  <c r="W8" i="40"/>
  <c r="AC9" i="40"/>
  <c r="U9" i="40"/>
  <c r="S34" i="40"/>
  <c r="S40"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31" i="39"/>
  <c r="AB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C25" i="39"/>
  <c r="H11" i="39"/>
  <c r="S40" i="39"/>
  <c r="H32" i="33"/>
  <c r="AB32" i="33"/>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J30" i="35"/>
  <c r="W30" i="35" s="1"/>
  <c r="H30" i="35"/>
  <c r="AB30" i="35" s="1"/>
  <c r="F22" i="35"/>
  <c r="AA22" i="35" s="1"/>
  <c r="H10" i="35"/>
  <c r="U10" i="35" s="1"/>
  <c r="F33" i="36"/>
  <c r="AA33" i="36" s="1"/>
  <c r="W30" i="36"/>
  <c r="H16" i="36"/>
  <c r="AB16" i="36" s="1"/>
  <c r="E85" i="36"/>
  <c r="F85" i="36"/>
  <c r="G85" i="36" s="1"/>
  <c r="H85" i="36"/>
  <c r="I85" i="36" s="1"/>
  <c r="J85" i="36" s="1"/>
  <c r="K85" i="36" s="1"/>
  <c r="L85" i="36" s="1"/>
  <c r="M85" i="36" s="1"/>
  <c r="J29" i="36"/>
  <c r="AC29" i="36" s="1"/>
  <c r="F12" i="36"/>
  <c r="AA12" i="36" s="1"/>
  <c r="F24" i="36"/>
  <c r="AA24" i="36" s="1"/>
  <c r="F34" i="36"/>
  <c r="S34" i="36" s="1"/>
  <c r="F14" i="35"/>
  <c r="AA14" i="35"/>
  <c r="F23" i="35"/>
  <c r="AA23" i="35" s="1"/>
  <c r="J32" i="35"/>
  <c r="AC32" i="35" s="1"/>
  <c r="J16" i="35"/>
  <c r="AC16" i="35"/>
  <c r="H16" i="35"/>
  <c r="U16" i="35" s="1"/>
  <c r="F16" i="35"/>
  <c r="S16" i="35" s="1"/>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c r="S38" i="33"/>
  <c r="E113" i="33"/>
  <c r="F32" i="33"/>
  <c r="AA32" i="33" s="1"/>
  <c r="J19" i="33"/>
  <c r="AC19" i="33"/>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c r="F45" i="21"/>
  <c r="AA45" i="21" s="1"/>
  <c r="F27" i="33"/>
  <c r="AA27" i="33" s="1"/>
  <c r="J13" i="33"/>
  <c r="H13" i="33"/>
  <c r="U13" i="33" s="1"/>
  <c r="F13" i="33"/>
  <c r="S13" i="33" s="1"/>
  <c r="J29" i="33"/>
  <c r="W29" i="33" s="1"/>
  <c r="AC29" i="33"/>
  <c r="H29" i="33"/>
  <c r="U29" i="33" s="1"/>
  <c r="F29" i="33"/>
  <c r="S29" i="33" s="1"/>
  <c r="J31" i="33"/>
  <c r="H31" i="33"/>
  <c r="U31" i="33" s="1"/>
  <c r="F31" i="33"/>
  <c r="H45" i="33"/>
  <c r="U45" i="33" s="1"/>
  <c r="J45" i="33"/>
  <c r="W45" i="33" s="1"/>
  <c r="F45" i="33"/>
  <c r="J14" i="34"/>
  <c r="W14" i="34" s="1"/>
  <c r="F14" i="34"/>
  <c r="S14" i="34" s="1"/>
  <c r="H14" i="34"/>
  <c r="H30" i="34"/>
  <c r="F30" i="34"/>
  <c r="S30" i="34" s="1"/>
  <c r="J30" i="34"/>
  <c r="AC30" i="34" s="1"/>
  <c r="W30" i="34"/>
  <c r="H32" i="34"/>
  <c r="AB32" i="34" s="1"/>
  <c r="F32" i="34"/>
  <c r="AA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W13" i="36" s="1"/>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J37" i="37"/>
  <c r="AC37" i="37" s="1"/>
  <c r="H37" i="37"/>
  <c r="U37" i="37" s="1"/>
  <c r="H40" i="37"/>
  <c r="U40" i="37" s="1"/>
  <c r="J40" i="37"/>
  <c r="AC40" i="37" s="1"/>
  <c r="F40" i="37"/>
  <c r="AA40" i="37" s="1"/>
  <c r="AC12" i="40"/>
  <c r="H14" i="33"/>
  <c r="U14" i="33" s="1"/>
  <c r="F14" i="33"/>
  <c r="S14" i="33" s="1"/>
  <c r="J14" i="33"/>
  <c r="H30" i="33"/>
  <c r="AB30" i="33"/>
  <c r="F30" i="33"/>
  <c r="J30" i="33"/>
  <c r="AC30" i="33" s="1"/>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c r="F31" i="34"/>
  <c r="S31" i="34" s="1"/>
  <c r="H45" i="34"/>
  <c r="U45" i="34" s="1"/>
  <c r="J45" i="34"/>
  <c r="W45" i="34" s="1"/>
  <c r="F45" i="34"/>
  <c r="S45" i="34" s="1"/>
  <c r="H47" i="34"/>
  <c r="U47" i="34" s="1"/>
  <c r="F47" i="34"/>
  <c r="S47" i="34" s="1"/>
  <c r="J47" i="34"/>
  <c r="AC47" i="34" s="1"/>
  <c r="F13" i="35"/>
  <c r="AA13" i="35" s="1"/>
  <c r="J13" i="35"/>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S13" i="37" s="1"/>
  <c r="J13" i="37"/>
  <c r="W13" i="37" s="1"/>
  <c r="F28" i="37"/>
  <c r="J28" i="37"/>
  <c r="AC28" i="37" s="1"/>
  <c r="H28" i="37"/>
  <c r="U28" i="37"/>
  <c r="H38" i="37"/>
  <c r="AB38" i="37" s="1"/>
  <c r="J38" i="37"/>
  <c r="AC38" i="37" s="1"/>
  <c r="F38" i="37"/>
  <c r="S38" i="37" s="1"/>
  <c r="F43" i="39"/>
  <c r="AA43" i="39"/>
  <c r="H43" i="39"/>
  <c r="J14" i="39"/>
  <c r="AC14" i="39" s="1"/>
  <c r="F14" i="39"/>
  <c r="H14" i="39"/>
  <c r="AB14" i="39" s="1"/>
  <c r="F12" i="40"/>
  <c r="AA12" i="40" s="1"/>
  <c r="S12" i="40"/>
  <c r="H12" i="40"/>
  <c r="U12" i="40" s="1"/>
  <c r="H30" i="40"/>
  <c r="AB30" i="40" s="1"/>
  <c r="F33" i="40"/>
  <c r="AA33" i="40"/>
  <c r="H33" i="40"/>
  <c r="U33" i="40"/>
  <c r="J35" i="40"/>
  <c r="W35" i="40" s="1"/>
  <c r="J37" i="40"/>
  <c r="AC37" i="40" s="1"/>
  <c r="H13" i="40"/>
  <c r="U13" i="40"/>
  <c r="J13" i="40"/>
  <c r="F13" i="40"/>
  <c r="AA13" i="40" s="1"/>
  <c r="F14" i="37"/>
  <c r="AA14" i="37" s="1"/>
  <c r="F27" i="37"/>
  <c r="AA27" i="37" s="1"/>
  <c r="F13" i="39"/>
  <c r="J13" i="39"/>
  <c r="W13" i="39" s="1"/>
  <c r="H13" i="39"/>
  <c r="H14" i="40"/>
  <c r="AB14" i="40" s="1"/>
  <c r="J14" i="40"/>
  <c r="W14" i="40" s="1"/>
  <c r="F14" i="40"/>
  <c r="AA14" i="40" s="1"/>
  <c r="J14" i="37"/>
  <c r="AC14" i="37" s="1"/>
  <c r="J27" i="37"/>
  <c r="AC27" i="37" s="1"/>
  <c r="AA44" i="33"/>
  <c r="U31" i="34"/>
  <c r="J36" i="37"/>
  <c r="AC36" i="37"/>
  <c r="J10" i="36"/>
  <c r="AC10" i="36" s="1"/>
  <c r="AB30" i="21"/>
  <c r="AB45" i="33"/>
  <c r="BA586" i="3"/>
  <c r="BA585" i="3"/>
  <c r="F17" i="21"/>
  <c r="AA17" i="21" s="1"/>
  <c r="H17" i="21"/>
  <c r="AB17" i="21" s="1"/>
  <c r="F15" i="21"/>
  <c r="S15" i="21" s="1"/>
  <c r="J41" i="39"/>
  <c r="W41" i="39" s="1"/>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c r="BA572" i="3"/>
  <c r="AZ572" i="3" s="1"/>
  <c r="BA570" i="3"/>
  <c r="BA568" i="3"/>
  <c r="BA566" i="3"/>
  <c r="BA564" i="3"/>
  <c r="BA562" i="3"/>
  <c r="BA560" i="3"/>
  <c r="BA558" i="3"/>
  <c r="BA556" i="3"/>
  <c r="AZ556" i="3" s="1"/>
  <c r="BA554" i="3"/>
  <c r="AZ554" i="3" s="1"/>
  <c r="BA552" i="3"/>
  <c r="AZ552" i="3"/>
  <c r="BA548" i="3"/>
  <c r="BA546" i="3"/>
  <c r="BA544" i="3"/>
  <c r="AZ544" i="3"/>
  <c r="BA542" i="3"/>
  <c r="AZ542" i="3" s="1"/>
  <c r="BA540" i="3"/>
  <c r="BA538" i="3"/>
  <c r="BA536" i="3"/>
  <c r="AZ536" i="3"/>
  <c r="BA534" i="3"/>
  <c r="AZ534" i="3" s="1"/>
  <c r="BA532" i="3"/>
  <c r="AZ532" i="3"/>
  <c r="BA530" i="3"/>
  <c r="AZ530" i="3" s="1"/>
  <c r="BA528" i="3"/>
  <c r="AZ528" i="3"/>
  <c r="BA526" i="3"/>
  <c r="AZ526" i="3" s="1"/>
  <c r="BA524" i="3"/>
  <c r="AZ524" i="3" s="1"/>
  <c r="BA522" i="3"/>
  <c r="BA520" i="3"/>
  <c r="BA518" i="3"/>
  <c r="BA516" i="3"/>
  <c r="BA514" i="3"/>
  <c r="BA512" i="3"/>
  <c r="BA510" i="3"/>
  <c r="AZ510" i="3"/>
  <c r="BA508" i="3"/>
  <c r="BA506" i="3"/>
  <c r="BA504" i="3"/>
  <c r="AZ504" i="3"/>
  <c r="BA502" i="3"/>
  <c r="BA500" i="3"/>
  <c r="BA498" i="3"/>
  <c r="AZ498" i="3"/>
  <c r="BA496" i="3"/>
  <c r="BA494" i="3"/>
  <c r="BA583" i="3"/>
  <c r="BA581" i="3"/>
  <c r="BA579" i="3"/>
  <c r="BA577" i="3"/>
  <c r="AZ577" i="3" s="1"/>
  <c r="BA575" i="3"/>
  <c r="BA573" i="3"/>
  <c r="BA571" i="3"/>
  <c r="BA569" i="3"/>
  <c r="BA567" i="3"/>
  <c r="BA565" i="3"/>
  <c r="BA563" i="3"/>
  <c r="BA561" i="3"/>
  <c r="AZ561" i="3" s="1"/>
  <c r="BA559" i="3"/>
  <c r="BA555" i="3"/>
  <c r="BA549" i="3"/>
  <c r="BA547" i="3"/>
  <c r="BA545" i="3"/>
  <c r="BA543" i="3"/>
  <c r="BA541" i="3"/>
  <c r="BA539" i="3"/>
  <c r="BA537" i="3"/>
  <c r="BA535" i="3"/>
  <c r="BA533" i="3"/>
  <c r="BA531" i="3"/>
  <c r="AZ531" i="3" s="1"/>
  <c r="BA529" i="3"/>
  <c r="AZ529" i="3" s="1"/>
  <c r="BA527" i="3"/>
  <c r="AZ527" i="3" s="1"/>
  <c r="BA525" i="3"/>
  <c r="BA523" i="3"/>
  <c r="AZ523" i="3" s="1"/>
  <c r="BA519" i="3"/>
  <c r="BA517" i="3"/>
  <c r="BA515" i="3"/>
  <c r="BA513" i="3"/>
  <c r="BA511" i="3"/>
  <c r="BA507" i="3"/>
  <c r="AZ507" i="3" s="1"/>
  <c r="BA505" i="3"/>
  <c r="BA503" i="3"/>
  <c r="BA501" i="3"/>
  <c r="BA499" i="3"/>
  <c r="BA497" i="3"/>
  <c r="BA495" i="3"/>
  <c r="BA493" i="3"/>
  <c r="G583" i="3"/>
  <c r="G581" i="3"/>
  <c r="G579" i="3"/>
  <c r="G577" i="3"/>
  <c r="G575" i="3"/>
  <c r="G573" i="3"/>
  <c r="G571" i="3"/>
  <c r="G569" i="3"/>
  <c r="G567" i="3"/>
  <c r="G565" i="3"/>
  <c r="G563" i="3"/>
  <c r="G561"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AZ571" i="3" s="1"/>
  <c r="BQ569" i="3"/>
  <c r="BL569" i="3" s="1"/>
  <c r="BQ567" i="3"/>
  <c r="BL567" i="3"/>
  <c r="BQ565" i="3"/>
  <c r="BL565" i="3"/>
  <c r="AZ565" i="3"/>
  <c r="BQ563" i="3"/>
  <c r="BL563" i="3" s="1"/>
  <c r="AZ563" i="3" s="1"/>
  <c r="BQ561" i="3"/>
  <c r="BL561" i="3" s="1"/>
  <c r="BQ559" i="3"/>
  <c r="BL559" i="3" s="1"/>
  <c r="G559" i="3"/>
  <c r="G555" i="3"/>
  <c r="G553" i="3"/>
  <c r="G549" i="3"/>
  <c r="G547" i="3"/>
  <c r="G545" i="3"/>
  <c r="G543" i="3"/>
  <c r="G541" i="3"/>
  <c r="G539" i="3"/>
  <c r="G537" i="3"/>
  <c r="BQ555" i="3"/>
  <c r="BL555" i="3"/>
  <c r="AZ555" i="3" s="1"/>
  <c r="BQ553" i="3"/>
  <c r="BL553" i="3" s="1"/>
  <c r="AZ553" i="3" s="1"/>
  <c r="BQ551" i="3"/>
  <c r="BQ549" i="3"/>
  <c r="BQ547" i="3"/>
  <c r="BL547" i="3" s="1"/>
  <c r="BQ545" i="3"/>
  <c r="BL545" i="3" s="1"/>
  <c r="BQ543" i="3"/>
  <c r="BL543" i="3" s="1"/>
  <c r="AZ543" i="3"/>
  <c r="BQ541" i="3"/>
  <c r="BL541" i="3" s="1"/>
  <c r="BQ539" i="3"/>
  <c r="BL539" i="3" s="1"/>
  <c r="BQ537" i="3"/>
  <c r="BL537" i="3"/>
  <c r="AZ537" i="3" s="1"/>
  <c r="BQ535" i="3"/>
  <c r="BL535" i="3" s="1"/>
  <c r="AZ535" i="3" s="1"/>
  <c r="BQ533" i="3"/>
  <c r="BL533" i="3" s="1"/>
  <c r="BQ531" i="3"/>
  <c r="BL531" i="3" s="1"/>
  <c r="BQ529" i="3"/>
  <c r="BL529" i="3" s="1"/>
  <c r="BQ527" i="3"/>
  <c r="BL527" i="3" s="1"/>
  <c r="BQ525" i="3"/>
  <c r="BL525" i="3" s="1"/>
  <c r="BQ523" i="3"/>
  <c r="BL523" i="3" s="1"/>
  <c r="BA521" i="3"/>
  <c r="AC521" i="3"/>
  <c r="G521" i="3" s="1"/>
  <c r="BQ521" i="3"/>
  <c r="BL521" i="3"/>
  <c r="BL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BQ505" i="3"/>
  <c r="BL505" i="3"/>
  <c r="BQ503" i="3"/>
  <c r="BL503" i="3" s="1"/>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AB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c r="H27" i="34"/>
  <c r="AB27" i="34" s="1"/>
  <c r="H35" i="34"/>
  <c r="U35" i="34" s="1"/>
  <c r="F41" i="34"/>
  <c r="S41" i="34"/>
  <c r="H41" i="34"/>
  <c r="U41" i="34" s="1"/>
  <c r="J41" i="34"/>
  <c r="AC41" i="34" s="1"/>
  <c r="F10" i="35"/>
  <c r="S10" i="35" s="1"/>
  <c r="F24" i="35"/>
  <c r="S24" i="35" s="1"/>
  <c r="H24" i="35"/>
  <c r="AB24" i="35" s="1"/>
  <c r="H23" i="37"/>
  <c r="AB23" i="37"/>
  <c r="J32" i="37"/>
  <c r="AC32" i="37" s="1"/>
  <c r="F36" i="37"/>
  <c r="AA36" i="37"/>
  <c r="F37" i="37"/>
  <c r="AA37" i="37" s="1"/>
  <c r="F31" i="40"/>
  <c r="AA31" i="40"/>
  <c r="H31" i="40"/>
  <c r="U31" i="40" s="1"/>
  <c r="F32" i="40"/>
  <c r="AA32" i="40" s="1"/>
  <c r="H32" i="40"/>
  <c r="AB32" i="40" s="1"/>
  <c r="J36" i="40"/>
  <c r="W36" i="40"/>
  <c r="AA41" i="34"/>
  <c r="H19" i="37"/>
  <c r="AB19" i="37" s="1"/>
  <c r="H42" i="33"/>
  <c r="AB42" i="33" s="1"/>
  <c r="J43" i="33"/>
  <c r="AC43" i="33" s="1"/>
  <c r="S28" i="31"/>
  <c r="S27" i="31"/>
  <c r="S26" i="31"/>
  <c r="U14" i="40"/>
  <c r="AA12" i="35"/>
  <c r="W14" i="37"/>
  <c r="AB28" i="37"/>
  <c r="U39" i="37"/>
  <c r="W26" i="37"/>
  <c r="W47" i="34"/>
  <c r="AB13" i="34"/>
  <c r="AC36" i="34"/>
  <c r="AA13" i="33"/>
  <c r="AC45" i="33"/>
  <c r="W44" i="33"/>
  <c r="U19" i="21"/>
  <c r="F43" i="33"/>
  <c r="AA43" i="33" s="1"/>
  <c r="W15" i="34"/>
  <c r="AC15" i="34"/>
  <c r="W16" i="35"/>
  <c r="W40" i="37"/>
  <c r="I107" i="37"/>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J15" i="37"/>
  <c r="W15" i="37"/>
  <c r="AT6" i="3"/>
  <c r="H5" i="3"/>
  <c r="H19" i="40"/>
  <c r="U19" i="40" s="1"/>
  <c r="F88" i="40"/>
  <c r="G88" i="40" s="1"/>
  <c r="F19" i="40"/>
  <c r="S19" i="40" s="1"/>
  <c r="S14" i="40"/>
  <c r="AB33" i="40"/>
  <c r="W23" i="39"/>
  <c r="AC43" i="39"/>
  <c r="W43" i="39"/>
  <c r="AB44" i="39"/>
  <c r="U44" i="39"/>
  <c r="G100" i="39"/>
  <c r="H37" i="39"/>
  <c r="AB37" i="39"/>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32" i="3"/>
  <c r="BL549" i="3"/>
  <c r="AZ549" i="3" s="1"/>
  <c r="AZ494" i="3"/>
  <c r="AZ514" i="3"/>
  <c r="AZ522"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BA376" i="3"/>
  <c r="AZ376" i="3" s="1"/>
  <c r="BL376" i="3"/>
  <c r="G377" i="3"/>
  <c r="BA378" i="3"/>
  <c r="AZ378" i="3" s="1"/>
  <c r="BL378" i="3"/>
  <c r="G379" i="3"/>
  <c r="BA380" i="3"/>
  <c r="G388" i="3"/>
  <c r="BL389" i="3"/>
  <c r="G390" i="3"/>
  <c r="BL391" i="3"/>
  <c r="BA393" i="3"/>
  <c r="AZ393" i="3" s="1"/>
  <c r="BA394" i="3"/>
  <c r="BL394" i="3"/>
  <c r="AZ394" i="3" s="1"/>
  <c r="G113" i="3"/>
  <c r="BA115" i="3"/>
  <c r="AZ115" i="3" s="1"/>
  <c r="BL116" i="3"/>
  <c r="G117" i="3"/>
  <c r="BA119" i="3"/>
  <c r="BL120" i="3"/>
  <c r="G121" i="3"/>
  <c r="BA123" i="3"/>
  <c r="BL124" i="3"/>
  <c r="AZ124" i="3" s="1"/>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184" i="3"/>
  <c r="AZ200" i="3"/>
  <c r="G534" i="3"/>
  <c r="G530" i="3"/>
  <c r="G522" i="3"/>
  <c r="G516" i="3"/>
  <c r="G512" i="3"/>
  <c r="G506" i="3"/>
  <c r="G498" i="3"/>
  <c r="G494" i="3"/>
  <c r="G16" i="3"/>
  <c r="G15" i="3"/>
  <c r="BA304" i="3"/>
  <c r="AZ304" i="3" s="1"/>
  <c r="BA305" i="3"/>
  <c r="BL305" i="3"/>
  <c r="G306" i="3"/>
  <c r="G309" i="3"/>
  <c r="BL310" i="3"/>
  <c r="AZ310" i="3" s="1"/>
  <c r="BA312" i="3"/>
  <c r="BA313" i="3"/>
  <c r="AZ313" i="3" s="1"/>
  <c r="BL313" i="3"/>
  <c r="G314" i="3"/>
  <c r="G317" i="3"/>
  <c r="BL318" i="3"/>
  <c r="BA320" i="3"/>
  <c r="AZ320" i="3" s="1"/>
  <c r="BA321" i="3"/>
  <c r="BL321" i="3"/>
  <c r="G322" i="3"/>
  <c r="G325" i="3"/>
  <c r="BL326" i="3"/>
  <c r="BA328" i="3"/>
  <c r="BA329" i="3"/>
  <c r="BL329" i="3"/>
  <c r="AZ329" i="3"/>
  <c r="G330" i="3"/>
  <c r="G333" i="3"/>
  <c r="BL334" i="3"/>
  <c r="BA336" i="3"/>
  <c r="BA337" i="3"/>
  <c r="BL337" i="3"/>
  <c r="G338" i="3"/>
  <c r="G341" i="3"/>
  <c r="BA342" i="3"/>
  <c r="AZ342" i="3" s="1"/>
  <c r="BL342" i="3"/>
  <c r="BA344" i="3"/>
  <c r="BL344" i="3"/>
  <c r="AZ344" i="3"/>
  <c r="BA346" i="3"/>
  <c r="AZ346" i="3" s="1"/>
  <c r="BA347" i="3"/>
  <c r="BL347" i="3"/>
  <c r="AZ347" i="3" s="1"/>
  <c r="G350" i="3"/>
  <c r="BA351" i="3"/>
  <c r="AZ351" i="3" s="1"/>
  <c r="BL351" i="3"/>
  <c r="G352" i="3"/>
  <c r="G354" i="3"/>
  <c r="BA355" i="3"/>
  <c r="AZ355" i="3"/>
  <c r="BA356" i="3"/>
  <c r="AZ356" i="3" s="1"/>
  <c r="BL356" i="3"/>
  <c r="G357" i="3"/>
  <c r="G360" i="3"/>
  <c r="BL361" i="3"/>
  <c r="BA363" i="3"/>
  <c r="AZ363" i="3"/>
  <c r="BA364" i="3"/>
  <c r="BL364" i="3"/>
  <c r="G365" i="3"/>
  <c r="G368" i="3"/>
  <c r="BL369" i="3"/>
  <c r="BA371" i="3"/>
  <c r="BA372" i="3"/>
  <c r="BL372" i="3"/>
  <c r="AZ372" i="3" s="1"/>
  <c r="G373" i="3"/>
  <c r="G376" i="3"/>
  <c r="BL377" i="3"/>
  <c r="BL379" i="3"/>
  <c r="BA381" i="3"/>
  <c r="BA382" i="3"/>
  <c r="BL382" i="3"/>
  <c r="G383" i="3"/>
  <c r="G386" i="3"/>
  <c r="BL387" i="3"/>
  <c r="BA389" i="3"/>
  <c r="BA390" i="3"/>
  <c r="AZ390" i="3" s="1"/>
  <c r="BL390" i="3"/>
  <c r="G391" i="3"/>
  <c r="G394" i="3"/>
  <c r="AZ500" i="3"/>
  <c r="BA16" i="3"/>
  <c r="BL303" i="3"/>
  <c r="AZ303" i="3" s="1"/>
  <c r="G304" i="3"/>
  <c r="BA306" i="3"/>
  <c r="AZ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AZ334" i="3" s="1"/>
  <c r="BL335" i="3"/>
  <c r="AZ335" i="3" s="1"/>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c r="AZ269" i="3"/>
  <c r="BA379" i="3"/>
  <c r="AZ379" i="3" s="1"/>
  <c r="BL380" i="3"/>
  <c r="G381" i="3"/>
  <c r="BA383" i="3"/>
  <c r="BL384" i="3"/>
  <c r="G385" i="3"/>
  <c r="BA387" i="3"/>
  <c r="AZ387" i="3" s="1"/>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AZ352" i="3"/>
  <c r="BA15" i="3"/>
  <c r="BB5" i="3"/>
  <c r="BR5" i="3"/>
  <c r="AZ388" i="3"/>
  <c r="AZ499" i="3"/>
  <c r="AZ509" i="3"/>
  <c r="G509" i="3"/>
  <c r="U36" i="40"/>
  <c r="F83" i="43"/>
  <c r="H85" i="43" s="1"/>
  <c r="F50" i="43"/>
  <c r="H54" i="43" s="1"/>
  <c r="F72" i="43"/>
  <c r="H75" i="43" s="1"/>
  <c r="U17" i="39"/>
  <c r="S14" i="35"/>
  <c r="U35" i="21"/>
  <c r="G8" i="1"/>
  <c r="G10" i="1"/>
  <c r="AC11" i="39"/>
  <c r="AZ501" i="3"/>
  <c r="W37" i="37"/>
  <c r="W44" i="34"/>
  <c r="AC44" i="34"/>
  <c r="J37" i="33"/>
  <c r="W37" i="33" s="1"/>
  <c r="AC17" i="34"/>
  <c r="F106" i="33"/>
  <c r="G106" i="33" s="1"/>
  <c r="H106" i="33" s="1"/>
  <c r="I106" i="33" s="1"/>
  <c r="J106" i="33" s="1"/>
  <c r="K106" i="33" s="1"/>
  <c r="L106" i="33" s="1"/>
  <c r="M106" i="33" s="1"/>
  <c r="J34" i="33"/>
  <c r="AC34" i="33" s="1"/>
  <c r="F33" i="34"/>
  <c r="S33" i="34" s="1"/>
  <c r="W12" i="36"/>
  <c r="AC12" i="36"/>
  <c r="H20" i="36"/>
  <c r="AB20" i="36" s="1"/>
  <c r="U20" i="36"/>
  <c r="J20" i="36"/>
  <c r="W20" i="36" s="1"/>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AA27" i="40" s="1"/>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C40" i="11"/>
  <c r="F23" i="39"/>
  <c r="AA23" i="39" s="1"/>
  <c r="H27" i="36"/>
  <c r="U27" i="36" s="1"/>
  <c r="F27" i="36"/>
  <c r="AA27" i="36" s="1"/>
  <c r="H33" i="34"/>
  <c r="AB33" i="34" s="1"/>
  <c r="U33" i="34"/>
  <c r="F32" i="37"/>
  <c r="F20" i="36"/>
  <c r="S20" i="36" s="1"/>
  <c r="J33" i="34"/>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A39" i="34"/>
  <c r="BL14" i="3"/>
  <c r="U30" i="33"/>
  <c r="AC13" i="34"/>
  <c r="W28" i="37"/>
  <c r="S19" i="39"/>
  <c r="F12" i="33"/>
  <c r="H12" i="39"/>
  <c r="U12" i="39" s="1"/>
  <c r="AB12" i="39"/>
  <c r="F39" i="40"/>
  <c r="BA14" i="3"/>
  <c r="AZ14" i="3" s="1"/>
  <c r="B12" i="1"/>
  <c r="E12" i="1" s="1"/>
  <c r="B10" i="1"/>
  <c r="E10" i="1" s="1"/>
  <c r="K12" i="1"/>
  <c r="M12" i="1" s="1"/>
  <c r="S13" i="1"/>
  <c r="AR13" i="1" s="1"/>
  <c r="R13" i="1"/>
  <c r="J51" i="67"/>
  <c r="C42" i="1"/>
  <c r="C24" i="12" s="1"/>
  <c r="B41" i="1"/>
  <c r="AB37" i="40"/>
  <c r="S35" i="40"/>
  <c r="U35" i="40"/>
  <c r="AC36" i="40"/>
  <c r="W38" i="40"/>
  <c r="S17" i="40"/>
  <c r="S23" i="40"/>
  <c r="AC17" i="40"/>
  <c r="AC15" i="40"/>
  <c r="AB27" i="40"/>
  <c r="S30" i="40"/>
  <c r="AA19" i="40"/>
  <c r="S28" i="40"/>
  <c r="U21" i="40"/>
  <c r="AB19" i="40"/>
  <c r="U37" i="39"/>
  <c r="S43" i="39"/>
  <c r="S37" i="39"/>
  <c r="F32" i="39"/>
  <c r="F106" i="39"/>
  <c r="G106" i="39" s="1"/>
  <c r="H106" i="39" s="1"/>
  <c r="I106" i="39" s="1"/>
  <c r="J106" i="39" s="1"/>
  <c r="K106" i="39" s="1"/>
  <c r="L106" i="39" s="1"/>
  <c r="M106" i="39" s="1"/>
  <c r="AB27" i="39"/>
  <c r="U31" i="39"/>
  <c r="J21" i="39"/>
  <c r="W21" i="39" s="1"/>
  <c r="F21" i="39"/>
  <c r="AA21" i="39" s="1"/>
  <c r="G94" i="39"/>
  <c r="H21" i="39"/>
  <c r="U21" i="39" s="1"/>
  <c r="W19" i="39"/>
  <c r="U19" i="39"/>
  <c r="S17" i="39"/>
  <c r="S15" i="39"/>
  <c r="AA12" i="39"/>
  <c r="S9" i="39"/>
  <c r="U14" i="39"/>
  <c r="AC13" i="39"/>
  <c r="U26" i="36"/>
  <c r="S33" i="36"/>
  <c r="AA26" i="36"/>
  <c r="AA34" i="36"/>
  <c r="AC26" i="36"/>
  <c r="AA22" i="36"/>
  <c r="U22" i="36"/>
  <c r="S16" i="36"/>
  <c r="AA25" i="36"/>
  <c r="S24" i="36"/>
  <c r="U24"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AB40" i="37"/>
  <c r="S25" i="37"/>
  <c r="W27" i="37"/>
  <c r="AC29" i="37"/>
  <c r="U29" i="37"/>
  <c r="W30" i="37"/>
  <c r="S36" i="37"/>
  <c r="AA38" i="37"/>
  <c r="U32" i="37"/>
  <c r="W38" i="37"/>
  <c r="AC35" i="37"/>
  <c r="W39" i="37"/>
  <c r="S30" i="37"/>
  <c r="S37" i="37"/>
  <c r="AC15" i="37"/>
  <c r="J17" i="37"/>
  <c r="W17" i="37"/>
  <c r="G73" i="37"/>
  <c r="F17" i="37"/>
  <c r="AA17" i="37" s="1"/>
  <c r="F75" i="37"/>
  <c r="G75" i="37" s="1"/>
  <c r="F19" i="37"/>
  <c r="AA19" i="37" s="1"/>
  <c r="F79" i="37"/>
  <c r="F23" i="37"/>
  <c r="U23" i="37"/>
  <c r="U15" i="37"/>
  <c r="AC13" i="37"/>
  <c r="H10" i="37"/>
  <c r="AB10" i="37" s="1"/>
  <c r="F63" i="37"/>
  <c r="G63" i="37" s="1"/>
  <c r="H63" i="37" s="1"/>
  <c r="I63" i="37" s="1"/>
  <c r="J63" i="37" s="1"/>
  <c r="K63" i="37" s="1"/>
  <c r="L63" i="37" s="1"/>
  <c r="M63" i="37" s="1"/>
  <c r="F11" i="37"/>
  <c r="S11" i="37" s="1"/>
  <c r="S27" i="34"/>
  <c r="W25" i="34"/>
  <c r="AB8" i="34"/>
  <c r="AA33" i="34"/>
  <c r="U43"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AA36" i="33" s="1"/>
  <c r="G111" i="33"/>
  <c r="H111" i="33" s="1"/>
  <c r="G108" i="33"/>
  <c r="H108" i="33" s="1"/>
  <c r="I108" i="33" s="1"/>
  <c r="J108" i="33" s="1"/>
  <c r="K108" i="33" s="1"/>
  <c r="L108" i="33" s="1"/>
  <c r="M108" i="33" s="1"/>
  <c r="J35" i="33"/>
  <c r="S37" i="33"/>
  <c r="AA37" i="33"/>
  <c r="S39" i="33"/>
  <c r="F101" i="33"/>
  <c r="G101" i="33" s="1"/>
  <c r="H101" i="33" s="1"/>
  <c r="I101" i="33" s="1"/>
  <c r="J101" i="33"/>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AC17" i="33" s="1"/>
  <c r="S15" i="33"/>
  <c r="W15" i="33"/>
  <c r="U9" i="33"/>
  <c r="J10" i="33"/>
  <c r="W10" i="33" s="1"/>
  <c r="H10" i="33"/>
  <c r="U10" i="33" s="1"/>
  <c r="AC11" i="33"/>
  <c r="AB14" i="33"/>
  <c r="W41" i="21"/>
  <c r="AB39" i="21"/>
  <c r="S39" i="21"/>
  <c r="J15" i="21"/>
  <c r="W15"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E7" i="84" s="1"/>
  <c r="C7" i="40"/>
  <c r="C63" i="40" s="1"/>
  <c r="M47" i="9"/>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S9" i="36"/>
  <c r="AB20" i="35"/>
  <c r="AC25" i="35"/>
  <c r="U25" i="35"/>
  <c r="U24" i="35"/>
  <c r="S35" i="35"/>
  <c r="W35" i="35"/>
  <c r="AA16" i="35"/>
  <c r="AA35" i="37"/>
  <c r="W36" i="37"/>
  <c r="S27" i="37"/>
  <c r="W32" i="37"/>
  <c r="U36" i="37"/>
  <c r="S40" i="37"/>
  <c r="U38" i="37"/>
  <c r="AB37" i="37"/>
  <c r="AC34" i="37"/>
  <c r="AB35" i="37"/>
  <c r="AA31" i="37"/>
  <c r="AA29" i="37"/>
  <c r="U8" i="37"/>
  <c r="AA40" i="34"/>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S46" i="34"/>
  <c r="AA46" i="34"/>
  <c r="U32" i="34"/>
  <c r="U14" i="34"/>
  <c r="AB14" i="34"/>
  <c r="AC43" i="34"/>
  <c r="W43" i="34"/>
  <c r="W23" i="34"/>
  <c r="AC23" i="34"/>
  <c r="AC35" i="34"/>
  <c r="W35" i="34"/>
  <c r="AB28" i="33"/>
  <c r="AC37" i="33"/>
  <c r="W46" i="33"/>
  <c r="U39" i="33"/>
  <c r="U38" i="33"/>
  <c r="S33" i="33"/>
  <c r="AB34" i="33"/>
  <c r="U44" i="33"/>
  <c r="AB44" i="33"/>
  <c r="S30" i="33"/>
  <c r="AA30" i="33"/>
  <c r="AC14" i="33"/>
  <c r="W14" i="33"/>
  <c r="W30" i="33"/>
  <c r="S31" i="33"/>
  <c r="AA31"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U40" i="21"/>
  <c r="AB31" i="21"/>
  <c r="U31" i="21"/>
  <c r="J37" i="21"/>
  <c r="W37" i="21" s="1"/>
  <c r="H15" i="21"/>
  <c r="U15" i="21" s="1"/>
  <c r="J17" i="21"/>
  <c r="W17" i="21" s="1"/>
  <c r="W39" i="21"/>
  <c r="W30" i="21"/>
  <c r="H45" i="21"/>
  <c r="U45" i="21" s="1"/>
  <c r="F29" i="21"/>
  <c r="S29" i="21" s="1"/>
  <c r="AC38" i="21"/>
  <c r="H32" i="21"/>
  <c r="U32" i="21" s="1"/>
  <c r="H9" i="21"/>
  <c r="AB9" i="21" s="1"/>
  <c r="J9" i="21"/>
  <c r="AC9" i="21" s="1"/>
  <c r="J32" i="21"/>
  <c r="W32" i="21" s="1"/>
  <c r="F32" i="21"/>
  <c r="AA32" i="21" s="1"/>
  <c r="AA31" i="21"/>
  <c r="K141" i="21"/>
  <c r="K144" i="21"/>
  <c r="K143" i="21"/>
  <c r="AA30" i="21"/>
  <c r="F10" i="21"/>
  <c r="AA10" i="21" s="1"/>
  <c r="K145" i="21"/>
  <c r="W31" i="21"/>
  <c r="AB29"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M18" i="67"/>
  <c r="F32" i="67"/>
  <c r="F60" i="67" s="1"/>
  <c r="F30" i="69"/>
  <c r="F48" i="69" s="1"/>
  <c r="F32" i="15"/>
  <c r="F60" i="15" s="1"/>
  <c r="F28" i="15"/>
  <c r="AA39" i="40"/>
  <c r="S39" i="40"/>
  <c r="S12" i="33"/>
  <c r="AA12" i="33"/>
  <c r="D68" i="9"/>
  <c r="F54" i="9"/>
  <c r="J32" i="39"/>
  <c r="H32" i="39"/>
  <c r="AB32" i="39" s="1"/>
  <c r="S21" i="39"/>
  <c r="AC17" i="37"/>
  <c r="J19" i="37"/>
  <c r="AC19" i="37" s="1"/>
  <c r="S19" i="37"/>
  <c r="J23" i="37"/>
  <c r="W23" i="37" s="1"/>
  <c r="G79" i="37"/>
  <c r="J10" i="37"/>
  <c r="W10" i="37" s="1"/>
  <c r="H11" i="37"/>
  <c r="AB11" i="37" s="1"/>
  <c r="H11" i="34"/>
  <c r="U11" i="34" s="1"/>
  <c r="J10" i="34"/>
  <c r="AC10" i="34" s="1"/>
  <c r="U41" i="33"/>
  <c r="I111" i="33"/>
  <c r="J111" i="33"/>
  <c r="K111" i="33" s="1"/>
  <c r="L111" i="33" s="1"/>
  <c r="M111" i="33" s="1"/>
  <c r="J36" i="33"/>
  <c r="W36" i="33" s="1"/>
  <c r="H36" i="33"/>
  <c r="U36" i="33" s="1"/>
  <c r="S36" i="33"/>
  <c r="AC32" i="33"/>
  <c r="W32" i="33"/>
  <c r="AB27" i="33"/>
  <c r="G91" i="33"/>
  <c r="H91" i="33" s="1"/>
  <c r="I91" i="33" s="1"/>
  <c r="J91" i="33" s="1"/>
  <c r="K91" i="33"/>
  <c r="L91" i="33" s="1"/>
  <c r="M91" i="33" s="1"/>
  <c r="J27" i="33"/>
  <c r="U25" i="33"/>
  <c r="S25" i="33"/>
  <c r="AA25" i="33"/>
  <c r="G87" i="33"/>
  <c r="H87" i="33" s="1"/>
  <c r="I87" i="33" s="1"/>
  <c r="J87" i="33" s="1"/>
  <c r="K87" i="33" s="1"/>
  <c r="L87" i="33" s="1"/>
  <c r="M87" i="33" s="1"/>
  <c r="J25" i="33"/>
  <c r="F23" i="33"/>
  <c r="S23" i="33" s="1"/>
  <c r="G85" i="33"/>
  <c r="W23" i="33"/>
  <c r="H19" i="33"/>
  <c r="AB19" i="33" s="1"/>
  <c r="G81" i="33"/>
  <c r="G79" i="33"/>
  <c r="H17" i="33"/>
  <c r="F17" i="33"/>
  <c r="AA17" i="33" s="1"/>
  <c r="W17" i="33"/>
  <c r="J23" i="21"/>
  <c r="W23" i="21" s="1"/>
  <c r="H23" i="21"/>
  <c r="AB23" i="21" s="1"/>
  <c r="D6" i="52"/>
  <c r="AP7" i="1"/>
  <c r="W9" i="21"/>
  <c r="AB32" i="21"/>
  <c r="A18" i="62"/>
  <c r="B64" i="72" s="1"/>
  <c r="U32" i="39"/>
  <c r="AC32" i="39"/>
  <c r="W32" i="39"/>
  <c r="AC23" i="37"/>
  <c r="J11" i="37"/>
  <c r="AC11" i="37" s="1"/>
  <c r="J11" i="34"/>
  <c r="W11" i="34" s="1"/>
  <c r="AB36" i="33"/>
  <c r="W27" i="33"/>
  <c r="AC27" i="33"/>
  <c r="W25" i="33"/>
  <c r="AC25" i="33"/>
  <c r="U17" i="33"/>
  <c r="AB17" i="33"/>
  <c r="H109" i="9"/>
  <c r="M49" i="9" s="1"/>
  <c r="H112" i="9"/>
  <c r="D21" i="53" s="1"/>
  <c r="B39" i="72" s="1"/>
  <c r="H111" i="9"/>
  <c r="D126" i="9" s="1"/>
  <c r="D19" i="53"/>
  <c r="B38" i="72" s="1"/>
  <c r="AD3" i="71"/>
  <c r="J1" i="73"/>
  <c r="H69" i="43"/>
  <c r="H50" i="43"/>
  <c r="D24" i="71"/>
  <c r="U24" i="71"/>
  <c r="S24" i="71"/>
  <c r="T24" i="71"/>
  <c r="AB22" i="71"/>
  <c r="X20" i="71"/>
  <c r="X19" i="71"/>
  <c r="AA20" i="71"/>
  <c r="AA19" i="71"/>
  <c r="X23" i="71"/>
  <c r="Y19" i="71"/>
  <c r="Z19" i="71" s="1"/>
  <c r="AB20" i="71"/>
  <c r="AB19" i="71"/>
  <c r="F21" i="71"/>
  <c r="F20" i="71"/>
  <c r="F19" i="71" s="1"/>
  <c r="F18" i="71" s="1"/>
  <c r="F17" i="71" s="1"/>
  <c r="Y20" i="71"/>
  <c r="Z20" i="71" s="1"/>
  <c r="X3" i="71"/>
  <c r="F4" i="73"/>
  <c r="D7" i="73"/>
  <c r="F8" i="15"/>
  <c r="M22" i="15"/>
  <c r="D19" i="9"/>
  <c r="F43" i="15"/>
  <c r="D4" i="73"/>
  <c r="J15" i="15"/>
  <c r="F38" i="15"/>
  <c r="M6" i="67"/>
  <c r="M29" i="15"/>
  <c r="B9" i="76"/>
  <c r="D3" i="73"/>
  <c r="F20" i="31"/>
  <c r="L48" i="67"/>
  <c r="L47" i="15"/>
  <c r="F9" i="15"/>
  <c r="F13" i="15"/>
  <c r="E7" i="76"/>
  <c r="F37" i="15"/>
  <c r="F5" i="73"/>
  <c r="M8" i="67"/>
  <c r="M29" i="67"/>
  <c r="M8" i="15"/>
  <c r="F36" i="15"/>
  <c r="F6" i="73"/>
  <c r="C19" i="9"/>
  <c r="M24" i="67"/>
  <c r="J15" i="67"/>
  <c r="B13" i="76"/>
  <c r="F26" i="15"/>
  <c r="D6" i="73"/>
  <c r="E13" i="76"/>
  <c r="M24" i="15"/>
  <c r="AO13" i="1"/>
  <c r="F42" i="67"/>
  <c r="F7" i="73"/>
  <c r="L48" i="15"/>
  <c r="B7" i="76"/>
  <c r="D34" i="9"/>
  <c r="D20" i="9"/>
  <c r="E12" i="76"/>
  <c r="F16" i="67"/>
  <c r="B12" i="76"/>
  <c r="F16" i="15"/>
  <c r="E8" i="76"/>
  <c r="C20" i="9"/>
  <c r="E11" i="76"/>
  <c r="B8" i="76"/>
  <c r="F40" i="15"/>
  <c r="L47" i="67"/>
  <c r="E2" i="68"/>
  <c r="C76" i="15"/>
  <c r="M28" i="15"/>
  <c r="M22" i="67"/>
  <c r="M9" i="15"/>
  <c r="F38" i="67"/>
  <c r="F3" i="73"/>
  <c r="B10" i="76"/>
  <c r="M9" i="67"/>
  <c r="B11" i="76"/>
  <c r="F7" i="15"/>
  <c r="M23" i="15"/>
  <c r="E10" i="76"/>
  <c r="F26" i="67"/>
  <c r="M26" i="15"/>
  <c r="F42" i="15"/>
  <c r="D35" i="9"/>
  <c r="F43" i="67"/>
  <c r="E2" i="69"/>
  <c r="E9" i="76"/>
  <c r="AA23" i="33" l="1"/>
  <c r="F48" i="9"/>
  <c r="O52" i="9" s="1"/>
  <c r="F30" i="11"/>
  <c r="C48" i="11" s="1"/>
  <c r="M18" i="15"/>
  <c r="AA32" i="37"/>
  <c r="S32" i="37"/>
  <c r="AZ327" i="3"/>
  <c r="AZ371" i="3"/>
  <c r="S43" i="34"/>
  <c r="AZ567" i="3"/>
  <c r="S14" i="37"/>
  <c r="D16" i="53"/>
  <c r="B34" i="72" s="1"/>
  <c r="AA19" i="33"/>
  <c r="U19" i="37"/>
  <c r="AZ547" i="3"/>
  <c r="AB13" i="36"/>
  <c r="U13" i="36"/>
  <c r="W19" i="37"/>
  <c r="W34" i="33"/>
  <c r="AZ370" i="3"/>
  <c r="AZ345" i="3"/>
  <c r="S32" i="40"/>
  <c r="AA14" i="36"/>
  <c r="S14" i="36"/>
  <c r="AC13" i="40"/>
  <c r="W13" i="40"/>
  <c r="AC13" i="35"/>
  <c r="W13" i="35"/>
  <c r="AC33" i="34"/>
  <c r="W33" i="34"/>
  <c r="AZ364" i="3"/>
  <c r="AZ321" i="3"/>
  <c r="U17" i="37"/>
  <c r="AZ521" i="3"/>
  <c r="AZ562" i="3"/>
  <c r="AZ576" i="3"/>
  <c r="AA28" i="37"/>
  <c r="S28" i="37"/>
  <c r="U23" i="33"/>
  <c r="AA20" i="36"/>
  <c r="AZ382" i="3"/>
  <c r="AZ380" i="3"/>
  <c r="AZ360" i="3"/>
  <c r="U31" i="37"/>
  <c r="AB31" i="37"/>
  <c r="AZ503" i="3"/>
  <c r="S17" i="37"/>
  <c r="U19" i="33"/>
  <c r="U35" i="35"/>
  <c r="AA24" i="35"/>
  <c r="AZ505" i="3"/>
  <c r="AZ525" i="3"/>
  <c r="AZ541" i="3"/>
  <c r="AZ496" i="3"/>
  <c r="AZ508" i="3"/>
  <c r="B94" i="43"/>
  <c r="C21" i="39"/>
  <c r="AB23" i="34"/>
  <c r="U23" i="34"/>
  <c r="H12" i="34"/>
  <c r="AA39" i="37"/>
  <c r="S39" i="37"/>
  <c r="B99" i="43"/>
  <c r="B76" i="43"/>
  <c r="W39" i="33"/>
  <c r="AC39" i="33"/>
  <c r="AC8" i="34"/>
  <c r="W8" i="34"/>
  <c r="AB38" i="40"/>
  <c r="U38" i="40"/>
  <c r="AZ558" i="3"/>
  <c r="E115" i="21"/>
  <c r="F115" i="21" s="1"/>
  <c r="G115" i="21" s="1"/>
  <c r="H115" i="21" s="1"/>
  <c r="I115" i="21" s="1"/>
  <c r="J115" i="21" s="1"/>
  <c r="K115" i="21" s="1"/>
  <c r="L115" i="21" s="1"/>
  <c r="M115" i="21" s="1"/>
  <c r="F38" i="21"/>
  <c r="S38" i="21" s="1"/>
  <c r="AC31" i="37"/>
  <c r="W31" i="37"/>
  <c r="AZ487" i="3"/>
  <c r="AZ511" i="3"/>
  <c r="AZ581" i="3"/>
  <c r="AZ502" i="3"/>
  <c r="AZ538" i="3"/>
  <c r="AZ560" i="3"/>
  <c r="S44" i="34"/>
  <c r="S15" i="34"/>
  <c r="W36" i="35"/>
  <c r="W40" i="40"/>
  <c r="AC40" i="40"/>
  <c r="BA587" i="3"/>
  <c r="AZ587" i="3" s="1"/>
  <c r="BA550" i="3"/>
  <c r="AB14" i="36"/>
  <c r="AC5" i="3"/>
  <c r="AZ343" i="3"/>
  <c r="AZ389" i="3"/>
  <c r="AZ341" i="3"/>
  <c r="U11" i="33"/>
  <c r="AZ519" i="3"/>
  <c r="AZ557" i="3"/>
  <c r="AZ518" i="3"/>
  <c r="AZ564" i="3"/>
  <c r="AZ578" i="3"/>
  <c r="AC13" i="36"/>
  <c r="C27" i="39"/>
  <c r="BL586" i="3"/>
  <c r="AZ586" i="3" s="1"/>
  <c r="J35" i="39"/>
  <c r="H35" i="39"/>
  <c r="AA13" i="37"/>
  <c r="W14" i="36"/>
  <c r="AA47" i="34"/>
  <c r="U13" i="37"/>
  <c r="AZ357" i="3"/>
  <c r="AZ336" i="3"/>
  <c r="AZ305" i="3"/>
  <c r="AZ147" i="3"/>
  <c r="AZ325" i="3"/>
  <c r="AZ569" i="3"/>
  <c r="AZ520" i="3"/>
  <c r="AZ566" i="3"/>
  <c r="AZ580" i="3"/>
  <c r="AZ512" i="3"/>
  <c r="AZ584" i="3"/>
  <c r="W31" i="34"/>
  <c r="H38" i="21"/>
  <c r="U38" i="21" s="1"/>
  <c r="E108" i="21"/>
  <c r="F108" i="21" s="1"/>
  <c r="G108" i="21" s="1"/>
  <c r="H108" i="21" s="1"/>
  <c r="I108" i="21" s="1"/>
  <c r="J108" i="21" s="1"/>
  <c r="K108" i="21" s="1"/>
  <c r="L108" i="21" s="1"/>
  <c r="M108" i="21" s="1"/>
  <c r="J35" i="21"/>
  <c r="W35" i="21" s="1"/>
  <c r="F35" i="21"/>
  <c r="AA35" i="21" s="1"/>
  <c r="AA31" i="35"/>
  <c r="H23" i="35"/>
  <c r="J23" i="35"/>
  <c r="BL585" i="3"/>
  <c r="AZ585" i="3" s="1"/>
  <c r="H26" i="37"/>
  <c r="BA398" i="3"/>
  <c r="BA418" i="3"/>
  <c r="BA429" i="3"/>
  <c r="G430" i="3"/>
  <c r="BA440" i="3"/>
  <c r="G447" i="3"/>
  <c r="BA454" i="3"/>
  <c r="BA465" i="3"/>
  <c r="BL473" i="3"/>
  <c r="BA316" i="3"/>
  <c r="BA332" i="3"/>
  <c r="BL353" i="3"/>
  <c r="BL375" i="3"/>
  <c r="AZ375" i="3" s="1"/>
  <c r="BL383" i="3"/>
  <c r="AZ383" i="3" s="1"/>
  <c r="BA392" i="3"/>
  <c r="AZ392" i="3" s="1"/>
  <c r="BA209" i="3"/>
  <c r="AZ209" i="3" s="1"/>
  <c r="BA212" i="3"/>
  <c r="AZ212" i="3" s="1"/>
  <c r="BA213" i="3"/>
  <c r="BA214" i="3"/>
  <c r="AZ214" i="3" s="1"/>
  <c r="BA215" i="3"/>
  <c r="BA224" i="3"/>
  <c r="AZ224" i="3" s="1"/>
  <c r="BL226" i="3"/>
  <c r="BA236" i="3"/>
  <c r="AZ236" i="3" s="1"/>
  <c r="G239" i="3"/>
  <c r="BL241" i="3"/>
  <c r="G250" i="3"/>
  <c r="BL256" i="3"/>
  <c r="BA292" i="3"/>
  <c r="AZ292" i="3" s="1"/>
  <c r="BL114" i="3"/>
  <c r="BA148" i="3"/>
  <c r="AZ148" i="3" s="1"/>
  <c r="BA150" i="3"/>
  <c r="AZ150" i="3" s="1"/>
  <c r="BL151" i="3"/>
  <c r="AZ151" i="3" s="1"/>
  <c r="BL154" i="3"/>
  <c r="BA168" i="3"/>
  <c r="AZ168" i="3" s="1"/>
  <c r="BA172" i="3"/>
  <c r="AZ172" i="3" s="1"/>
  <c r="G178" i="3"/>
  <c r="BA182" i="3"/>
  <c r="BL185" i="3"/>
  <c r="BA34" i="3"/>
  <c r="BA408" i="3"/>
  <c r="BA410" i="3"/>
  <c r="BA411" i="3"/>
  <c r="G412" i="3"/>
  <c r="BL412" i="3"/>
  <c r="BL414" i="3"/>
  <c r="BA417" i="3"/>
  <c r="AZ417" i="3" s="1"/>
  <c r="BL417" i="3"/>
  <c r="BL427" i="3"/>
  <c r="BA439" i="3"/>
  <c r="BL455" i="3"/>
  <c r="G458" i="3"/>
  <c r="BL466" i="3"/>
  <c r="BL469" i="3"/>
  <c r="BL471" i="3"/>
  <c r="AZ471" i="3" s="1"/>
  <c r="G474" i="3"/>
  <c r="BL478" i="3"/>
  <c r="BL487" i="3"/>
  <c r="BL488" i="3"/>
  <c r="BA307" i="3"/>
  <c r="AZ307" i="3" s="1"/>
  <c r="BA350" i="3"/>
  <c r="BA368" i="3"/>
  <c r="AZ368" i="3" s="1"/>
  <c r="G382" i="3"/>
  <c r="BA396" i="3"/>
  <c r="AZ396" i="3" s="1"/>
  <c r="G217" i="3"/>
  <c r="G218" i="3"/>
  <c r="BA229" i="3"/>
  <c r="BL230" i="3"/>
  <c r="BL233" i="3"/>
  <c r="G235" i="3"/>
  <c r="BL235" i="3"/>
  <c r="BL246" i="3"/>
  <c r="G248" i="3"/>
  <c r="G261" i="3"/>
  <c r="BL263" i="3"/>
  <c r="BL265" i="3"/>
  <c r="BA273" i="3"/>
  <c r="BL273" i="3"/>
  <c r="BL276" i="3"/>
  <c r="BA284" i="3"/>
  <c r="BL285" i="3"/>
  <c r="G293" i="3"/>
  <c r="BA298" i="3"/>
  <c r="G124" i="3"/>
  <c r="BA138" i="3"/>
  <c r="BL141" i="3"/>
  <c r="BL202" i="3"/>
  <c r="BA405" i="3"/>
  <c r="AZ405" i="3" s="1"/>
  <c r="BA406" i="3"/>
  <c r="BA409" i="3"/>
  <c r="AZ409" i="3" s="1"/>
  <c r="G411" i="3"/>
  <c r="G419" i="3"/>
  <c r="BL421" i="3"/>
  <c r="G422" i="3"/>
  <c r="BL424" i="3"/>
  <c r="G426" i="3"/>
  <c r="BA437" i="3"/>
  <c r="AZ437" i="3" s="1"/>
  <c r="BL439" i="3"/>
  <c r="G441" i="3"/>
  <c r="G442" i="3"/>
  <c r="G444" i="3"/>
  <c r="BA451" i="3"/>
  <c r="G457" i="3"/>
  <c r="BA462" i="3"/>
  <c r="G466" i="3"/>
  <c r="G468" i="3"/>
  <c r="G471" i="3"/>
  <c r="BL481" i="3"/>
  <c r="BA490" i="3"/>
  <c r="BL308" i="3"/>
  <c r="AZ308" i="3" s="1"/>
  <c r="BA349" i="3"/>
  <c r="AZ349" i="3" s="1"/>
  <c r="BA358" i="3"/>
  <c r="AZ358" i="3" s="1"/>
  <c r="BA367" i="3"/>
  <c r="BA370" i="3"/>
  <c r="BL381" i="3"/>
  <c r="AZ381" i="3" s="1"/>
  <c r="BA386" i="3"/>
  <c r="BL213" i="3"/>
  <c r="G216" i="3"/>
  <c r="BA216" i="3"/>
  <c r="BL223" i="3"/>
  <c r="BA228" i="3"/>
  <c r="AZ228" i="3" s="1"/>
  <c r="BA230" i="3"/>
  <c r="G233" i="3"/>
  <c r="BL234" i="3"/>
  <c r="G260" i="3"/>
  <c r="BA288" i="3"/>
  <c r="AZ288" i="3" s="1"/>
  <c r="G289" i="3"/>
  <c r="G292" i="3"/>
  <c r="BL292" i="3"/>
  <c r="BL122" i="3"/>
  <c r="BA126" i="3"/>
  <c r="BA128" i="3"/>
  <c r="AZ128" i="3" s="1"/>
  <c r="BA129" i="3"/>
  <c r="AZ129" i="3" s="1"/>
  <c r="BA130" i="3"/>
  <c r="AZ130" i="3" s="1"/>
  <c r="G132" i="3"/>
  <c r="BA137" i="3"/>
  <c r="BL139" i="3"/>
  <c r="AZ139" i="3" s="1"/>
  <c r="BA146" i="3"/>
  <c r="BA158" i="3"/>
  <c r="BA169" i="3"/>
  <c r="AZ169" i="3" s="1"/>
  <c r="BL171" i="3"/>
  <c r="AZ171" i="3" s="1"/>
  <c r="BA180" i="3"/>
  <c r="AZ180" i="3" s="1"/>
  <c r="BL201" i="3"/>
  <c r="BL550" i="3"/>
  <c r="BL428" i="3"/>
  <c r="BA431" i="3"/>
  <c r="BL445" i="3"/>
  <c r="BA446" i="3"/>
  <c r="BL452" i="3"/>
  <c r="BL480" i="3"/>
  <c r="BL492" i="3"/>
  <c r="BL324" i="3"/>
  <c r="AZ324" i="3" s="1"/>
  <c r="BA339" i="3"/>
  <c r="AZ339" i="3" s="1"/>
  <c r="BA348" i="3"/>
  <c r="BA366" i="3"/>
  <c r="AZ366" i="3" s="1"/>
  <c r="BL368" i="3"/>
  <c r="BA384" i="3"/>
  <c r="AZ384" i="3" s="1"/>
  <c r="BL395" i="3"/>
  <c r="AZ395" i="3" s="1"/>
  <c r="BL208" i="3"/>
  <c r="AZ208" i="3" s="1"/>
  <c r="BL211" i="3"/>
  <c r="BA219" i="3"/>
  <c r="BA225" i="3"/>
  <c r="BA226" i="3"/>
  <c r="BL229" i="3"/>
  <c r="BA254" i="3"/>
  <c r="BA282" i="3"/>
  <c r="BL284" i="3"/>
  <c r="BA287" i="3"/>
  <c r="BL288" i="3"/>
  <c r="BL129" i="3"/>
  <c r="BA157" i="3"/>
  <c r="BA42" i="3"/>
  <c r="AZ42" i="3" s="1"/>
  <c r="BL43" i="3"/>
  <c r="BL44" i="3"/>
  <c r="BL59" i="3"/>
  <c r="BL94" i="3"/>
  <c r="AZ94" i="3" s="1"/>
  <c r="BA400" i="3"/>
  <c r="BL404" i="3"/>
  <c r="BL407" i="3"/>
  <c r="G409" i="3"/>
  <c r="BL410" i="3"/>
  <c r="BL411" i="3"/>
  <c r="BA414" i="3"/>
  <c r="BL416" i="3"/>
  <c r="G421" i="3"/>
  <c r="BL436" i="3"/>
  <c r="BL437" i="3"/>
  <c r="BA438" i="3"/>
  <c r="BA448" i="3"/>
  <c r="BL450" i="3"/>
  <c r="BA457" i="3"/>
  <c r="BL461" i="3"/>
  <c r="G464" i="3"/>
  <c r="BA476" i="3"/>
  <c r="BA492" i="3"/>
  <c r="BL330" i="3"/>
  <c r="AZ330" i="3" s="1"/>
  <c r="BL350" i="3"/>
  <c r="BL359" i="3"/>
  <c r="AZ359" i="3" s="1"/>
  <c r="BA385" i="3"/>
  <c r="AZ385" i="3" s="1"/>
  <c r="BL386" i="3"/>
  <c r="BA221" i="3"/>
  <c r="BL231" i="3"/>
  <c r="BL232" i="3"/>
  <c r="BA252" i="3"/>
  <c r="G259" i="3"/>
  <c r="BA265" i="3"/>
  <c r="AZ265" i="3" s="1"/>
  <c r="BA266" i="3"/>
  <c r="BL274" i="3"/>
  <c r="BA278" i="3"/>
  <c r="BA280" i="3"/>
  <c r="AZ280" i="3" s="1"/>
  <c r="BA281" i="3"/>
  <c r="BL283" i="3"/>
  <c r="BL117" i="3"/>
  <c r="G131" i="3"/>
  <c r="BA133" i="3"/>
  <c r="AZ133" i="3" s="1"/>
  <c r="BA136" i="3"/>
  <c r="AZ136" i="3" s="1"/>
  <c r="BL146" i="3"/>
  <c r="BL147" i="3"/>
  <c r="BA188" i="3"/>
  <c r="AZ188" i="3" s="1"/>
  <c r="G191" i="3"/>
  <c r="G200" i="3"/>
  <c r="BA27" i="3"/>
  <c r="BA28" i="3"/>
  <c r="AZ28" i="3" s="1"/>
  <c r="BL68" i="3"/>
  <c r="BA91" i="3"/>
  <c r="BA401" i="3"/>
  <c r="BA402" i="3"/>
  <c r="BA403" i="3"/>
  <c r="BL406" i="3"/>
  <c r="BL408" i="3"/>
  <c r="G416" i="3"/>
  <c r="BL425" i="3"/>
  <c r="BL431" i="3"/>
  <c r="G433" i="3"/>
  <c r="BL435" i="3"/>
  <c r="G438" i="3"/>
  <c r="BL438" i="3"/>
  <c r="AZ438" i="3" s="1"/>
  <c r="G461" i="3"/>
  <c r="G478" i="3"/>
  <c r="BA489" i="3"/>
  <c r="G323" i="3"/>
  <c r="BL348" i="3"/>
  <c r="G349" i="3"/>
  <c r="BA354" i="3"/>
  <c r="AZ354" i="3" s="1"/>
  <c r="BL365" i="3"/>
  <c r="AZ365" i="3" s="1"/>
  <c r="BL367" i="3"/>
  <c r="BA374" i="3"/>
  <c r="AZ374" i="3" s="1"/>
  <c r="BA395" i="3"/>
  <c r="BA238" i="3"/>
  <c r="BL240" i="3"/>
  <c r="G242" i="3"/>
  <c r="BA242" i="3"/>
  <c r="BL251" i="3"/>
  <c r="BA253" i="3"/>
  <c r="BL254" i="3"/>
  <c r="G257" i="3"/>
  <c r="BA267" i="3"/>
  <c r="G271" i="3"/>
  <c r="BL271" i="3"/>
  <c r="BA279" i="3"/>
  <c r="BA294" i="3"/>
  <c r="G297" i="3"/>
  <c r="BA116" i="3"/>
  <c r="AZ116" i="3" s="1"/>
  <c r="BL119" i="3"/>
  <c r="AZ119" i="3" s="1"/>
  <c r="G120" i="3"/>
  <c r="BL125" i="3"/>
  <c r="BA132" i="3"/>
  <c r="AZ132" i="3" s="1"/>
  <c r="BL158" i="3"/>
  <c r="BA166" i="3"/>
  <c r="AZ166" i="3" s="1"/>
  <c r="BL169" i="3"/>
  <c r="BA185" i="3"/>
  <c r="AZ185" i="3" s="1"/>
  <c r="BL187" i="3"/>
  <c r="AZ187" i="3" s="1"/>
  <c r="G190" i="3"/>
  <c r="BA194" i="3"/>
  <c r="BL197" i="3"/>
  <c r="BL199" i="3"/>
  <c r="AZ199" i="3" s="1"/>
  <c r="BA204" i="3"/>
  <c r="AZ204" i="3" s="1"/>
  <c r="G206" i="3"/>
  <c r="BA18" i="3"/>
  <c r="BA64" i="3"/>
  <c r="BL76" i="3"/>
  <c r="B27" i="71"/>
  <c r="B26" i="71" s="1"/>
  <c r="S28" i="71"/>
  <c r="BL16" i="3"/>
  <c r="AZ16" i="3" s="1"/>
  <c r="BL399" i="3"/>
  <c r="BL400" i="3"/>
  <c r="BL401" i="3"/>
  <c r="BL402" i="3"/>
  <c r="G403" i="3"/>
  <c r="BA412" i="3"/>
  <c r="BA413" i="3"/>
  <c r="G415" i="3"/>
  <c r="G431" i="3"/>
  <c r="BL447" i="3"/>
  <c r="BL449" i="3"/>
  <c r="BL453" i="3"/>
  <c r="BA471" i="3"/>
  <c r="BA473" i="3"/>
  <c r="AZ473" i="3" s="1"/>
  <c r="BL475" i="3"/>
  <c r="G477" i="3"/>
  <c r="BL486" i="3"/>
  <c r="BA488" i="3"/>
  <c r="AZ488" i="3" s="1"/>
  <c r="BA491" i="3"/>
  <c r="AZ491" i="3" s="1"/>
  <c r="BL491" i="3"/>
  <c r="G313" i="3"/>
  <c r="BL317" i="3"/>
  <c r="AZ317" i="3" s="1"/>
  <c r="BA319" i="3"/>
  <c r="AZ319" i="3" s="1"/>
  <c r="BL328" i="3"/>
  <c r="AZ328" i="3" s="1"/>
  <c r="G329" i="3"/>
  <c r="BL333" i="3"/>
  <c r="AZ333" i="3" s="1"/>
  <c r="BA353" i="3"/>
  <c r="AZ353" i="3" s="1"/>
  <c r="BL385" i="3"/>
  <c r="G392" i="3"/>
  <c r="BA211" i="3"/>
  <c r="BA218" i="3"/>
  <c r="BL221" i="3"/>
  <c r="BA223" i="3"/>
  <c r="AZ223" i="3" s="1"/>
  <c r="BL224" i="3"/>
  <c r="G225" i="3"/>
  <c r="BL225" i="3"/>
  <c r="BA235" i="3"/>
  <c r="BA237" i="3"/>
  <c r="BA245" i="3"/>
  <c r="BA248" i="3"/>
  <c r="G256" i="3"/>
  <c r="BA259" i="3"/>
  <c r="BA261" i="3"/>
  <c r="BA264" i="3"/>
  <c r="AZ264" i="3" s="1"/>
  <c r="BL270" i="3"/>
  <c r="BA271" i="3"/>
  <c r="G282" i="3"/>
  <c r="BL295" i="3"/>
  <c r="AZ295" i="3" s="1"/>
  <c r="BL298" i="3"/>
  <c r="AZ298" i="3" s="1"/>
  <c r="BA299" i="3"/>
  <c r="G119" i="3"/>
  <c r="BL137" i="3"/>
  <c r="BA152" i="3"/>
  <c r="AZ152" i="3" s="1"/>
  <c r="G156" i="3"/>
  <c r="BL165" i="3"/>
  <c r="G167" i="3"/>
  <c r="BA177" i="3"/>
  <c r="AZ177" i="3" s="1"/>
  <c r="BL179" i="3"/>
  <c r="AZ179" i="3" s="1"/>
  <c r="G187" i="3"/>
  <c r="BA190" i="3"/>
  <c r="BL207" i="3"/>
  <c r="BA21" i="3"/>
  <c r="BL22" i="3"/>
  <c r="BL26" i="3"/>
  <c r="BL27" i="3"/>
  <c r="G48" i="3"/>
  <c r="D28" i="71"/>
  <c r="U28" i="71" s="1"/>
  <c r="T28" i="71"/>
  <c r="C27" i="71"/>
  <c r="D27" i="71" s="1"/>
  <c r="H39" i="40"/>
  <c r="U39" i="40" s="1"/>
  <c r="BL15" i="3"/>
  <c r="AZ15" i="3" s="1"/>
  <c r="BL413" i="3"/>
  <c r="BA415" i="3"/>
  <c r="AZ289" i="3"/>
  <c r="AZ293" i="3"/>
  <c r="BL21" i="3"/>
  <c r="BA35" i="3"/>
  <c r="BL47" i="3"/>
  <c r="BA61" i="3"/>
  <c r="AZ61" i="3" s="1"/>
  <c r="BL63" i="3"/>
  <c r="BL65" i="3"/>
  <c r="BA69" i="3"/>
  <c r="BL70" i="3"/>
  <c r="BL80" i="3"/>
  <c r="BL86" i="3"/>
  <c r="BL98" i="3"/>
  <c r="BL101" i="3"/>
  <c r="BL107" i="3"/>
  <c r="AZ107" i="3" s="1"/>
  <c r="BL108" i="3"/>
  <c r="AZ108" i="3" s="1"/>
  <c r="BA112" i="3"/>
  <c r="W21" i="34"/>
  <c r="C52" i="71"/>
  <c r="E79" i="71"/>
  <c r="E78" i="71" s="1"/>
  <c r="AA37" i="71"/>
  <c r="BL127" i="3"/>
  <c r="AZ127" i="3" s="1"/>
  <c r="BL135" i="3"/>
  <c r="AZ135" i="3" s="1"/>
  <c r="G138" i="3"/>
  <c r="BA142" i="3"/>
  <c r="AZ142" i="3" s="1"/>
  <c r="BA144" i="3"/>
  <c r="AZ144" i="3" s="1"/>
  <c r="G148" i="3"/>
  <c r="BA160" i="3"/>
  <c r="AZ160" i="3" s="1"/>
  <c r="BL162" i="3"/>
  <c r="AZ162" i="3" s="1"/>
  <c r="BL166" i="3"/>
  <c r="BL183" i="3"/>
  <c r="AZ183" i="3" s="1"/>
  <c r="BL195" i="3"/>
  <c r="AZ195" i="3" s="1"/>
  <c r="BA22" i="3"/>
  <c r="AZ22" i="3" s="1"/>
  <c r="G28" i="3"/>
  <c r="G44" i="3"/>
  <c r="G45" i="3"/>
  <c r="BA57" i="3"/>
  <c r="G60" i="3"/>
  <c r="G61" i="3"/>
  <c r="BL62" i="3"/>
  <c r="BL64" i="3"/>
  <c r="G66" i="3"/>
  <c r="G68" i="3"/>
  <c r="G69" i="3"/>
  <c r="BL71" i="3"/>
  <c r="AZ71" i="3" s="1"/>
  <c r="BA76" i="3"/>
  <c r="AZ76" i="3" s="1"/>
  <c r="BA80" i="3"/>
  <c r="AZ80" i="3" s="1"/>
  <c r="G83" i="3"/>
  <c r="G85" i="3"/>
  <c r="BL92" i="3"/>
  <c r="BA96" i="3"/>
  <c r="BA98" i="3"/>
  <c r="G101" i="3"/>
  <c r="BL112" i="3"/>
  <c r="B77" i="43"/>
  <c r="AB18" i="36"/>
  <c r="C64" i="71"/>
  <c r="X38" i="71"/>
  <c r="B34" i="71"/>
  <c r="B35" i="71" s="1"/>
  <c r="B36" i="71" s="1"/>
  <c r="S36" i="71" s="1"/>
  <c r="AB25" i="71"/>
  <c r="X39" i="71"/>
  <c r="E56" i="71"/>
  <c r="U56" i="71" s="1"/>
  <c r="T72" i="71"/>
  <c r="S76" i="71"/>
  <c r="S80" i="71"/>
  <c r="AA25" i="40"/>
  <c r="BL245" i="3"/>
  <c r="BA258" i="3"/>
  <c r="G267" i="3"/>
  <c r="BL267" i="3"/>
  <c r="BA274" i="3"/>
  <c r="BA276" i="3"/>
  <c r="AZ276" i="3" s="1"/>
  <c r="BA277" i="3"/>
  <c r="AZ277" i="3" s="1"/>
  <c r="BL279" i="3"/>
  <c r="G280" i="3"/>
  <c r="BL282" i="3"/>
  <c r="BA283" i="3"/>
  <c r="BA297" i="3"/>
  <c r="G300" i="3"/>
  <c r="BA118" i="3"/>
  <c r="BL123" i="3"/>
  <c r="AZ123" i="3" s="1"/>
  <c r="G126" i="3"/>
  <c r="BL134" i="3"/>
  <c r="BL142" i="3"/>
  <c r="BA156" i="3"/>
  <c r="AZ156" i="3" s="1"/>
  <c r="BL157" i="3"/>
  <c r="BL159" i="3"/>
  <c r="AZ159" i="3" s="1"/>
  <c r="BL170" i="3"/>
  <c r="BL181" i="3"/>
  <c r="BL182" i="3"/>
  <c r="G194" i="3"/>
  <c r="BA201" i="3"/>
  <c r="BL203" i="3"/>
  <c r="AZ203" i="3" s="1"/>
  <c r="BA206" i="3"/>
  <c r="BA20" i="3"/>
  <c r="G22" i="3"/>
  <c r="BL25" i="3"/>
  <c r="BL34" i="3"/>
  <c r="BL40" i="3"/>
  <c r="BL42" i="3"/>
  <c r="BA54" i="3"/>
  <c r="BL56" i="3"/>
  <c r="BA73" i="3"/>
  <c r="AZ73" i="3" s="1"/>
  <c r="BA79" i="3"/>
  <c r="AZ79" i="3" s="1"/>
  <c r="BL85" i="3"/>
  <c r="BA95" i="3"/>
  <c r="AZ95" i="3" s="1"/>
  <c r="BL96" i="3"/>
  <c r="BA106" i="3"/>
  <c r="G112" i="3"/>
  <c r="F3" i="35"/>
  <c r="W21" i="21"/>
  <c r="X37" i="71"/>
  <c r="X27" i="71"/>
  <c r="AB36" i="71"/>
  <c r="F38" i="71"/>
  <c r="F39" i="71" s="1"/>
  <c r="F40" i="71" s="1"/>
  <c r="V40" i="71" s="1"/>
  <c r="B47" i="71"/>
  <c r="B48" i="71" s="1"/>
  <c r="S48" i="71" s="1"/>
  <c r="BA208" i="3"/>
  <c r="BL215" i="3"/>
  <c r="BL218" i="3"/>
  <c r="G226" i="3"/>
  <c r="BL227" i="3"/>
  <c r="AZ227" i="3" s="1"/>
  <c r="G228" i="3"/>
  <c r="BL228" i="3"/>
  <c r="BA232" i="3"/>
  <c r="BL237" i="3"/>
  <c r="BA257" i="3"/>
  <c r="G262" i="3"/>
  <c r="G263" i="3"/>
  <c r="BL266" i="3"/>
  <c r="G279" i="3"/>
  <c r="BA291" i="3"/>
  <c r="BL293" i="3"/>
  <c r="BL296" i="3"/>
  <c r="BL297" i="3"/>
  <c r="G299" i="3"/>
  <c r="BA121" i="3"/>
  <c r="AZ121" i="3" s="1"/>
  <c r="BL121" i="3"/>
  <c r="G123" i="3"/>
  <c r="BL130" i="3"/>
  <c r="BL133" i="3"/>
  <c r="BA141" i="3"/>
  <c r="G142" i="3"/>
  <c r="BL145" i="3"/>
  <c r="BL149" i="3"/>
  <c r="AZ149" i="3" s="1"/>
  <c r="BA153" i="3"/>
  <c r="AZ153" i="3" s="1"/>
  <c r="BA154" i="3"/>
  <c r="AZ154" i="3" s="1"/>
  <c r="G170" i="3"/>
  <c r="BA178" i="3"/>
  <c r="G182" i="3"/>
  <c r="BL193" i="3"/>
  <c r="G202" i="3"/>
  <c r="G20" i="3"/>
  <c r="G25" i="3"/>
  <c r="BA25" i="3"/>
  <c r="BL33" i="3"/>
  <c r="BA36" i="3"/>
  <c r="BL41" i="3"/>
  <c r="G56" i="3"/>
  <c r="BA56" i="3"/>
  <c r="G78" i="3"/>
  <c r="G79" i="3"/>
  <c r="BA85" i="3"/>
  <c r="AZ85" i="3" s="1"/>
  <c r="BL87" i="3"/>
  <c r="BL95" i="3"/>
  <c r="G96" i="3"/>
  <c r="BL97" i="3"/>
  <c r="AZ97" i="3" s="1"/>
  <c r="G107" i="3"/>
  <c r="G108" i="3"/>
  <c r="Q65" i="71"/>
  <c r="D38" i="71"/>
  <c r="X32" i="71"/>
  <c r="C23" i="71"/>
  <c r="BL24" i="3"/>
  <c r="AZ24" i="3" s="1"/>
  <c r="BA33" i="3"/>
  <c r="AZ33" i="3" s="1"/>
  <c r="BL37" i="3"/>
  <c r="BA51" i="3"/>
  <c r="AZ51" i="3" s="1"/>
  <c r="BL53" i="3"/>
  <c r="BL58" i="3"/>
  <c r="BA70" i="3"/>
  <c r="BL81" i="3"/>
  <c r="BA86" i="3"/>
  <c r="AZ86" i="3" s="1"/>
  <c r="BA87" i="3"/>
  <c r="AZ87" i="3" s="1"/>
  <c r="BA89" i="3"/>
  <c r="AZ89" i="3" s="1"/>
  <c r="BA99" i="3"/>
  <c r="BA105" i="3"/>
  <c r="BA110" i="3"/>
  <c r="AB21" i="33"/>
  <c r="S18" i="36"/>
  <c r="X35" i="71"/>
  <c r="Y32" i="71"/>
  <c r="Z32" i="71" s="1"/>
  <c r="Y34" i="71"/>
  <c r="Z34" i="71" s="1"/>
  <c r="B64" i="71"/>
  <c r="S64" i="71" s="1"/>
  <c r="BA31" i="3"/>
  <c r="G37" i="3"/>
  <c r="G39" i="3"/>
  <c r="G47" i="3"/>
  <c r="BA53" i="3"/>
  <c r="BL54" i="3"/>
  <c r="BA62" i="3"/>
  <c r="G72" i="3"/>
  <c r="BL72" i="3"/>
  <c r="BA81" i="3"/>
  <c r="AZ81" i="3" s="1"/>
  <c r="BL88" i="3"/>
  <c r="AZ88" i="3" s="1"/>
  <c r="BL89" i="3"/>
  <c r="G93" i="3"/>
  <c r="BL93" i="3"/>
  <c r="G105" i="3"/>
  <c r="BL105" i="3"/>
  <c r="C71" i="71"/>
  <c r="Y28" i="71"/>
  <c r="Z28" i="71" s="1"/>
  <c r="AA32" i="71"/>
  <c r="B39" i="71"/>
  <c r="B40" i="71" s="1"/>
  <c r="S40" i="71" s="1"/>
  <c r="E51" i="71"/>
  <c r="E52" i="71" s="1"/>
  <c r="U52" i="71" s="1"/>
  <c r="BA44" i="3"/>
  <c r="BL45" i="3"/>
  <c r="AZ45" i="3" s="1"/>
  <c r="BL46" i="3"/>
  <c r="BL48" i="3"/>
  <c r="AZ48" i="3" s="1"/>
  <c r="G50" i="3"/>
  <c r="G52" i="3"/>
  <c r="BL55" i="3"/>
  <c r="BA59" i="3"/>
  <c r="BA60" i="3"/>
  <c r="BA65" i="3"/>
  <c r="BA67" i="3"/>
  <c r="BA68" i="3"/>
  <c r="AZ68" i="3" s="1"/>
  <c r="BL69" i="3"/>
  <c r="G71" i="3"/>
  <c r="BA82" i="3"/>
  <c r="AZ82" i="3" s="1"/>
  <c r="BA84" i="3"/>
  <c r="G92" i="3"/>
  <c r="BA102" i="3"/>
  <c r="G104" i="3"/>
  <c r="BL109" i="3"/>
  <c r="AZ109" i="3" s="1"/>
  <c r="B68" i="43"/>
  <c r="X31" i="71"/>
  <c r="B23" i="71"/>
  <c r="B22" i="71" s="1"/>
  <c r="B21" i="71" s="1"/>
  <c r="B20" i="71" s="1"/>
  <c r="AC46" i="21"/>
  <c r="S46" i="21"/>
  <c r="AB46" i="21"/>
  <c r="AA43" i="21"/>
  <c r="U43" i="21"/>
  <c r="W43" i="21"/>
  <c r="W25" i="21"/>
  <c r="AB21" i="21"/>
  <c r="S19" i="21"/>
  <c r="AC19" i="21"/>
  <c r="S17" i="21"/>
  <c r="AA15" i="21"/>
  <c r="H42" i="21"/>
  <c r="U42" i="21" s="1"/>
  <c r="S27" i="21"/>
  <c r="W35" i="33"/>
  <c r="AC35" i="33"/>
  <c r="AB21" i="39"/>
  <c r="AZ545" i="3"/>
  <c r="U44" i="34"/>
  <c r="S17" i="33"/>
  <c r="AA32" i="39"/>
  <c r="S32" i="39"/>
  <c r="AA23" i="37"/>
  <c r="S23" i="37"/>
  <c r="AZ539" i="3"/>
  <c r="AZ559" i="3"/>
  <c r="AZ575" i="3"/>
  <c r="S23" i="39"/>
  <c r="AA34" i="33"/>
  <c r="F29" i="6"/>
  <c r="AB31" i="33"/>
  <c r="AB17" i="34"/>
  <c r="AZ495" i="3"/>
  <c r="AZ513" i="3"/>
  <c r="AA45" i="33"/>
  <c r="S45" i="33"/>
  <c r="AB26" i="33"/>
  <c r="U26" i="33"/>
  <c r="AZ318" i="3"/>
  <c r="AZ533" i="3"/>
  <c r="AZ568" i="3"/>
  <c r="AA14" i="34"/>
  <c r="AB46" i="33"/>
  <c r="U46" i="33"/>
  <c r="AA35" i="33"/>
  <c r="G28" i="6"/>
  <c r="AZ517" i="3"/>
  <c r="AZ516" i="3"/>
  <c r="AZ570" i="3"/>
  <c r="AB46" i="34"/>
  <c r="AC9" i="34"/>
  <c r="W9" i="34"/>
  <c r="S15" i="37"/>
  <c r="AA14" i="33"/>
  <c r="AC35" i="40"/>
  <c r="AB12" i="40"/>
  <c r="W39" i="34"/>
  <c r="AB25" i="39"/>
  <c r="W12" i="37"/>
  <c r="AC12" i="37"/>
  <c r="BQ5" i="3"/>
  <c r="F28" i="6" s="1"/>
  <c r="BL493" i="3"/>
  <c r="AZ493" i="3" s="1"/>
  <c r="AC31" i="33"/>
  <c r="W31" i="33"/>
  <c r="AA39" i="39"/>
  <c r="AZ337" i="3"/>
  <c r="U43" i="33"/>
  <c r="AZ579" i="3"/>
  <c r="S13" i="35"/>
  <c r="U34" i="34"/>
  <c r="H9" i="34"/>
  <c r="S26" i="33"/>
  <c r="W32" i="40"/>
  <c r="S34" i="35"/>
  <c r="F26" i="21"/>
  <c r="S26" i="21" s="1"/>
  <c r="J34" i="21"/>
  <c r="F36" i="21"/>
  <c r="S36" i="21" s="1"/>
  <c r="G542" i="3"/>
  <c r="U23" i="40"/>
  <c r="C15" i="39"/>
  <c r="J26" i="21"/>
  <c r="W26" i="21" s="1"/>
  <c r="J36" i="21"/>
  <c r="AC36" i="21" s="1"/>
  <c r="B73" i="43"/>
  <c r="J12" i="35"/>
  <c r="H34" i="35"/>
  <c r="U33" i="33"/>
  <c r="U30" i="37"/>
  <c r="H45" i="39"/>
  <c r="J45" i="39"/>
  <c r="AA9" i="40"/>
  <c r="B101" i="43"/>
  <c r="B79" i="43"/>
  <c r="AC22" i="35"/>
  <c r="J23" i="36"/>
  <c r="H23" i="36"/>
  <c r="F23" i="36"/>
  <c r="U33" i="37"/>
  <c r="S11" i="36"/>
  <c r="AC16" i="36"/>
  <c r="S38" i="39"/>
  <c r="W31" i="40"/>
  <c r="AB39" i="40"/>
  <c r="U9" i="39"/>
  <c r="H34" i="21"/>
  <c r="AB34" i="21" s="1"/>
  <c r="F44" i="39"/>
  <c r="G574" i="3"/>
  <c r="F34" i="21"/>
  <c r="AA34" i="21" s="1"/>
  <c r="J9" i="33"/>
  <c r="F9" i="33"/>
  <c r="AA9" i="33" s="1"/>
  <c r="J24" i="36"/>
  <c r="AZ406" i="3"/>
  <c r="AZ462" i="3"/>
  <c r="F26" i="37"/>
  <c r="H40" i="40"/>
  <c r="BA551" i="3"/>
  <c r="AZ551" i="3" s="1"/>
  <c r="W31" i="35"/>
  <c r="AC31" i="35"/>
  <c r="G551" i="3"/>
  <c r="AZ435" i="3"/>
  <c r="BL548" i="3"/>
  <c r="AZ548" i="3" s="1"/>
  <c r="AZ410" i="3"/>
  <c r="AZ411" i="3"/>
  <c r="AZ439" i="3"/>
  <c r="BL398" i="3"/>
  <c r="AZ398" i="3" s="1"/>
  <c r="G407" i="3"/>
  <c r="BL415" i="3"/>
  <c r="BA430" i="3"/>
  <c r="AZ430" i="3" s="1"/>
  <c r="BL443" i="3"/>
  <c r="BL446" i="3"/>
  <c r="AZ446" i="3" s="1"/>
  <c r="BA449" i="3"/>
  <c r="AZ449" i="3" s="1"/>
  <c r="BA450" i="3"/>
  <c r="BL456" i="3"/>
  <c r="BL457" i="3"/>
  <c r="AZ457" i="3" s="1"/>
  <c r="BA463" i="3"/>
  <c r="BA466" i="3"/>
  <c r="AZ466" i="3" s="1"/>
  <c r="BL476" i="3"/>
  <c r="AZ476" i="3" s="1"/>
  <c r="BL479" i="3"/>
  <c r="AZ479" i="3" s="1"/>
  <c r="G480" i="3"/>
  <c r="BA482" i="3"/>
  <c r="BA404" i="3"/>
  <c r="AZ404" i="3" s="1"/>
  <c r="BL459" i="3"/>
  <c r="BL463" i="3"/>
  <c r="BA469" i="3"/>
  <c r="AZ469" i="3" s="1"/>
  <c r="AZ486" i="3"/>
  <c r="BL403" i="3"/>
  <c r="BA419" i="3"/>
  <c r="AZ419" i="3" s="1"/>
  <c r="BA424" i="3"/>
  <c r="AZ424" i="3" s="1"/>
  <c r="BL429" i="3"/>
  <c r="AZ429" i="3" s="1"/>
  <c r="BA432" i="3"/>
  <c r="AZ432" i="3" s="1"/>
  <c r="BA433" i="3"/>
  <c r="AZ433" i="3" s="1"/>
  <c r="BA441" i="3"/>
  <c r="AZ441" i="3" s="1"/>
  <c r="BA442" i="3"/>
  <c r="AZ442" i="3" s="1"/>
  <c r="BL448" i="3"/>
  <c r="BL460" i="3"/>
  <c r="BA472" i="3"/>
  <c r="AZ472" i="3" s="1"/>
  <c r="BA475" i="3"/>
  <c r="AZ475" i="3" s="1"/>
  <c r="BL482" i="3"/>
  <c r="G483" i="3"/>
  <c r="BA315" i="3"/>
  <c r="AZ315" i="3" s="1"/>
  <c r="G413" i="3"/>
  <c r="BL418" i="3"/>
  <c r="AZ418" i="3" s="1"/>
  <c r="BA425" i="3"/>
  <c r="AZ425" i="3" s="1"/>
  <c r="BA434" i="3"/>
  <c r="AZ434" i="3" s="1"/>
  <c r="G450" i="3"/>
  <c r="BA452" i="3"/>
  <c r="AZ452" i="3" s="1"/>
  <c r="BA453" i="3"/>
  <c r="AZ453" i="3" s="1"/>
  <c r="BL462" i="3"/>
  <c r="BL465" i="3"/>
  <c r="BL468" i="3"/>
  <c r="AZ468" i="3" s="1"/>
  <c r="BA474" i="3"/>
  <c r="AZ474" i="3" s="1"/>
  <c r="BA485" i="3"/>
  <c r="BL485" i="3"/>
  <c r="AZ492" i="3"/>
  <c r="BL316" i="3"/>
  <c r="AZ316" i="3" s="1"/>
  <c r="AZ252" i="3"/>
  <c r="AZ436" i="3"/>
  <c r="AZ443" i="3"/>
  <c r="AZ455" i="3"/>
  <c r="BL470" i="3"/>
  <c r="AZ470" i="3" s="1"/>
  <c r="G472" i="3"/>
  <c r="BA477" i="3"/>
  <c r="BA478" i="3"/>
  <c r="G488" i="3"/>
  <c r="AZ211" i="3"/>
  <c r="AZ407" i="3"/>
  <c r="BA421" i="3"/>
  <c r="AZ421" i="3" s="1"/>
  <c r="BL423" i="3"/>
  <c r="AZ423" i="3" s="1"/>
  <c r="BA427" i="3"/>
  <c r="AZ427" i="3" s="1"/>
  <c r="BA444" i="3"/>
  <c r="BA445" i="3"/>
  <c r="AZ445" i="3" s="1"/>
  <c r="AZ456" i="3"/>
  <c r="BA480" i="3"/>
  <c r="AZ480" i="3" s="1"/>
  <c r="BL489" i="3"/>
  <c r="AZ489" i="3" s="1"/>
  <c r="BL314" i="3"/>
  <c r="AZ314" i="3" s="1"/>
  <c r="BA323" i="3"/>
  <c r="AZ323" i="3" s="1"/>
  <c r="AZ231" i="3"/>
  <c r="BA416" i="3"/>
  <c r="AZ416" i="3" s="1"/>
  <c r="BA422" i="3"/>
  <c r="AZ422" i="3" s="1"/>
  <c r="BA428" i="3"/>
  <c r="AZ428" i="3" s="1"/>
  <c r="BL434" i="3"/>
  <c r="BL440" i="3"/>
  <c r="AZ440" i="3" s="1"/>
  <c r="BL444" i="3"/>
  <c r="BA447" i="3"/>
  <c r="BL451" i="3"/>
  <c r="BL454" i="3"/>
  <c r="AZ454" i="3" s="1"/>
  <c r="BA458" i="3"/>
  <c r="AZ458" i="3" s="1"/>
  <c r="BA459" i="3"/>
  <c r="AZ459" i="3" s="1"/>
  <c r="BL477" i="3"/>
  <c r="BA481" i="3"/>
  <c r="AZ481" i="3" s="1"/>
  <c r="BL484" i="3"/>
  <c r="AZ484" i="3" s="1"/>
  <c r="BL490" i="3"/>
  <c r="AZ490" i="3" s="1"/>
  <c r="G491" i="3"/>
  <c r="BA331" i="3"/>
  <c r="AZ331" i="3" s="1"/>
  <c r="BA399" i="3"/>
  <c r="BL420" i="3"/>
  <c r="AZ420" i="3" s="1"/>
  <c r="BL426" i="3"/>
  <c r="AZ426" i="3" s="1"/>
  <c r="G436" i="3"/>
  <c r="BA460" i="3"/>
  <c r="BA461" i="3"/>
  <c r="AZ461" i="3" s="1"/>
  <c r="BA464" i="3"/>
  <c r="AZ464" i="3" s="1"/>
  <c r="BA467" i="3"/>
  <c r="AZ467" i="3" s="1"/>
  <c r="BA483" i="3"/>
  <c r="AZ483" i="3" s="1"/>
  <c r="BL312" i="3"/>
  <c r="AZ312" i="3" s="1"/>
  <c r="BL332" i="3"/>
  <c r="AZ332" i="3" s="1"/>
  <c r="BA243" i="3"/>
  <c r="BA244" i="3"/>
  <c r="AZ244" i="3" s="1"/>
  <c r="BL255" i="3"/>
  <c r="AZ255" i="3" s="1"/>
  <c r="BL258" i="3"/>
  <c r="AZ258" i="3" s="1"/>
  <c r="BA268" i="3"/>
  <c r="AZ268" i="3" s="1"/>
  <c r="AZ270" i="3"/>
  <c r="BA272" i="3"/>
  <c r="AZ272" i="3" s="1"/>
  <c r="BL278" i="3"/>
  <c r="AZ278" i="3" s="1"/>
  <c r="BL286" i="3"/>
  <c r="AZ286" i="3" s="1"/>
  <c r="AZ294" i="3"/>
  <c r="BL299" i="3"/>
  <c r="BL302" i="3"/>
  <c r="BA113" i="3"/>
  <c r="BL126" i="3"/>
  <c r="AZ126" i="3" s="1"/>
  <c r="BA134" i="3"/>
  <c r="AZ134" i="3" s="1"/>
  <c r="G213" i="3"/>
  <c r="G229" i="3"/>
  <c r="BL242" i="3"/>
  <c r="AZ242" i="3" s="1"/>
  <c r="BL243" i="3"/>
  <c r="BA246" i="3"/>
  <c r="BA247" i="3"/>
  <c r="AZ247" i="3" s="1"/>
  <c r="BA249" i="3"/>
  <c r="AZ249" i="3" s="1"/>
  <c r="BA250" i="3"/>
  <c r="AZ250" i="3" s="1"/>
  <c r="BA251" i="3"/>
  <c r="AZ251" i="3" s="1"/>
  <c r="BL261" i="3"/>
  <c r="AZ261" i="3" s="1"/>
  <c r="BL275" i="3"/>
  <c r="AZ275" i="3" s="1"/>
  <c r="G276" i="3"/>
  <c r="BA117" i="3"/>
  <c r="G122" i="3"/>
  <c r="BL222" i="3"/>
  <c r="AZ222" i="3" s="1"/>
  <c r="AZ290" i="3"/>
  <c r="AZ25" i="3"/>
  <c r="BA220" i="3"/>
  <c r="AZ220" i="3" s="1"/>
  <c r="BA239" i="3"/>
  <c r="AZ239" i="3" s="1"/>
  <c r="BA240" i="3"/>
  <c r="AZ240" i="3" s="1"/>
  <c r="AZ193" i="3"/>
  <c r="BL219" i="3"/>
  <c r="AZ219" i="3" s="1"/>
  <c r="BA233" i="3"/>
  <c r="AZ233" i="3" s="1"/>
  <c r="BL238" i="3"/>
  <c r="AZ238" i="3" s="1"/>
  <c r="BA241" i="3"/>
  <c r="AZ241" i="3" s="1"/>
  <c r="BL248" i="3"/>
  <c r="BL252" i="3"/>
  <c r="BL253" i="3"/>
  <c r="G254" i="3"/>
  <c r="BA263" i="3"/>
  <c r="AZ263" i="3" s="1"/>
  <c r="G264" i="3"/>
  <c r="BL291" i="3"/>
  <c r="AZ291" i="3" s="1"/>
  <c r="BA300" i="3"/>
  <c r="AZ302" i="3"/>
  <c r="BA114" i="3"/>
  <c r="BL131" i="3"/>
  <c r="AZ131" i="3" s="1"/>
  <c r="AZ137" i="3"/>
  <c r="BA217" i="3"/>
  <c r="AZ217" i="3" s="1"/>
  <c r="BA234" i="3"/>
  <c r="AZ234" i="3" s="1"/>
  <c r="BA256" i="3"/>
  <c r="AZ256" i="3" s="1"/>
  <c r="BL257" i="3"/>
  <c r="AZ257" i="3" s="1"/>
  <c r="BL259" i="3"/>
  <c r="BL260" i="3"/>
  <c r="AZ260" i="3" s="1"/>
  <c r="BL216" i="3"/>
  <c r="AZ216" i="3" s="1"/>
  <c r="G240" i="3"/>
  <c r="BL262" i="3"/>
  <c r="AZ262" i="3" s="1"/>
  <c r="BL287" i="3"/>
  <c r="AZ287" i="3" s="1"/>
  <c r="BL290" i="3"/>
  <c r="BA296" i="3"/>
  <c r="AZ296" i="3" s="1"/>
  <c r="BA122" i="3"/>
  <c r="AZ122" i="3" s="1"/>
  <c r="AZ145" i="3"/>
  <c r="AZ27" i="3"/>
  <c r="G291" i="3"/>
  <c r="BL118" i="3"/>
  <c r="BL138" i="3"/>
  <c r="BA186" i="3"/>
  <c r="AZ186" i="3" s="1"/>
  <c r="BL194" i="3"/>
  <c r="AZ194" i="3" s="1"/>
  <c r="G198" i="3"/>
  <c r="BA202" i="3"/>
  <c r="AZ202" i="3" s="1"/>
  <c r="BL20" i="3"/>
  <c r="AZ20" i="3" s="1"/>
  <c r="G27" i="3"/>
  <c r="BA29" i="3"/>
  <c r="AZ29" i="3" s="1"/>
  <c r="BA30" i="3"/>
  <c r="AZ30" i="3" s="1"/>
  <c r="BA49" i="3"/>
  <c r="AZ49" i="3" s="1"/>
  <c r="BA52" i="3"/>
  <c r="BA63" i="3"/>
  <c r="AZ63" i="3" s="1"/>
  <c r="AZ70" i="3"/>
  <c r="BL102" i="3"/>
  <c r="AZ102" i="3" s="1"/>
  <c r="G275" i="3"/>
  <c r="BL113" i="3"/>
  <c r="G134" i="3"/>
  <c r="BL161" i="3"/>
  <c r="AZ161" i="3" s="1"/>
  <c r="BA165" i="3"/>
  <c r="AZ165" i="3" s="1"/>
  <c r="AZ205" i="3"/>
  <c r="AZ23" i="3"/>
  <c r="AZ34" i="3"/>
  <c r="BL52" i="3"/>
  <c r="BA66" i="3"/>
  <c r="AZ66" i="3" s="1"/>
  <c r="BA83" i="3"/>
  <c r="AZ83" i="3" s="1"/>
  <c r="G272" i="3"/>
  <c r="BA301" i="3"/>
  <c r="AZ301" i="3" s="1"/>
  <c r="G128" i="3"/>
  <c r="BL155" i="3"/>
  <c r="AZ155" i="3" s="1"/>
  <c r="BA164" i="3"/>
  <c r="AZ164" i="3" s="1"/>
  <c r="BL173" i="3"/>
  <c r="AZ173" i="3" s="1"/>
  <c r="BA176" i="3"/>
  <c r="AZ176" i="3" s="1"/>
  <c r="BL268" i="3"/>
  <c r="BA285" i="3"/>
  <c r="AZ285" i="3" s="1"/>
  <c r="BL300" i="3"/>
  <c r="BA125" i="3"/>
  <c r="AZ125" i="3" s="1"/>
  <c r="G155" i="3"/>
  <c r="BL174" i="3"/>
  <c r="AZ174" i="3" s="1"/>
  <c r="BA181" i="3"/>
  <c r="AZ181" i="3" s="1"/>
  <c r="G186" i="3"/>
  <c r="G203" i="3"/>
  <c r="BA207" i="3"/>
  <c r="AZ207" i="3" s="1"/>
  <c r="AZ36" i="3"/>
  <c r="BA37" i="3"/>
  <c r="AZ37" i="3" s="1"/>
  <c r="D34" i="71"/>
  <c r="C35" i="71"/>
  <c r="BA192" i="3"/>
  <c r="AZ192" i="3" s="1"/>
  <c r="BL205" i="3"/>
  <c r="BL206" i="3"/>
  <c r="BL23" i="3"/>
  <c r="BL31" i="3"/>
  <c r="BA78" i="3"/>
  <c r="AZ96" i="3"/>
  <c r="AZ98" i="3"/>
  <c r="BL104" i="3"/>
  <c r="G144" i="3"/>
  <c r="BL167" i="3"/>
  <c r="AZ167" i="3" s="1"/>
  <c r="BA170" i="3"/>
  <c r="BL189" i="3"/>
  <c r="AZ189" i="3" s="1"/>
  <c r="BA197" i="3"/>
  <c r="AZ197" i="3" s="1"/>
  <c r="BA198" i="3"/>
  <c r="AZ198" i="3" s="1"/>
  <c r="BA26" i="3"/>
  <c r="AZ26" i="3" s="1"/>
  <c r="BL35" i="3"/>
  <c r="AZ35" i="3" s="1"/>
  <c r="BA58" i="3"/>
  <c r="BL60" i="3"/>
  <c r="AZ60" i="3" s="1"/>
  <c r="BL67" i="3"/>
  <c r="BL84" i="3"/>
  <c r="AZ84" i="3" s="1"/>
  <c r="AZ112" i="3"/>
  <c r="BL281" i="3"/>
  <c r="AZ281" i="3" s="1"/>
  <c r="BL178" i="3"/>
  <c r="AZ178" i="3" s="1"/>
  <c r="BL190" i="3"/>
  <c r="AZ190" i="3" s="1"/>
  <c r="BA196" i="3"/>
  <c r="AZ196" i="3" s="1"/>
  <c r="BA19" i="3"/>
  <c r="BA39" i="3"/>
  <c r="BA40" i="3"/>
  <c r="AZ40" i="3" s="1"/>
  <c r="BA47" i="3"/>
  <c r="AZ47" i="3" s="1"/>
  <c r="AZ54" i="3"/>
  <c r="BA72" i="3"/>
  <c r="AZ72" i="3" s="1"/>
  <c r="BA75" i="3"/>
  <c r="BL78" i="3"/>
  <c r="BA90" i="3"/>
  <c r="AZ90" i="3" s="1"/>
  <c r="BA93" i="3"/>
  <c r="AZ93" i="3" s="1"/>
  <c r="BL99" i="3"/>
  <c r="AZ99" i="3" s="1"/>
  <c r="BA103" i="3"/>
  <c r="G278" i="3"/>
  <c r="BA120" i="3"/>
  <c r="AZ120" i="3" s="1"/>
  <c r="BA140" i="3"/>
  <c r="AZ140" i="3" s="1"/>
  <c r="G180" i="3"/>
  <c r="G192" i="3"/>
  <c r="BL18" i="3"/>
  <c r="BL19" i="3"/>
  <c r="BL38" i="3"/>
  <c r="AZ38" i="3" s="1"/>
  <c r="BL39" i="3"/>
  <c r="BA41" i="3"/>
  <c r="AZ41" i="3" s="1"/>
  <c r="BA43" i="3"/>
  <c r="BA46" i="3"/>
  <c r="BA50" i="3"/>
  <c r="AZ50" i="3" s="1"/>
  <c r="BA55" i="3"/>
  <c r="AZ55" i="3" s="1"/>
  <c r="AZ56" i="3"/>
  <c r="BL57" i="3"/>
  <c r="AZ57" i="3" s="1"/>
  <c r="BL74" i="3"/>
  <c r="AZ74" i="3" s="1"/>
  <c r="BL75" i="3"/>
  <c r="BL77" i="3"/>
  <c r="AZ77" i="3" s="1"/>
  <c r="BL111" i="3"/>
  <c r="BA101" i="3"/>
  <c r="AZ101" i="3" s="1"/>
  <c r="BL110" i="3"/>
  <c r="AZ110" i="3" s="1"/>
  <c r="AB21" i="34"/>
  <c r="U21" i="34"/>
  <c r="D63" i="71"/>
  <c r="AB27" i="71"/>
  <c r="C67" i="71"/>
  <c r="X25" i="71"/>
  <c r="X30" i="71"/>
  <c r="C30" i="71"/>
  <c r="Y29" i="71"/>
  <c r="Z29" i="71" s="1"/>
  <c r="Y27" i="71"/>
  <c r="Z27" i="71" s="1"/>
  <c r="Y25" i="71"/>
  <c r="Z25" i="71" s="1"/>
  <c r="AB30" i="71"/>
  <c r="AA34" i="71"/>
  <c r="B67" i="71"/>
  <c r="Y24" i="71"/>
  <c r="Z24" i="71" s="1"/>
  <c r="BL100" i="3"/>
  <c r="AZ100" i="3" s="1"/>
  <c r="AB25" i="40"/>
  <c r="AC29" i="39"/>
  <c r="W29" i="39"/>
  <c r="D79" i="71"/>
  <c r="C78" i="71"/>
  <c r="D78" i="71" s="1"/>
  <c r="X29" i="71"/>
  <c r="E34" i="71"/>
  <c r="E35" i="71" s="1"/>
  <c r="E36" i="71" s="1"/>
  <c r="U36" i="71" s="1"/>
  <c r="AA33" i="71"/>
  <c r="Y36" i="71"/>
  <c r="Z36" i="71" s="1"/>
  <c r="Y23" i="71"/>
  <c r="Z23" i="71" s="1"/>
  <c r="AB21" i="71"/>
  <c r="Y17" i="71"/>
  <c r="Z17" i="71" s="1"/>
  <c r="AB29" i="71"/>
  <c r="AB26" i="71"/>
  <c r="F34" i="71"/>
  <c r="F35" i="71" s="1"/>
  <c r="F36" i="71" s="1"/>
  <c r="V36" i="71" s="1"/>
  <c r="AB31" i="71"/>
  <c r="C43" i="71"/>
  <c r="S68" i="71"/>
  <c r="AA22" i="71"/>
  <c r="X22" i="71"/>
  <c r="Y18" i="71"/>
  <c r="Z18" i="71" s="1"/>
  <c r="X9" i="71"/>
  <c r="C55" i="71"/>
  <c r="D54" i="71"/>
  <c r="V80" i="71"/>
  <c r="AB23" i="71"/>
  <c r="X21" i="71"/>
  <c r="X18" i="71"/>
  <c r="AA10" i="71"/>
  <c r="BA92" i="3"/>
  <c r="AZ92" i="3" s="1"/>
  <c r="BL106" i="3"/>
  <c r="AZ106" i="3" s="1"/>
  <c r="AA21" i="37"/>
  <c r="D52" i="71"/>
  <c r="T52" i="71"/>
  <c r="D75" i="71"/>
  <c r="C74" i="71"/>
  <c r="D74" i="71" s="1"/>
  <c r="C40" i="71"/>
  <c r="D39" i="71"/>
  <c r="Y9" i="71"/>
  <c r="Z9" i="71" s="1"/>
  <c r="Y10" i="71"/>
  <c r="Z10" i="71" s="1"/>
  <c r="Y39" i="71"/>
  <c r="Z39" i="71" s="1"/>
  <c r="T68" i="71"/>
  <c r="D68" i="71"/>
  <c r="Y21" i="71"/>
  <c r="Z21" i="71" s="1"/>
  <c r="AA18" i="71"/>
  <c r="Y14" i="71"/>
  <c r="Z14" i="71" s="1"/>
  <c r="X14" i="71"/>
  <c r="BL91" i="3"/>
  <c r="AZ91" i="3" s="1"/>
  <c r="BA104" i="3"/>
  <c r="C40" i="69"/>
  <c r="AA18" i="35"/>
  <c r="S18" i="35"/>
  <c r="AA25" i="71"/>
  <c r="C59" i="71"/>
  <c r="AA36" i="71"/>
  <c r="Y26" i="71"/>
  <c r="Z26" i="71" s="1"/>
  <c r="AA31" i="71"/>
  <c r="F51" i="71"/>
  <c r="F52" i="71" s="1"/>
  <c r="V52" i="71" s="1"/>
  <c r="B55" i="71"/>
  <c r="B56" i="71" s="1"/>
  <c r="S56" i="71" s="1"/>
  <c r="AA24" i="71"/>
  <c r="AB18" i="71"/>
  <c r="AA13" i="71"/>
  <c r="BA111" i="3"/>
  <c r="K13" i="1"/>
  <c r="M13" i="1" s="1"/>
  <c r="O13" i="1" s="1"/>
  <c r="P13" i="1" s="1"/>
  <c r="B13" i="1"/>
  <c r="E13" i="1" s="1"/>
  <c r="S21" i="34"/>
  <c r="C26" i="71"/>
  <c r="D26" i="71" s="1"/>
  <c r="V28" i="71"/>
  <c r="E27" i="71"/>
  <c r="E26" i="71" s="1"/>
  <c r="AB24" i="71"/>
  <c r="AA26" i="71"/>
  <c r="X28" i="71"/>
  <c r="Y30" i="71"/>
  <c r="Z30" i="71" s="1"/>
  <c r="Y38" i="71"/>
  <c r="Z38" i="71" s="1"/>
  <c r="AA9" i="71"/>
  <c r="AB13" i="71"/>
  <c r="BL103" i="3"/>
  <c r="AB18" i="35"/>
  <c r="AC18" i="36"/>
  <c r="AB28" i="71"/>
  <c r="E67" i="71"/>
  <c r="AA30" i="71"/>
  <c r="AA29" i="71"/>
  <c r="B30" i="71"/>
  <c r="B31" i="71" s="1"/>
  <c r="B32" i="71" s="1"/>
  <c r="S32" i="71" s="1"/>
  <c r="X26" i="71"/>
  <c r="AB35" i="71"/>
  <c r="F75" i="71"/>
  <c r="F74" i="71" s="1"/>
  <c r="U76" i="71"/>
  <c r="X24" i="71"/>
  <c r="AA21" i="71"/>
  <c r="N56" i="9"/>
  <c r="AB17" i="71"/>
  <c r="X12" i="71"/>
  <c r="Y22" i="71"/>
  <c r="Z22" i="71" s="1"/>
  <c r="X15" i="71"/>
  <c r="X11" i="71"/>
  <c r="X17" i="71"/>
  <c r="X13" i="71"/>
  <c r="AA23" i="71"/>
  <c r="AA15" i="71"/>
  <c r="AA11" i="71"/>
  <c r="AB9" i="71"/>
  <c r="AB15" i="71"/>
  <c r="AB11" i="71"/>
  <c r="AA12" i="71"/>
  <c r="Y12" i="71"/>
  <c r="Z12" i="71" s="1"/>
  <c r="AB10" i="71"/>
  <c r="AA14" i="71"/>
  <c r="Y13" i="71"/>
  <c r="Z13" i="71" s="1"/>
  <c r="AA3" i="71"/>
  <c r="E24" i="71"/>
  <c r="AA17" i="71"/>
  <c r="AB12" i="71"/>
  <c r="Y11" i="71"/>
  <c r="Z11" i="71" s="1"/>
  <c r="C21" i="68"/>
  <c r="C29" i="39"/>
  <c r="Q67" i="71"/>
  <c r="K56" i="9"/>
  <c r="AB14" i="71"/>
  <c r="X10" i="71"/>
  <c r="AC15" i="21"/>
  <c r="C28" i="67"/>
  <c r="J42" i="21"/>
  <c r="AC42" i="21" s="1"/>
  <c r="F42" i="21"/>
  <c r="AA42" i="21" s="1"/>
  <c r="U23" i="21"/>
  <c r="U27" i="21"/>
  <c r="C7" i="84"/>
  <c r="C58" i="84" s="1"/>
  <c r="D58" i="84" s="1"/>
  <c r="E58" i="84" s="1"/>
  <c r="F58" i="84" s="1"/>
  <c r="G58" i="84" s="1"/>
  <c r="H58" i="84" s="1"/>
  <c r="I58" i="84" s="1"/>
  <c r="J58" i="84" s="1"/>
  <c r="K58" i="84" s="1"/>
  <c r="L58" i="84" s="1"/>
  <c r="M58" i="84" s="1"/>
  <c r="N58" i="84" s="1"/>
  <c r="O58" i="84" s="1"/>
  <c r="C7" i="83"/>
  <c r="C7" i="82"/>
  <c r="W13" i="21"/>
  <c r="F13" i="21"/>
  <c r="AA13" i="21" s="1"/>
  <c r="W44" i="21"/>
  <c r="AB44" i="21"/>
  <c r="AB45" i="21"/>
  <c r="H12" i="21"/>
  <c r="S37" i="21"/>
  <c r="AC14" i="21"/>
  <c r="AB14" i="21"/>
  <c r="AA14" i="21"/>
  <c r="AB38" i="21"/>
  <c r="S45" i="21"/>
  <c r="AC23" i="21"/>
  <c r="AA23" i="21"/>
  <c r="S21" i="21"/>
  <c r="U17" i="21"/>
  <c r="AC17" i="21"/>
  <c r="AB15" i="21"/>
  <c r="AC27" i="21"/>
  <c r="AA38" i="21"/>
  <c r="S40" i="21"/>
  <c r="W45" i="21"/>
  <c r="AC45" i="21"/>
  <c r="AC40" i="21"/>
  <c r="S32" i="21"/>
  <c r="AB36" i="21"/>
  <c r="AA36" i="21"/>
  <c r="S35" i="21"/>
  <c r="AC35" i="21"/>
  <c r="AA25" i="21"/>
  <c r="AA29" i="21"/>
  <c r="AB25" i="21"/>
  <c r="S28" i="21"/>
  <c r="U28" i="21"/>
  <c r="AC28" i="21"/>
  <c r="U26" i="21"/>
  <c r="AA9" i="21"/>
  <c r="U9" i="21"/>
  <c r="W29" i="21"/>
  <c r="AC29" i="21"/>
  <c r="S12" i="21"/>
  <c r="AA12" i="21"/>
  <c r="U13" i="21"/>
  <c r="AB13" i="21"/>
  <c r="J12" i="2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B20" i="31"/>
  <c r="B21" i="31" s="1"/>
  <c r="I1" i="73"/>
  <c r="B39" i="1" s="1"/>
  <c r="J53" i="67"/>
  <c r="J57" i="67"/>
  <c r="J55" i="67" s="1"/>
  <c r="J58" i="67" s="1"/>
  <c r="Q50" i="67" s="1"/>
  <c r="L56" i="67"/>
  <c r="I54" i="67"/>
  <c r="M7" i="15"/>
  <c r="F50" i="15"/>
  <c r="F51" i="15"/>
  <c r="F71" i="15"/>
  <c r="F66" i="67"/>
  <c r="L59" i="15"/>
  <c r="N59" i="15"/>
  <c r="L58" i="15"/>
  <c r="M59" i="15"/>
  <c r="F66" i="15"/>
  <c r="F64" i="15"/>
  <c r="D103" i="9"/>
  <c r="C27" i="67"/>
  <c r="F71" i="67"/>
  <c r="C27" i="15"/>
  <c r="F65" i="15"/>
  <c r="G20" i="9"/>
  <c r="C103" i="9"/>
  <c r="N59" i="67"/>
  <c r="L59" i="67"/>
  <c r="L58" i="67"/>
  <c r="M59" i="67"/>
  <c r="B13" i="70"/>
  <c r="F68" i="15"/>
  <c r="C36" i="68"/>
  <c r="D9" i="69"/>
  <c r="C36" i="69"/>
  <c r="D9" i="68"/>
  <c r="M6" i="15"/>
  <c r="M28" i="67"/>
  <c r="F37" i="67"/>
  <c r="M23" i="67"/>
  <c r="D5" i="73"/>
  <c r="F9" i="67"/>
  <c r="F40" i="67"/>
  <c r="F36" i="67"/>
  <c r="C76" i="67"/>
  <c r="M26" i="67"/>
  <c r="F6" i="15"/>
  <c r="F6" i="67"/>
  <c r="C16" i="67"/>
  <c r="F8" i="67"/>
  <c r="F13" i="67"/>
  <c r="F7" i="67"/>
  <c r="C16" i="15"/>
  <c r="G1" i="73"/>
  <c r="AZ118" i="3" l="1"/>
  <c r="AZ259" i="3"/>
  <c r="AZ248" i="3"/>
  <c r="AZ299" i="3"/>
  <c r="AZ447" i="3"/>
  <c r="AZ450" i="3"/>
  <c r="AZ64" i="3"/>
  <c r="AZ274" i="3"/>
  <c r="AZ367" i="3"/>
  <c r="AZ408" i="3"/>
  <c r="AB26" i="37"/>
  <c r="U26" i="37"/>
  <c r="AB12" i="34"/>
  <c r="U12" i="34"/>
  <c r="G5" i="3"/>
  <c r="B3" i="3" s="1"/>
  <c r="E510" i="3" s="1"/>
  <c r="AZ266" i="3"/>
  <c r="AZ414" i="3"/>
  <c r="AZ284" i="3"/>
  <c r="AB35" i="39"/>
  <c r="U35" i="39"/>
  <c r="D71" i="71"/>
  <c r="C70" i="71"/>
  <c r="D70" i="71" s="1"/>
  <c r="AZ105" i="3"/>
  <c r="D64" i="71"/>
  <c r="T64" i="71"/>
  <c r="AZ69" i="3"/>
  <c r="AC23" i="35"/>
  <c r="W23" i="35"/>
  <c r="AC35" i="39"/>
  <c r="W35" i="39"/>
  <c r="U34" i="21"/>
  <c r="AZ182" i="3"/>
  <c r="U23" i="35"/>
  <c r="AB23" i="35"/>
  <c r="BL5" i="3"/>
  <c r="AZ65" i="3"/>
  <c r="AZ62" i="3"/>
  <c r="AZ279" i="3"/>
  <c r="AZ254" i="3"/>
  <c r="AZ273" i="3"/>
  <c r="AZ350" i="3"/>
  <c r="AZ215" i="3"/>
  <c r="AZ550" i="3"/>
  <c r="AZ39" i="3"/>
  <c r="AZ67" i="3"/>
  <c r="AZ170" i="3"/>
  <c r="AZ31" i="3"/>
  <c r="AZ52" i="3"/>
  <c r="AZ399" i="3"/>
  <c r="AZ415" i="3"/>
  <c r="AZ44" i="3"/>
  <c r="AZ297" i="3"/>
  <c r="AZ245" i="3"/>
  <c r="AZ218" i="3"/>
  <c r="AZ413" i="3"/>
  <c r="AZ402" i="3"/>
  <c r="AZ386" i="3"/>
  <c r="AZ46" i="3"/>
  <c r="AZ19" i="3"/>
  <c r="AZ253" i="3"/>
  <c r="AZ117" i="3"/>
  <c r="AZ113" i="3"/>
  <c r="AZ448" i="3"/>
  <c r="AZ403" i="3"/>
  <c r="AZ59" i="3"/>
  <c r="AZ53" i="3"/>
  <c r="AZ141" i="3"/>
  <c r="AZ283" i="3"/>
  <c r="AZ21" i="3"/>
  <c r="AZ271" i="3"/>
  <c r="AZ237" i="3"/>
  <c r="AZ412" i="3"/>
  <c r="AZ401" i="3"/>
  <c r="AZ157" i="3"/>
  <c r="AZ226" i="3"/>
  <c r="AZ158" i="3"/>
  <c r="AZ229" i="3"/>
  <c r="AZ213" i="3"/>
  <c r="Q16" i="1"/>
  <c r="F27" i="69" s="1"/>
  <c r="F45" i="69" s="1"/>
  <c r="G16" i="1"/>
  <c r="F10" i="39" s="1"/>
  <c r="H16" i="1"/>
  <c r="AZ43" i="3"/>
  <c r="AZ58" i="3"/>
  <c r="AZ206" i="3"/>
  <c r="AZ138" i="3"/>
  <c r="AZ114" i="3"/>
  <c r="AZ246" i="3"/>
  <c r="AZ451" i="3"/>
  <c r="AZ444" i="3"/>
  <c r="AZ478" i="3"/>
  <c r="AZ465" i="3"/>
  <c r="B19" i="71"/>
  <c r="B18" i="71" s="1"/>
  <c r="B17" i="71" s="1"/>
  <c r="B16" i="71" s="1"/>
  <c r="S20" i="71"/>
  <c r="D23" i="71"/>
  <c r="C22" i="71"/>
  <c r="AZ232" i="3"/>
  <c r="AZ201" i="3"/>
  <c r="AZ282" i="3"/>
  <c r="AZ235" i="3"/>
  <c r="AZ267" i="3"/>
  <c r="AZ221" i="3"/>
  <c r="AZ400" i="3"/>
  <c r="AZ225" i="3"/>
  <c r="AZ348" i="3"/>
  <c r="AZ431" i="3"/>
  <c r="AZ146" i="3"/>
  <c r="AZ230" i="3"/>
  <c r="AC26" i="21"/>
  <c r="AB42" i="21"/>
  <c r="C6" i="67"/>
  <c r="C32" i="67" s="1"/>
  <c r="F31" i="67"/>
  <c r="F51" i="67"/>
  <c r="C6" i="15"/>
  <c r="C32" i="15" s="1"/>
  <c r="F31" i="15"/>
  <c r="F68" i="67"/>
  <c r="F65" i="67"/>
  <c r="F50" i="67"/>
  <c r="M7" i="67"/>
  <c r="J6" i="67" s="1"/>
  <c r="J18" i="67" s="1"/>
  <c r="F64" i="67"/>
  <c r="Q71" i="67"/>
  <c r="E486" i="3"/>
  <c r="E202" i="3"/>
  <c r="E100" i="3"/>
  <c r="E289" i="3"/>
  <c r="E286" i="3"/>
  <c r="E479" i="3"/>
  <c r="E425" i="3"/>
  <c r="E149" i="3"/>
  <c r="E56" i="3"/>
  <c r="E266" i="3"/>
  <c r="E205" i="3"/>
  <c r="E96" i="3"/>
  <c r="E232" i="3"/>
  <c r="E332" i="3"/>
  <c r="E482" i="3"/>
  <c r="E165" i="3"/>
  <c r="E167" i="3"/>
  <c r="E90" i="3"/>
  <c r="E187" i="3"/>
  <c r="E521" i="3"/>
  <c r="E98" i="3"/>
  <c r="E160" i="3"/>
  <c r="E248" i="3"/>
  <c r="E233" i="3"/>
  <c r="AF6" i="3"/>
  <c r="E19" i="3"/>
  <c r="E218" i="3"/>
  <c r="E427" i="3"/>
  <c r="E512" i="3"/>
  <c r="E360" i="3"/>
  <c r="J6" i="3"/>
  <c r="E333" i="3"/>
  <c r="E42" i="3"/>
  <c r="E428" i="3"/>
  <c r="E78" i="3"/>
  <c r="E340" i="3"/>
  <c r="E113" i="3"/>
  <c r="E513" i="3"/>
  <c r="E296" i="3"/>
  <c r="E451" i="3"/>
  <c r="E497" i="3"/>
  <c r="E419" i="3"/>
  <c r="E420" i="3"/>
  <c r="L6" i="3"/>
  <c r="E75" i="3"/>
  <c r="E412" i="3"/>
  <c r="E38" i="3"/>
  <c r="E251" i="3"/>
  <c r="Y6" i="3"/>
  <c r="E62" i="3"/>
  <c r="E326" i="3"/>
  <c r="E541" i="3"/>
  <c r="E459" i="3"/>
  <c r="E500" i="3"/>
  <c r="E435" i="3"/>
  <c r="E544" i="3"/>
  <c r="E446" i="3"/>
  <c r="E46" i="3"/>
  <c r="E195" i="3"/>
  <c r="E206" i="3"/>
  <c r="E284" i="3"/>
  <c r="E50" i="3"/>
  <c r="E81" i="3"/>
  <c r="E455" i="3"/>
  <c r="E383" i="3"/>
  <c r="E127" i="3"/>
  <c r="E68" i="3"/>
  <c r="E398" i="3"/>
  <c r="E374" i="3"/>
  <c r="E554" i="3"/>
  <c r="E460" i="3"/>
  <c r="E58" i="3"/>
  <c r="E462" i="3"/>
  <c r="E467" i="3"/>
  <c r="E65" i="3"/>
  <c r="E48" i="3"/>
  <c r="E147" i="3"/>
  <c r="E355" i="3"/>
  <c r="E102" i="3"/>
  <c r="E140" i="3"/>
  <c r="E369" i="3"/>
  <c r="E564" i="3"/>
  <c r="E456" i="3"/>
  <c r="E115" i="3"/>
  <c r="E225" i="3"/>
  <c r="E356" i="3"/>
  <c r="E94" i="3"/>
  <c r="E235" i="3"/>
  <c r="E342" i="3"/>
  <c r="E66" i="3"/>
  <c r="E112" i="3"/>
  <c r="E308" i="3"/>
  <c r="E82" i="3"/>
  <c r="E13" i="3"/>
  <c r="E238" i="3"/>
  <c r="AE6" i="3"/>
  <c r="E496" i="3"/>
  <c r="E73" i="3"/>
  <c r="E256" i="3"/>
  <c r="AG6" i="3"/>
  <c r="P6" i="3"/>
  <c r="E558" i="3"/>
  <c r="E444" i="3"/>
  <c r="E366" i="3"/>
  <c r="E282" i="3"/>
  <c r="E239" i="3"/>
  <c r="E569" i="3"/>
  <c r="E130" i="3"/>
  <c r="E415" i="3"/>
  <c r="E260" i="3"/>
  <c r="E117" i="3"/>
  <c r="E125" i="3"/>
  <c r="E553" i="3"/>
  <c r="N6" i="3"/>
  <c r="E516" i="3"/>
  <c r="E320" i="3"/>
  <c r="E230" i="3"/>
  <c r="E114" i="3"/>
  <c r="E395" i="3"/>
  <c r="E293" i="3"/>
  <c r="E583" i="3"/>
  <c r="E253" i="3"/>
  <c r="E85" i="3"/>
  <c r="E457" i="3"/>
  <c r="E571" i="3"/>
  <c r="E433" i="3"/>
  <c r="E111" i="3"/>
  <c r="E107" i="3"/>
  <c r="E515" i="3"/>
  <c r="E414" i="3"/>
  <c r="E505" i="3"/>
  <c r="E476" i="3"/>
  <c r="E44" i="3"/>
  <c r="E530" i="3"/>
  <c r="E305" i="3"/>
  <c r="E388" i="3"/>
  <c r="E410" i="3"/>
  <c r="E439" i="3"/>
  <c r="E231" i="3"/>
  <c r="E185" i="3"/>
  <c r="E528" i="3"/>
  <c r="E361" i="3"/>
  <c r="E495" i="3"/>
  <c r="E399" i="3"/>
  <c r="E175" i="3"/>
  <c r="E508" i="3"/>
  <c r="E555" i="3"/>
  <c r="AR6" i="3"/>
  <c r="E538" i="3"/>
  <c r="E216" i="3"/>
  <c r="E261" i="3"/>
  <c r="E183" i="3"/>
  <c r="E503" i="3"/>
  <c r="E124" i="3"/>
  <c r="E77" i="3"/>
  <c r="E181" i="3"/>
  <c r="AK6" i="3"/>
  <c r="E277" i="3"/>
  <c r="K6" i="3"/>
  <c r="E577" i="3"/>
  <c r="E454" i="3"/>
  <c r="E146" i="3"/>
  <c r="E214" i="3"/>
  <c r="E362" i="3"/>
  <c r="E227" i="3"/>
  <c r="AO6" i="3"/>
  <c r="E400" i="3"/>
  <c r="E557" i="3"/>
  <c r="E489" i="3"/>
  <c r="E70" i="3"/>
  <c r="E211" i="3"/>
  <c r="E526" i="3"/>
  <c r="E322" i="3"/>
  <c r="E509" i="3"/>
  <c r="E431" i="3"/>
  <c r="E201" i="3"/>
  <c r="E514" i="3"/>
  <c r="E215" i="3"/>
  <c r="E69" i="3"/>
  <c r="E563" i="3"/>
  <c r="E445" i="3"/>
  <c r="E161" i="3"/>
  <c r="E191" i="3"/>
  <c r="X6" i="3"/>
  <c r="E136" i="3"/>
  <c r="E306" i="3"/>
  <c r="E224" i="3"/>
  <c r="E532" i="3"/>
  <c r="E474" i="3"/>
  <c r="E475" i="3"/>
  <c r="E168" i="3"/>
  <c r="E257" i="3"/>
  <c r="E14" i="3"/>
  <c r="E397" i="3"/>
  <c r="E207" i="3"/>
  <c r="E432" i="3"/>
  <c r="E547" i="3"/>
  <c r="E546" i="3"/>
  <c r="E92" i="3"/>
  <c r="E272" i="3"/>
  <c r="E317" i="3"/>
  <c r="E301" i="3"/>
  <c r="E347" i="3"/>
  <c r="E156" i="3"/>
  <c r="E434" i="3"/>
  <c r="E262" i="3"/>
  <c r="E177" i="3"/>
  <c r="E344" i="3"/>
  <c r="E429" i="3"/>
  <c r="E55" i="3"/>
  <c r="E203" i="3"/>
  <c r="E274" i="3"/>
  <c r="E580" i="3"/>
  <c r="E576" i="3"/>
  <c r="E448" i="3"/>
  <c r="E443" i="3"/>
  <c r="E581" i="3"/>
  <c r="E404" i="3"/>
  <c r="E121" i="3"/>
  <c r="E453" i="3"/>
  <c r="E314" i="3"/>
  <c r="E99" i="3"/>
  <c r="E193" i="3"/>
  <c r="E573" i="3"/>
  <c r="E527" i="3"/>
  <c r="E72" i="3"/>
  <c r="E150" i="3"/>
  <c r="E351" i="3"/>
  <c r="E31" i="3"/>
  <c r="E549" i="3"/>
  <c r="E271" i="3"/>
  <c r="E477" i="3"/>
  <c r="AS6" i="3"/>
  <c r="E447" i="3"/>
  <c r="E162" i="3"/>
  <c r="E210" i="3"/>
  <c r="E384" i="3"/>
  <c r="E568" i="3"/>
  <c r="E545" i="3"/>
  <c r="E228" i="3"/>
  <c r="E133" i="3"/>
  <c r="E560" i="3"/>
  <c r="E406" i="3"/>
  <c r="E106" i="3"/>
  <c r="E171" i="3"/>
  <c r="E315" i="3"/>
  <c r="E74" i="3"/>
  <c r="E368" i="3"/>
  <c r="E204" i="3"/>
  <c r="E345" i="3"/>
  <c r="E531" i="3"/>
  <c r="E28" i="3"/>
  <c r="E182" i="3"/>
  <c r="E273" i="3"/>
  <c r="E572" i="3"/>
  <c r="E157" i="3"/>
  <c r="E313" i="3"/>
  <c r="E529" i="3"/>
  <c r="E438" i="3"/>
  <c r="W6" i="3"/>
  <c r="E471" i="3"/>
  <c r="E357" i="3"/>
  <c r="E93" i="3"/>
  <c r="E196" i="3"/>
  <c r="E145" i="3"/>
  <c r="U6" i="3"/>
  <c r="E548" i="3"/>
  <c r="E71" i="3"/>
  <c r="E126" i="3"/>
  <c r="E291" i="3"/>
  <c r="AM6" i="3"/>
  <c r="E319" i="3"/>
  <c r="E153" i="3"/>
  <c r="E285" i="3"/>
  <c r="E390" i="3"/>
  <c r="E523" i="3"/>
  <c r="E418" i="3"/>
  <c r="E321" i="3"/>
  <c r="E169" i="3"/>
  <c r="E302" i="3"/>
  <c r="E254" i="3"/>
  <c r="E303" i="3"/>
  <c r="AN6" i="3"/>
  <c r="E280" i="3"/>
  <c r="E53" i="3"/>
  <c r="O6" i="3"/>
  <c r="E359" i="3"/>
  <c r="E97" i="3"/>
  <c r="S6" i="3"/>
  <c r="E506" i="3"/>
  <c r="E338" i="3"/>
  <c r="E565" i="3"/>
  <c r="E17" i="3"/>
  <c r="E221" i="3"/>
  <c r="E159" i="3"/>
  <c r="E402" i="3"/>
  <c r="E353" i="3"/>
  <c r="E268" i="3"/>
  <c r="AJ6" i="3"/>
  <c r="E579" i="3"/>
  <c r="E247" i="3"/>
  <c r="E311" i="3"/>
  <c r="E570" i="3"/>
  <c r="E189" i="3"/>
  <c r="E278" i="3"/>
  <c r="E172" i="3"/>
  <c r="E535" i="3"/>
  <c r="E135" i="3"/>
  <c r="E263" i="3"/>
  <c r="E480" i="3"/>
  <c r="E551" i="3"/>
  <c r="E128" i="3"/>
  <c r="E122" i="3"/>
  <c r="E23" i="71"/>
  <c r="E22" i="71" s="1"/>
  <c r="E21" i="71" s="1"/>
  <c r="E20" i="71" s="1"/>
  <c r="V24" i="71"/>
  <c r="AZ111" i="3"/>
  <c r="C56" i="71"/>
  <c r="D55" i="71"/>
  <c r="AZ78" i="3"/>
  <c r="E155" i="3"/>
  <c r="AZ482" i="3"/>
  <c r="AC24" i="36"/>
  <c r="W24" i="36"/>
  <c r="AC23" i="36"/>
  <c r="W23" i="36"/>
  <c r="E542" i="3"/>
  <c r="D59" i="71"/>
  <c r="C60" i="71"/>
  <c r="B66" i="71"/>
  <c r="N67" i="71"/>
  <c r="U34" i="35"/>
  <c r="AB34" i="35"/>
  <c r="T40" i="71"/>
  <c r="D40" i="71"/>
  <c r="C66" i="71"/>
  <c r="O67" i="71"/>
  <c r="D67" i="71"/>
  <c r="E192" i="3"/>
  <c r="E240" i="3"/>
  <c r="AZ300" i="3"/>
  <c r="AZ485" i="3"/>
  <c r="AC9" i="33"/>
  <c r="W9" i="33"/>
  <c r="W12" i="35"/>
  <c r="AC12" i="35"/>
  <c r="W34" i="21"/>
  <c r="AC34" i="21"/>
  <c r="U40" i="40"/>
  <c r="AB40" i="40"/>
  <c r="B15" i="71"/>
  <c r="B14" i="71" s="1"/>
  <c r="B13" i="71" s="1"/>
  <c r="B12" i="71" s="1"/>
  <c r="S16" i="71"/>
  <c r="E144" i="3"/>
  <c r="AZ18" i="3"/>
  <c r="E264" i="3"/>
  <c r="E488" i="3"/>
  <c r="AA26" i="37"/>
  <c r="S26" i="37"/>
  <c r="J6" i="15"/>
  <c r="J18" i="15" s="1"/>
  <c r="AA26" i="21"/>
  <c r="AZ75" i="3"/>
  <c r="AZ463" i="3"/>
  <c r="AA44" i="39"/>
  <c r="S44" i="39"/>
  <c r="AC45" i="39"/>
  <c r="W45" i="39"/>
  <c r="E66" i="71"/>
  <c r="P67" i="71"/>
  <c r="AZ104" i="3"/>
  <c r="D43" i="71"/>
  <c r="C44" i="71"/>
  <c r="AZ243" i="3"/>
  <c r="AZ460" i="3"/>
  <c r="AZ477" i="3"/>
  <c r="AA23" i="36"/>
  <c r="S23" i="36"/>
  <c r="U45" i="39"/>
  <c r="AB45" i="39"/>
  <c r="BA5" i="3"/>
  <c r="E27" i="6" s="1"/>
  <c r="K26" i="6" s="1"/>
  <c r="M26" i="6" s="1"/>
  <c r="I26" i="6" s="1"/>
  <c r="S26" i="6" s="1"/>
  <c r="S34" i="21"/>
  <c r="W36" i="21"/>
  <c r="D30" i="71"/>
  <c r="C31" i="71"/>
  <c r="AZ103" i="3"/>
  <c r="D35" i="71"/>
  <c r="C36" i="71"/>
  <c r="E275" i="3"/>
  <c r="E436" i="3"/>
  <c r="E483" i="3"/>
  <c r="AB23" i="36"/>
  <c r="U23" i="36"/>
  <c r="AB9" i="34"/>
  <c r="U9" i="34"/>
  <c r="W42" i="21"/>
  <c r="F7" i="84"/>
  <c r="AA7" i="84" s="1"/>
  <c r="S42" i="21"/>
  <c r="C58" i="82"/>
  <c r="G7" i="84"/>
  <c r="H7" i="84" s="1"/>
  <c r="C58" i="83"/>
  <c r="I7" i="84"/>
  <c r="J7" i="84" s="1"/>
  <c r="S13" i="21"/>
  <c r="AB12" i="21"/>
  <c r="U12" i="21"/>
  <c r="F7" i="36"/>
  <c r="AA7" i="36" s="1"/>
  <c r="R36" i="36" s="1"/>
  <c r="J7" i="37"/>
  <c r="AC7" i="37" s="1"/>
  <c r="V42" i="37" s="1"/>
  <c r="I42" i="37" s="1"/>
  <c r="H7" i="36"/>
  <c r="U7" i="36" s="1"/>
  <c r="AC12" i="21"/>
  <c r="W12" i="2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AB7" i="36"/>
  <c r="T36" i="36" s="1"/>
  <c r="G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0" i="15"/>
  <c r="Q73" i="15"/>
  <c r="Q61" i="67"/>
  <c r="Q74" i="67"/>
  <c r="Q74" i="15"/>
  <c r="Q61" i="15"/>
  <c r="AE11" i="1"/>
  <c r="AE6" i="1"/>
  <c r="AE9" i="1"/>
  <c r="F27" i="68"/>
  <c r="AE7" i="1"/>
  <c r="AE8" i="1"/>
  <c r="AE12" i="1"/>
  <c r="AE10" i="1"/>
  <c r="F41" i="67"/>
  <c r="C29" i="69" l="1"/>
  <c r="D27" i="69" s="1"/>
  <c r="C47" i="69"/>
  <c r="D45" i="69" s="1"/>
  <c r="AZ5" i="3"/>
  <c r="E279" i="3"/>
  <c r="E511" i="3"/>
  <c r="E550" i="3"/>
  <c r="E396" i="3"/>
  <c r="E61" i="3"/>
  <c r="E229" i="3"/>
  <c r="E88" i="3"/>
  <c r="E394" i="3"/>
  <c r="E120" i="3"/>
  <c r="E184" i="3"/>
  <c r="E473" i="3"/>
  <c r="E408" i="3"/>
  <c r="E154" i="3"/>
  <c r="E163" i="3"/>
  <c r="E39" i="3"/>
  <c r="E222" i="3"/>
  <c r="E287" i="3"/>
  <c r="E209" i="3"/>
  <c r="E57" i="3"/>
  <c r="E244" i="3"/>
  <c r="E190" i="3"/>
  <c r="E41" i="3"/>
  <c r="E116" i="3"/>
  <c r="E174" i="3"/>
  <c r="E452" i="3"/>
  <c r="E309" i="3"/>
  <c r="E307" i="3"/>
  <c r="E258" i="3"/>
  <c r="E575" i="3"/>
  <c r="E170" i="3"/>
  <c r="E101" i="3"/>
  <c r="E220" i="3"/>
  <c r="E393" i="3"/>
  <c r="E354" i="3"/>
  <c r="E292" i="3"/>
  <c r="E312" i="3"/>
  <c r="E64" i="3"/>
  <c r="E37" i="3"/>
  <c r="E499" i="3"/>
  <c r="E364" i="3"/>
  <c r="E137" i="3"/>
  <c r="E226" i="3"/>
  <c r="E422" i="3"/>
  <c r="C21" i="71"/>
  <c r="D22" i="71"/>
  <c r="E131" i="3"/>
  <c r="E43" i="3"/>
  <c r="E323" i="3"/>
  <c r="E200" i="3"/>
  <c r="E520" i="3"/>
  <c r="E539" i="3"/>
  <c r="E409" i="3"/>
  <c r="E517" i="3"/>
  <c r="E212" i="3"/>
  <c r="E123" i="3"/>
  <c r="E79" i="3"/>
  <c r="E178" i="3"/>
  <c r="E543" i="3"/>
  <c r="W7" i="37"/>
  <c r="E417" i="3"/>
  <c r="E365" i="3"/>
  <c r="E401" i="3"/>
  <c r="E21" i="3"/>
  <c r="AL6" i="3"/>
  <c r="E158" i="3"/>
  <c r="E138" i="3"/>
  <c r="E582" i="3"/>
  <c r="E310" i="3"/>
  <c r="E76" i="3"/>
  <c r="AP6" i="3"/>
  <c r="E536" i="3"/>
  <c r="E36" i="3"/>
  <c r="E15" i="3"/>
  <c r="E25" i="3"/>
  <c r="E493" i="3"/>
  <c r="E566" i="3"/>
  <c r="E80" i="3"/>
  <c r="E556" i="3"/>
  <c r="E179" i="3"/>
  <c r="E242" i="3"/>
  <c r="E63" i="3"/>
  <c r="E47" i="3"/>
  <c r="I3" i="6"/>
  <c r="E300" i="3"/>
  <c r="E389" i="3"/>
  <c r="E255" i="3"/>
  <c r="E524" i="3"/>
  <c r="AQ6" i="3"/>
  <c r="E540" i="3"/>
  <c r="E463" i="3"/>
  <c r="E105" i="3"/>
  <c r="E350" i="3"/>
  <c r="E561" i="3"/>
  <c r="E331" i="3"/>
  <c r="E269" i="3"/>
  <c r="E458" i="3"/>
  <c r="E578" i="3"/>
  <c r="V6" i="3"/>
  <c r="E336" i="3"/>
  <c r="E294" i="3"/>
  <c r="E30" i="3"/>
  <c r="E164" i="3"/>
  <c r="E424" i="3"/>
  <c r="E118" i="3"/>
  <c r="E194" i="3"/>
  <c r="E40" i="3"/>
  <c r="E329" i="3"/>
  <c r="E35" i="3"/>
  <c r="E349" i="3"/>
  <c r="E442" i="3"/>
  <c r="E139" i="3"/>
  <c r="E67" i="3"/>
  <c r="E378" i="3"/>
  <c r="E421" i="3"/>
  <c r="E24" i="3"/>
  <c r="E391" i="3"/>
  <c r="E507" i="3"/>
  <c r="E34" i="3"/>
  <c r="E243" i="3"/>
  <c r="E534" i="3"/>
  <c r="E87" i="3"/>
  <c r="E59" i="3"/>
  <c r="E449" i="3"/>
  <c r="E250" i="3"/>
  <c r="E469" i="3"/>
  <c r="E381" i="3"/>
  <c r="E104" i="3"/>
  <c r="E341" i="3"/>
  <c r="E484" i="3"/>
  <c r="E416" i="3"/>
  <c r="E267" i="3"/>
  <c r="E363" i="3"/>
  <c r="E430" i="3"/>
  <c r="E265" i="3"/>
  <c r="E325" i="3"/>
  <c r="E60" i="3"/>
  <c r="E498" i="3"/>
  <c r="E223" i="3"/>
  <c r="S7" i="36"/>
  <c r="E491" i="3"/>
  <c r="E246" i="3"/>
  <c r="E335" i="3"/>
  <c r="E217" i="3"/>
  <c r="E237" i="3"/>
  <c r="E426" i="3"/>
  <c r="E213" i="3"/>
  <c r="E574" i="3"/>
  <c r="E403" i="3"/>
  <c r="E208" i="3"/>
  <c r="E352" i="3"/>
  <c r="E485" i="3"/>
  <c r="E468" i="3"/>
  <c r="E343" i="3"/>
  <c r="E478" i="3"/>
  <c r="E450" i="3"/>
  <c r="E334" i="3"/>
  <c r="E252" i="3"/>
  <c r="E481" i="3"/>
  <c r="E380" i="3"/>
  <c r="E411" i="3"/>
  <c r="E537" i="3"/>
  <c r="E385" i="3"/>
  <c r="E387" i="3"/>
  <c r="E109" i="3"/>
  <c r="E327" i="3"/>
  <c r="E465" i="3"/>
  <c r="E586" i="3"/>
  <c r="E270" i="3"/>
  <c r="E134" i="3"/>
  <c r="E533" i="3"/>
  <c r="E186" i="3"/>
  <c r="E567" i="3"/>
  <c r="E519" i="3"/>
  <c r="E245" i="3"/>
  <c r="E559" i="3"/>
  <c r="E518" i="3"/>
  <c r="E407" i="3"/>
  <c r="E316" i="3"/>
  <c r="E236" i="3"/>
  <c r="E437" i="3"/>
  <c r="E51" i="3"/>
  <c r="E129" i="3"/>
  <c r="E470" i="3"/>
  <c r="E22" i="3"/>
  <c r="E386" i="3"/>
  <c r="E259" i="3"/>
  <c r="E141" i="3"/>
  <c r="E188" i="3"/>
  <c r="E584" i="3"/>
  <c r="E297" i="3"/>
  <c r="AD6" i="3"/>
  <c r="AC6" i="3" s="1"/>
  <c r="E522" i="3"/>
  <c r="E281" i="3"/>
  <c r="E405" i="3"/>
  <c r="E23" i="3"/>
  <c r="E108" i="3"/>
  <c r="E173" i="3"/>
  <c r="E86" i="3"/>
  <c r="E504" i="3"/>
  <c r="E487" i="3"/>
  <c r="E84" i="3"/>
  <c r="T6" i="3"/>
  <c r="E49" i="3"/>
  <c r="E494" i="3"/>
  <c r="E33" i="3"/>
  <c r="E110" i="3"/>
  <c r="E464" i="3"/>
  <c r="E142" i="3"/>
  <c r="E241" i="3"/>
  <c r="E466" i="3"/>
  <c r="E176" i="3"/>
  <c r="E299" i="3"/>
  <c r="E372" i="3"/>
  <c r="AH6" i="3"/>
  <c r="E16" i="3"/>
  <c r="E413" i="3"/>
  <c r="E276" i="3"/>
  <c r="E198" i="3"/>
  <c r="AI6" i="3"/>
  <c r="AB6" i="3"/>
  <c r="AA6" i="3"/>
  <c r="E298" i="3"/>
  <c r="E501" i="3"/>
  <c r="E304" i="3"/>
  <c r="E328" i="3"/>
  <c r="E367" i="3"/>
  <c r="E54" i="3"/>
  <c r="E461" i="3"/>
  <c r="Z6" i="3"/>
  <c r="E587" i="3"/>
  <c r="E441" i="3"/>
  <c r="E585" i="3"/>
  <c r="E562" i="3"/>
  <c r="E295" i="3"/>
  <c r="I6" i="3"/>
  <c r="H6" i="3" s="1"/>
  <c r="Q6" i="3"/>
  <c r="E29" i="3"/>
  <c r="E379" i="3"/>
  <c r="E288" i="3"/>
  <c r="E423" i="3"/>
  <c r="M6" i="3"/>
  <c r="E377" i="3"/>
  <c r="E89" i="3"/>
  <c r="E472" i="3"/>
  <c r="E91" i="3"/>
  <c r="E337" i="3"/>
  <c r="E180" i="3"/>
  <c r="E143" i="3"/>
  <c r="E27" i="3"/>
  <c r="E318" i="3"/>
  <c r="E45" i="3"/>
  <c r="E290" i="3"/>
  <c r="E151" i="3"/>
  <c r="E382" i="3"/>
  <c r="E358" i="3"/>
  <c r="E166" i="3"/>
  <c r="E32" i="3"/>
  <c r="E330" i="3"/>
  <c r="E370" i="3"/>
  <c r="E18" i="3"/>
  <c r="E376" i="3"/>
  <c r="E283" i="3"/>
  <c r="E249" i="3"/>
  <c r="E95" i="3"/>
  <c r="E148" i="3"/>
  <c r="E373" i="3"/>
  <c r="E371" i="3"/>
  <c r="E132" i="3"/>
  <c r="E199" i="3"/>
  <c r="E339" i="3"/>
  <c r="E119" i="3"/>
  <c r="E525" i="3"/>
  <c r="E219" i="3"/>
  <c r="E26" i="3"/>
  <c r="E83" i="3"/>
  <c r="E492" i="3"/>
  <c r="E348" i="3"/>
  <c r="E552" i="3"/>
  <c r="E324" i="3"/>
  <c r="E197" i="3"/>
  <c r="E392" i="3"/>
  <c r="E440" i="3"/>
  <c r="E52" i="3"/>
  <c r="E375" i="3"/>
  <c r="R6" i="3"/>
  <c r="E103" i="3"/>
  <c r="E152" i="3"/>
  <c r="E502" i="3"/>
  <c r="E20" i="3"/>
  <c r="E234" i="3"/>
  <c r="E346" i="3"/>
  <c r="E490" i="3"/>
  <c r="J5" i="67"/>
  <c r="J24" i="67" s="1"/>
  <c r="M17" i="67"/>
  <c r="J5" i="15"/>
  <c r="J24" i="15" s="1"/>
  <c r="F59" i="67"/>
  <c r="S7" i="84"/>
  <c r="C49" i="67"/>
  <c r="E3" i="6"/>
  <c r="D19" i="11" s="1"/>
  <c r="C19" i="11" s="1"/>
  <c r="AY6" i="3"/>
  <c r="AY51" i="3" s="1"/>
  <c r="T36" i="71"/>
  <c r="D36" i="71"/>
  <c r="T60" i="71"/>
  <c r="D60" i="71"/>
  <c r="T44" i="71"/>
  <c r="D44" i="71"/>
  <c r="B11" i="71"/>
  <c r="B10" i="71" s="1"/>
  <c r="B9" i="71" s="1"/>
  <c r="B8" i="71" s="1"/>
  <c r="B7" i="71" s="1"/>
  <c r="B6" i="71" s="1"/>
  <c r="B5" i="71" s="1"/>
  <c r="S12" i="71"/>
  <c r="O66" i="71"/>
  <c r="D66" i="71"/>
  <c r="O65" i="71"/>
  <c r="D31" i="71"/>
  <c r="C32" i="71"/>
  <c r="E19" i="71"/>
  <c r="E18" i="71" s="1"/>
  <c r="E17" i="71" s="1"/>
  <c r="E16" i="71" s="1"/>
  <c r="V20" i="71"/>
  <c r="T56" i="71"/>
  <c r="D56" i="71"/>
  <c r="P66" i="71"/>
  <c r="P65" i="71"/>
  <c r="E65" i="39"/>
  <c r="N65" i="71"/>
  <c r="N66" i="71"/>
  <c r="W7" i="84"/>
  <c r="AC7" i="84"/>
  <c r="U7" i="84"/>
  <c r="AB7" i="84"/>
  <c r="D58" i="83"/>
  <c r="E58" i="83" s="1"/>
  <c r="F58" i="83" s="1"/>
  <c r="G58" i="83" s="1"/>
  <c r="H58" i="83" s="1"/>
  <c r="I58" i="83" s="1"/>
  <c r="J58" i="83" s="1"/>
  <c r="K58" i="83" s="1"/>
  <c r="L58" i="83" s="1"/>
  <c r="M58" i="83" s="1"/>
  <c r="N58" i="83" s="1"/>
  <c r="O58" i="83" s="1"/>
  <c r="D58" i="82"/>
  <c r="E58" i="82" s="1"/>
  <c r="F58" i="82" s="1"/>
  <c r="G58" i="82" s="1"/>
  <c r="H58" i="82" s="1"/>
  <c r="I58" i="82" s="1"/>
  <c r="J58" i="82" s="1"/>
  <c r="K58" i="82" s="1"/>
  <c r="L58" i="82" s="1"/>
  <c r="M58" i="82" s="1"/>
  <c r="N58" i="82" s="1"/>
  <c r="O58" i="82"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207" i="3"/>
  <c r="AY176" i="3"/>
  <c r="AY144" i="3"/>
  <c r="AY42" i="3"/>
  <c r="AY188" i="3"/>
  <c r="AY152" i="3"/>
  <c r="AY168" i="3"/>
  <c r="AY297" i="3"/>
  <c r="AY253" i="3"/>
  <c r="AY366" i="3"/>
  <c r="AY335" i="3"/>
  <c r="AY303" i="3"/>
  <c r="AY139" i="3"/>
  <c r="AY289" i="3"/>
  <c r="AY74" i="3"/>
  <c r="AY252" i="3"/>
  <c r="AY209" i="3"/>
  <c r="AY363" i="3"/>
  <c r="AY428" i="3"/>
  <c r="AY441" i="3"/>
  <c r="AY409" i="3"/>
  <c r="AY245" i="3"/>
  <c r="AY260" i="3"/>
  <c r="AY228" i="3"/>
  <c r="AY342" i="3"/>
  <c r="AY310" i="3"/>
  <c r="AY465" i="3"/>
  <c r="AY513" i="3"/>
  <c r="AY549" i="3"/>
  <c r="BK6" i="3"/>
  <c r="AY553" i="3"/>
  <c r="AY97" i="3"/>
  <c r="AY108" i="3"/>
  <c r="AY60" i="3"/>
  <c r="AY44" i="3"/>
  <c r="AY28" i="3"/>
  <c r="AY170" i="3"/>
  <c r="AY154" i="3"/>
  <c r="AY138" i="3"/>
  <c r="AY299" i="3"/>
  <c r="AY283" i="3"/>
  <c r="AY294" i="3"/>
  <c r="AY246" i="3"/>
  <c r="AY230" i="3"/>
  <c r="AY214" i="3"/>
  <c r="AY357" i="3"/>
  <c r="AY360" i="3"/>
  <c r="AY554" i="3"/>
  <c r="AY41" i="3"/>
  <c r="AY56" i="3"/>
  <c r="AY24" i="3"/>
  <c r="AY114" i="3"/>
  <c r="AY295" i="3"/>
  <c r="AY290" i="3"/>
  <c r="AY377" i="3"/>
  <c r="AY353" i="3"/>
  <c r="AY349" i="3"/>
  <c r="AY491" i="3"/>
  <c r="AY475" i="3"/>
  <c r="AY488" i="3"/>
  <c r="AY414" i="3"/>
  <c r="AY398" i="3"/>
  <c r="AY427" i="3"/>
  <c r="AY561" i="3"/>
  <c r="AY534" i="3"/>
  <c r="BF6" i="3"/>
  <c r="AY16" i="3"/>
  <c r="AY501" i="3"/>
  <c r="AY98" i="3"/>
  <c r="AY237" i="3"/>
  <c r="AY387" i="3"/>
  <c r="AY334" i="3"/>
  <c r="AY269" i="3"/>
  <c r="AY244" i="3"/>
  <c r="AY390" i="3"/>
  <c r="AY535" i="3"/>
  <c r="AY562" i="3"/>
  <c r="AY574" i="3"/>
  <c r="AY68" i="3"/>
  <c r="AY36" i="3"/>
  <c r="AY25" i="3"/>
  <c r="AY117" i="3"/>
  <c r="AY302" i="3"/>
  <c r="AY271" i="3"/>
  <c r="AY365" i="3"/>
  <c r="BS6" i="3"/>
  <c r="BI6" i="3"/>
  <c r="AY130" i="3"/>
  <c r="AY279" i="3"/>
  <c r="AY243" i="3"/>
  <c r="AY308" i="3"/>
  <c r="AY467" i="3"/>
  <c r="AY464" i="3"/>
  <c r="AY516" i="3"/>
  <c r="BN6" i="3"/>
  <c r="AY527" i="3"/>
  <c r="AY496" i="3"/>
  <c r="AY577" i="3"/>
  <c r="AY523" i="3"/>
  <c r="AY132" i="3"/>
  <c r="AY31" i="3"/>
  <c r="AY292" i="3"/>
  <c r="AY412" i="3"/>
  <c r="AY497" i="3"/>
  <c r="AY43" i="3"/>
  <c r="AY326" i="3"/>
  <c r="AY478" i="3"/>
  <c r="AY436" i="3"/>
  <c r="AY105" i="3"/>
  <c r="AY100" i="3"/>
  <c r="AY69" i="3"/>
  <c r="AY162" i="3"/>
  <c r="AY173" i="3"/>
  <c r="AY141" i="3"/>
  <c r="AY238" i="3"/>
  <c r="AY227" i="3"/>
  <c r="AY384" i="3"/>
  <c r="AY72" i="3"/>
  <c r="AY29" i="3"/>
  <c r="AY181" i="3"/>
  <c r="AY370" i="3"/>
  <c r="AY341" i="3"/>
  <c r="AY309" i="3"/>
  <c r="AY406" i="3"/>
  <c r="AY419" i="3"/>
  <c r="AY503" i="3"/>
  <c r="AY543" i="3"/>
  <c r="AY584" i="3"/>
  <c r="AY494" i="3"/>
  <c r="AY65" i="3"/>
  <c r="AY80" i="3"/>
  <c r="AY48" i="3"/>
  <c r="AY137" i="3"/>
  <c r="AY129" i="3"/>
  <c r="AY287" i="3"/>
  <c r="AY380" i="3"/>
  <c r="AY369" i="3"/>
  <c r="AY364" i="3"/>
  <c r="AY312" i="3"/>
  <c r="AY487" i="3"/>
  <c r="AY471" i="3"/>
  <c r="AY426" i="3"/>
  <c r="AY410" i="3"/>
  <c r="AY439" i="3"/>
  <c r="AY14" i="3"/>
  <c r="D3" i="6"/>
  <c r="AY524" i="3"/>
  <c r="AY570" i="3"/>
  <c r="AY531" i="3"/>
  <c r="AY578" i="3"/>
  <c r="AY46" i="3"/>
  <c r="AY35" i="3"/>
  <c r="AY192" i="3"/>
  <c r="AY285" i="3"/>
  <c r="AY280" i="3"/>
  <c r="AY249" i="3"/>
  <c r="AY362" i="3"/>
  <c r="AY331" i="3"/>
  <c r="AY346" i="3"/>
  <c r="AY437" i="3"/>
  <c r="AY405" i="3"/>
  <c r="AY558" i="3"/>
  <c r="AY91" i="3"/>
  <c r="AY86" i="3"/>
  <c r="AY55" i="3"/>
  <c r="AY148" i="3"/>
  <c r="AY159" i="3"/>
  <c r="AY128" i="3"/>
  <c r="AY224" i="3"/>
  <c r="AY213" i="3"/>
  <c r="AY391" i="3"/>
  <c r="AY490" i="3"/>
  <c r="AY459" i="3"/>
  <c r="AY448" i="3"/>
  <c r="AY511" i="3"/>
  <c r="AY504" i="3"/>
  <c r="AY586" i="3"/>
  <c r="AY298" i="3"/>
  <c r="AY235" i="3"/>
  <c r="AY218" i="3"/>
  <c r="AY492" i="3"/>
  <c r="AY461" i="3"/>
  <c r="AY450" i="3"/>
  <c r="AY575" i="3"/>
  <c r="AY537" i="3"/>
  <c r="AY530" i="3"/>
  <c r="AY203" i="3"/>
  <c r="AY140" i="3"/>
  <c r="AY120" i="3"/>
  <c r="AY330" i="3"/>
  <c r="AY482" i="3"/>
  <c r="AY440" i="3"/>
  <c r="AY39" i="3"/>
  <c r="AY22" i="3"/>
  <c r="AY195" i="3"/>
  <c r="AY375" i="3"/>
  <c r="AY339" i="3"/>
  <c r="AY322" i="3"/>
  <c r="AY567" i="3"/>
  <c r="AY64" i="3"/>
  <c r="AY21" i="3"/>
  <c r="AY396" i="3"/>
  <c r="AY361" i="3"/>
  <c r="AY337" i="3"/>
  <c r="AY434" i="3"/>
  <c r="AY402" i="3"/>
  <c r="AY415" i="3"/>
  <c r="AY545" i="3"/>
  <c r="BP6" i="3"/>
  <c r="AY493" i="3"/>
  <c r="AY301" i="3"/>
  <c r="AY265" i="3"/>
  <c r="AY248" i="3"/>
  <c r="AY408" i="3"/>
  <c r="AY500" i="3"/>
  <c r="AY547" i="3"/>
  <c r="AY164" i="3"/>
  <c r="AY143" i="3"/>
  <c r="AY293" i="3"/>
  <c r="AY477" i="3"/>
  <c r="AY443" i="3"/>
  <c r="AY400" i="3"/>
  <c r="E6" i="6"/>
  <c r="D37" i="11"/>
  <c r="D14" i="12"/>
  <c r="M18" i="9"/>
  <c r="B118" i="9" s="1"/>
  <c r="B1" i="74"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35" i="9"/>
  <c r="M27" i="67"/>
  <c r="M27" i="15"/>
  <c r="F41" i="15"/>
  <c r="AY451" i="3" l="1"/>
  <c r="AY445" i="3"/>
  <c r="AY347" i="3"/>
  <c r="AY256"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C20" i="71"/>
  <c r="D21" i="71"/>
  <c r="AY58" i="3"/>
  <c r="AY307" i="3"/>
  <c r="AY200" i="3"/>
  <c r="AY551" i="3"/>
  <c r="AY583" i="3"/>
  <c r="AY102" i="3"/>
  <c r="AY564" i="3"/>
  <c r="AY122" i="3"/>
  <c r="BC6" i="3"/>
  <c r="AY179" i="3"/>
  <c r="AY376" i="3"/>
  <c r="AY78" i="3"/>
  <c r="AY499" i="3"/>
  <c r="AY223" i="3"/>
  <c r="AY552" i="3"/>
  <c r="AY215" i="3"/>
  <c r="AY270" i="3"/>
  <c r="AY343" i="3"/>
  <c r="AY556" i="3"/>
  <c r="AY340" i="3"/>
  <c r="AY389" i="3"/>
  <c r="AY404" i="3"/>
  <c r="AY75" i="3"/>
  <c r="AY585" i="3"/>
  <c r="AY316" i="3"/>
  <c r="AY73" i="3"/>
  <c r="AY125" i="3"/>
  <c r="AY76" i="3"/>
  <c r="AY401" i="3"/>
  <c r="AY300" i="3"/>
  <c r="AY284" i="3"/>
  <c r="AY371" i="3"/>
  <c r="AY59" i="3"/>
  <c r="C17" i="4"/>
  <c r="B4" i="52" s="1"/>
  <c r="B43" i="72" s="1"/>
  <c r="AY54" i="3"/>
  <c r="AY267" i="3"/>
  <c r="AY17" i="3"/>
  <c r="AY184" i="3"/>
  <c r="AY135" i="3"/>
  <c r="AY344" i="3"/>
  <c r="AY258" i="3"/>
  <c r="AY540" i="3"/>
  <c r="AY82" i="3"/>
  <c r="AY186" i="3"/>
  <c r="AY447" i="3"/>
  <c r="BM6" i="3"/>
  <c r="AY177" i="3"/>
  <c r="AY45" i="3"/>
  <c r="AY470" i="3"/>
  <c r="AY111" i="3"/>
  <c r="D3" i="21"/>
  <c r="AY351" i="3"/>
  <c r="AY485" i="3"/>
  <c r="AY172" i="3"/>
  <c r="AY515" i="3"/>
  <c r="AY476" i="3"/>
  <c r="AY15" i="3"/>
  <c r="AY272" i="3"/>
  <c r="AY576" i="3"/>
  <c r="AY383" i="3"/>
  <c r="AY47" i="3"/>
  <c r="AY336" i="3"/>
  <c r="AY142" i="3"/>
  <c r="BD6" i="3"/>
  <c r="AY338" i="3"/>
  <c r="AY241" i="3"/>
  <c r="BL6" i="3"/>
  <c r="AY456" i="3"/>
  <c r="AY378" i="3"/>
  <c r="AY63" i="3"/>
  <c r="AY542" i="3"/>
  <c r="AY506" i="3"/>
  <c r="AY458" i="3"/>
  <c r="AY234" i="3"/>
  <c r="AY158" i="3"/>
  <c r="AY101" i="3"/>
  <c r="AY520" i="3"/>
  <c r="AY449" i="3"/>
  <c r="BB6" i="3"/>
  <c r="AY255" i="3"/>
  <c r="AY198" i="3"/>
  <c r="AY379" i="3"/>
  <c r="AY489" i="3"/>
  <c r="AY532" i="3"/>
  <c r="AY403" i="3"/>
  <c r="AY325" i="3"/>
  <c r="AY211" i="3"/>
  <c r="AY157" i="3"/>
  <c r="AY85" i="3"/>
  <c r="AY526" i="3"/>
  <c r="AY163" i="3"/>
  <c r="AY510" i="3"/>
  <c r="AY446" i="3"/>
  <c r="AY332" i="3"/>
  <c r="AY210" i="3"/>
  <c r="AY104" i="3"/>
  <c r="AY381" i="3"/>
  <c r="AY231" i="3"/>
  <c r="AY118" i="3"/>
  <c r="AY201" i="3"/>
  <c r="AY541" i="3"/>
  <c r="AY433" i="3"/>
  <c r="AY358" i="3"/>
  <c r="AY180" i="3"/>
  <c r="AY204" i="3"/>
  <c r="AY196" i="3"/>
  <c r="AY382" i="3"/>
  <c r="AY95" i="3"/>
  <c r="AY34" i="3"/>
  <c r="L18" i="9"/>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151" i="3"/>
  <c r="AY250" i="3"/>
  <c r="AY208" i="3"/>
  <c r="AY30" i="3"/>
  <c r="AY304" i="3"/>
  <c r="AY306" i="3"/>
  <c r="AY587" i="3"/>
  <c r="AY424" i="3"/>
  <c r="AY127" i="3"/>
  <c r="BR6" i="3"/>
  <c r="AY442" i="3"/>
  <c r="AY328" i="3"/>
  <c r="AY169" i="3"/>
  <c r="AY96" i="3"/>
  <c r="AY438" i="3"/>
  <c r="AY88" i="3"/>
  <c r="AY193" i="3"/>
  <c r="AY539" i="3"/>
  <c r="AY455" i="3"/>
  <c r="AY191" i="3"/>
  <c r="AY525" i="3"/>
  <c r="AY150" i="3"/>
  <c r="AY126" i="3"/>
  <c r="AY53" i="3"/>
  <c r="AY199" i="3"/>
  <c r="BG6" i="3"/>
  <c r="AY430" i="3"/>
  <c r="AY388" i="3"/>
  <c r="AY145" i="3"/>
  <c r="AY374" i="3"/>
  <c r="AY262" i="3"/>
  <c r="AY185" i="3"/>
  <c r="BE6" i="3"/>
  <c r="AY327" i="3"/>
  <c r="AY460" i="3"/>
  <c r="AY160" i="3"/>
  <c r="AY23" i="3"/>
  <c r="G54" i="34"/>
  <c r="H54" i="34" s="1"/>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C48" i="67"/>
  <c r="C66" i="67" s="1"/>
  <c r="E15" i="71"/>
  <c r="E14" i="71" s="1"/>
  <c r="E13" i="71" s="1"/>
  <c r="E12" i="71" s="1"/>
  <c r="V16" i="71"/>
  <c r="D116" i="43"/>
  <c r="J7" i="82"/>
  <c r="AC7" i="82" s="1"/>
  <c r="V48" i="82" s="1"/>
  <c r="I48" i="82" s="1"/>
  <c r="I52" i="82" s="1"/>
  <c r="J52" i="82" s="1"/>
  <c r="D32" i="71"/>
  <c r="T32" i="71"/>
  <c r="D3" i="84"/>
  <c r="D3" i="83"/>
  <c r="D3" i="82"/>
  <c r="H7" i="83"/>
  <c r="U7" i="83" s="1"/>
  <c r="H7" i="82"/>
  <c r="F7" i="82"/>
  <c r="J7" i="83"/>
  <c r="F7" i="8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D10" i="69"/>
  <c r="C34" i="69"/>
  <c r="D10" i="68"/>
  <c r="C17" i="15"/>
  <c r="C17" i="67"/>
  <c r="C14" i="67"/>
  <c r="C19" i="71" l="1"/>
  <c r="T20" i="71"/>
  <c r="D20" i="71"/>
  <c r="U20" i="71" s="1"/>
  <c r="H24" i="6"/>
  <c r="C60" i="67"/>
  <c r="H21" i="6"/>
  <c r="W7" i="82"/>
  <c r="C25" i="11"/>
  <c r="H22" i="6"/>
  <c r="R22" i="6" s="1"/>
  <c r="R9" i="1" s="1"/>
  <c r="E11" i="71"/>
  <c r="E10" i="71" s="1"/>
  <c r="E9" i="71" s="1"/>
  <c r="E8" i="71" s="1"/>
  <c r="E7" i="71" s="1"/>
  <c r="E6" i="71" s="1"/>
  <c r="E5" i="71" s="1"/>
  <c r="V12" i="71"/>
  <c r="H25" i="6"/>
  <c r="R25" i="6" s="1"/>
  <c r="R12" i="1" s="1"/>
  <c r="AB7" i="83"/>
  <c r="T48" i="83" s="1"/>
  <c r="G48" i="83" s="1"/>
  <c r="G52" i="83" s="1"/>
  <c r="H52" i="83" s="1"/>
  <c r="AA7" i="83"/>
  <c r="R48" i="83" s="1"/>
  <c r="S7" i="83"/>
  <c r="AA7" i="82"/>
  <c r="R48" i="82" s="1"/>
  <c r="S7" i="82"/>
  <c r="AC7" i="83"/>
  <c r="V48" i="83" s="1"/>
  <c r="I48" i="83" s="1"/>
  <c r="I52" i="83" s="1"/>
  <c r="J52" i="83" s="1"/>
  <c r="W7" i="83"/>
  <c r="U7" i="82"/>
  <c r="AB7" i="82"/>
  <c r="T48" i="82" s="1"/>
  <c r="G48" i="82"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C18" i="71"/>
  <c r="D19" i="71"/>
  <c r="G52" i="82"/>
  <c r="H52" i="82" s="1"/>
  <c r="G53" i="82"/>
  <c r="H53" i="82" s="1"/>
  <c r="E48" i="82"/>
  <c r="R49" i="82"/>
  <c r="R49" i="83"/>
  <c r="E48" i="83"/>
  <c r="G53" i="83"/>
  <c r="H53" i="83"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I53" i="83"/>
  <c r="J53" i="83" s="1"/>
  <c r="E52" i="83"/>
  <c r="F52" i="83" s="1"/>
  <c r="E53" i="83"/>
  <c r="F53" i="83" s="1"/>
  <c r="C49" i="82"/>
  <c r="C48" i="82"/>
  <c r="F7" i="21"/>
  <c r="AA7" i="21" s="1"/>
  <c r="R48" i="21" s="1"/>
  <c r="C48" i="83"/>
  <c r="C49" i="83"/>
  <c r="I53" i="82"/>
  <c r="J53" i="82" s="1"/>
  <c r="E52" i="82"/>
  <c r="F52" i="82" s="1"/>
  <c r="E53" i="82"/>
  <c r="F53" i="82"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I47" i="84" l="1"/>
  <c r="C60" i="80"/>
  <c r="B60" i="80" s="1"/>
  <c r="G47" i="84"/>
  <c r="C25" i="80"/>
  <c r="B25" i="80" s="1"/>
  <c r="D17" i="71"/>
  <c r="C16" i="71"/>
  <c r="S7" i="21"/>
  <c r="B3" i="83"/>
  <c r="V47" i="84"/>
  <c r="V48" i="84" s="1"/>
  <c r="I48" i="84" s="1"/>
  <c r="I52" i="84" s="1"/>
  <c r="J52" i="84" s="1"/>
  <c r="B3" i="82"/>
  <c r="W7" i="2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67"/>
  <c r="M21" i="15"/>
  <c r="M21" i="67"/>
  <c r="F35" i="15"/>
  <c r="D16" i="71" l="1"/>
  <c r="U16" i="71" s="1"/>
  <c r="C15" i="71"/>
  <c r="T16" i="71"/>
  <c r="T47" i="84"/>
  <c r="T48" i="84" s="1"/>
  <c r="G48" i="84" s="1"/>
  <c r="G54" i="84"/>
  <c r="H54" i="8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47" i="84" l="1"/>
  <c r="I54" i="84" s="1"/>
  <c r="J54" i="84" s="1"/>
  <c r="C3" i="80"/>
  <c r="B3" i="80" s="1"/>
  <c r="D15" i="71"/>
  <c r="C14" i="71"/>
  <c r="G52" i="84"/>
  <c r="H52" i="84" s="1"/>
  <c r="G53" i="84"/>
  <c r="H53" i="84"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84" l="1"/>
  <c r="F54" i="84" s="1"/>
  <c r="R47" i="84"/>
  <c r="R48" i="84" s="1"/>
  <c r="E48" i="84"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R49" i="84" l="1"/>
  <c r="C49" i="84" s="1"/>
  <c r="B3" i="84" s="1"/>
  <c r="D13" i="71"/>
  <c r="C12" i="71"/>
  <c r="Q67" i="67"/>
  <c r="L57" i="67"/>
  <c r="L60" i="67" s="1"/>
  <c r="L46" i="67" s="1"/>
  <c r="D2" i="67" s="1"/>
  <c r="B2" i="67" s="1"/>
  <c r="I53" i="84"/>
  <c r="J53" i="84" s="1"/>
  <c r="E53" i="84"/>
  <c r="F53" i="84" s="1"/>
  <c r="E52" i="84"/>
  <c r="F52" i="84"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48" i="84" l="1"/>
  <c r="C11" i="71"/>
  <c r="T12" i="71"/>
  <c r="D12" i="71"/>
  <c r="U12" i="71"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0" i="1"/>
  <c r="AO8" i="1"/>
  <c r="AO7" i="1"/>
  <c r="AO6" i="1"/>
  <c r="AO11"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I4" i="52"/>
  <c r="C105" i="9"/>
  <c r="D53" i="9"/>
  <c r="D52" i="9"/>
  <c r="N60" i="9"/>
  <c r="N61" i="9"/>
  <c r="H4" i="52"/>
  <c r="C104" i="9"/>
  <c r="N59" i="9"/>
  <c r="P57" i="9"/>
  <c r="N58" i="9"/>
  <c r="B20" i="72"/>
  <c r="M55" i="9"/>
  <c r="C78" i="9"/>
  <c r="C73" i="9"/>
  <c r="B30" i="72"/>
  <c r="B48" i="72"/>
  <c r="C81" i="9"/>
  <c r="M48" i="9"/>
  <c r="N57" i="9"/>
  <c r="D59" i="9"/>
  <c r="C5" i="74"/>
  <c r="D5" i="53"/>
  <c r="D6" i="53"/>
  <c r="B22" i="72"/>
  <c r="B47" i="72"/>
  <c r="D4" i="52"/>
  <c r="B49" i="72"/>
  <c r="D8" i="52"/>
  <c r="F4" i="52"/>
  <c r="B51" i="72"/>
  <c r="C67" i="9"/>
  <c r="C68" i="9"/>
  <c r="D54" i="9"/>
  <c r="E81" i="9"/>
  <c r="H119" i="9"/>
  <c r="H5" i="52"/>
  <c r="G4" i="52"/>
  <c r="B52" i="72"/>
  <c r="C93" i="9"/>
  <c r="C86" i="9"/>
  <c r="H102" i="9"/>
  <c r="D7" i="53"/>
  <c r="B21" i="72"/>
  <c r="D13" i="53"/>
  <c r="D14" i="53"/>
  <c r="B32" i="72"/>
  <c r="B31" i="72"/>
  <c r="C6" i="74"/>
  <c r="H108" i="9"/>
  <c r="D15" i="53"/>
  <c r="D55" i="9"/>
  <c r="M53" i="9"/>
  <c r="B53" i="72"/>
  <c r="M54" i="9"/>
  <c r="D56" i="9"/>
  <c r="D119" i="9"/>
  <c r="D5" i="52"/>
  <c r="E97" i="9"/>
  <c r="C64" i="9"/>
  <c r="C63" i="9"/>
  <c r="E4" i="52"/>
  <c r="E118" i="9"/>
  <c r="D118" i="9"/>
  <c r="G118" i="9"/>
  <c r="F118" i="9"/>
  <c r="F119" i="9"/>
  <c r="F5" i="52"/>
  <c r="H107" i="9"/>
  <c r="D122" i="9"/>
  <c r="D123" i="9"/>
  <c r="D9" i="52"/>
  <c r="C96" i="9"/>
  <c r="E96" i="9"/>
  <c r="C72" i="9"/>
  <c r="C79" i="9"/>
  <c r="C80" i="9"/>
  <c r="E80"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KZ</author>
  </authors>
  <commentList>
    <comment ref="B14" authorId="0">
      <text>
        <r>
          <rPr>
            <b/>
            <sz val="9"/>
            <color indexed="81"/>
            <rFont val="宋体"/>
            <family val="3"/>
            <charset val="134"/>
          </rPr>
          <t>KZ:</t>
        </r>
        <r>
          <rPr>
            <sz val="9"/>
            <color indexed="81"/>
            <rFont val="宋体"/>
            <family val="3"/>
            <charset val="134"/>
          </rPr>
          <t xml:space="preserve">
以网站截图为准</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<sst xmlns="http://schemas.openxmlformats.org/spreadsheetml/2006/main" count="9936" uniqueCount="3636">
  <si>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</si>
  <si>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</si>
  <si>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</si>
  <si>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</si>
  <si>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</si>
  <si>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</si>
  <si>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</si>
  <si>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</si>
  <si>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</si>
  <si>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</si>
  <si>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</si>
  <si>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</si>
  <si>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</si>
  <si>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</si>
  <si>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</si>
  <si>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</si>
  <si>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</si>
  <si>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</si>
  <si>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</si>
  <si>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</si>
  <si>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</si>
  <si>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</si>
  <si>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</si>
  <si>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</si>
  <si>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</si>
  <si>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</si>
  <si>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</si>
  <si>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</si>
  <si>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</si>
  <si>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</si>
  <si>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</si>
  <si>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</si>
  <si>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</si>
  <si>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</si>
  <si>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</si>
  <si>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</si>
  <si>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</si>
  <si>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</si>
  <si>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</si>
  <si>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</si>
  <si>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</si>
  <si>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</si>
  <si>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</si>
  <si>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</si>
  <si>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</si>
  <si>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</si>
  <si>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</si>
  <si>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</si>
  <si>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</si>
  <si>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</si>
  <si>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</si>
  <si>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</si>
  <si>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</si>
  <si>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</si>
  <si>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</si>
  <si>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</si>
  <si>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</si>
  <si>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</si>
  <si>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</si>
  <si>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</si>
  <si>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</si>
  <si>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</si>
  <si>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</si>
  <si>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</si>
  <si>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</si>
  <si>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</si>
  <si>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</si>
  <si>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</si>
  <si>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</si>
  <si>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</si>
  <si>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</si>
  <si>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</si>
  <si>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</si>
  <si>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</si>
  <si>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</si>
  <si>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</si>
  <si>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</si>
  <si>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</si>
  <si>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</si>
  <si>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</si>
  <si>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</si>
  <si>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</si>
  <si>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</si>
  <si>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</si>
  <si>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</si>
  <si>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</si>
  <si>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</si>
  <si>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</si>
  <si>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</si>
  <si>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</si>
  <si>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</si>
  <si>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</si>
  <si>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</si>
  <si>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</si>
  <si>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</si>
  <si>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</si>
  <si>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</si>
  <si>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</si>
  <si>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</si>
  <si>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</si>
  <si>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</si>
  <si>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</si>
  <si>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</si>
  <si>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</si>
  <si>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</si>
  <si>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</si>
  <si>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</si>
  <si>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</si>
  <si>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</si>
  <si>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</si>
  <si>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</si>
  <si>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</si>
  <si>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</si>
  <si>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</si>
  <si>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</si>
  <si>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</si>
  <si>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</si>
  <si>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</si>
  <si>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</si>
  <si>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</si>
  <si>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</si>
  <si>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</si>
  <si>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</si>
  <si>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</si>
  <si>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</si>
  <si>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</si>
  <si>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</si>
  <si>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</si>
  <si>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</si>
  <si>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</si>
  <si>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</si>
  <si>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</si>
  <si>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</si>
  <si>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</si>
  <si>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</si>
  <si>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</si>
  <si>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</si>
  <si>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</si>
  <si>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</si>
  <si>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</si>
  <si>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</si>
  <si>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</si>
  <si>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</si>
  <si>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</si>
  <si>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</si>
  <si>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</si>
  <si>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</si>
  <si>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</si>
  <si>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</si>
  <si>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</si>
  <si>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</si>
  <si>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</si>
  <si>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</si>
  <si>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</si>
  <si>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</si>
  <si>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</si>
  <si>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</si>
  <si>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</si>
  <si>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</si>
  <si>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</si>
  <si>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</si>
  <si>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</si>
  <si>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</si>
  <si>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</si>
  <si>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</si>
  <si>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</si>
  <si>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</si>
  <si>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</si>
  <si>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</si>
  <si>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</si>
  <si>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</si>
  <si>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</si>
  <si>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</si>
  <si>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</si>
  <si>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</si>
  <si>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</si>
  <si>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</si>
  <si>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</si>
  <si>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</si>
  <si>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</si>
  <si>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</si>
  <si>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</si>
  <si>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</si>
  <si>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</si>
  <si>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</si>
  <si>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</si>
  <si>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</si>
  <si>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</si>
  <si>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</si>
  <si>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</si>
  <si>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</si>
  <si>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</si>
  <si>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</si>
  <si>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</si>
  <si>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</si>
  <si>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</si>
  <si>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</si>
  <si>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</si>
  <si>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</si>
  <si>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</si>
  <si>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</si>
  <si>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</si>
  <si>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</si>
  <si>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</si>
  <si>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</si>
  <si>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</si>
  <si>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</si>
  <si>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</si>
  <si>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</si>
  <si>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</si>
  <si>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</si>
  <si>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</si>
  <si>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</si>
  <si>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</si>
  <si>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</si>
  <si>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</si>
  <si>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</si>
  <si>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</si>
  <si>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</si>
  <si>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</si>
  <si>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</si>
  <si>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</si>
  <si>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</si>
  <si>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</si>
  <si>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</si>
  <si>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</si>
  <si>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</si>
  <si>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</si>
  <si>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</si>
  <si>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</si>
  <si>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</si>
  <si>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</si>
  <si>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</si>
  <si>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</si>
  <si>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</si>
  <si>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</si>
  <si>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</si>
  <si>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</si>
  <si>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</si>
  <si>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</si>
  <si>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</si>
  <si>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</si>
  <si>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</si>
  <si>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</si>
  <si>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</si>
  <si>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</si>
  <si>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</si>
  <si>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</si>
  <si>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</si>
  <si>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</si>
  <si>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</si>
  <si>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</si>
  <si>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</si>
  <si>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</si>
  <si>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</si>
  <si>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</si>
  <si>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</si>
  <si>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</si>
  <si>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</si>
  <si>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</si>
  <si>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</si>
  <si>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</si>
  <si>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</si>
  <si>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</si>
  <si>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</si>
  <si>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</si>
  <si>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</si>
  <si>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</si>
  <si>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</si>
  <si>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</si>
  <si>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</si>
  <si>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</si>
  <si>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</si>
  <si>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</si>
  <si>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</si>
  <si>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</si>
  <si>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</si>
  <si>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</si>
  <si>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</si>
  <si>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</si>
  <si>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</si>
  <si>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</si>
  <si>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</si>
  <si>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</si>
  <si>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</si>
  <si>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</si>
  <si>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</si>
  <si>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</si>
  <si>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</si>
  <si>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</si>
  <si>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</si>
  <si>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</si>
  <si>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</si>
  <si>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</si>
  <si>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</si>
  <si>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</si>
  <si>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</si>
  <si>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</si>
  <si>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</si>
  <si>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</si>
  <si>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</si>
  <si>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</si>
  <si>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</si>
  <si>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</si>
  <si>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</si>
  <si>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</si>
  <si>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</si>
  <si>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</si>
  <si>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</si>
  <si>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</si>
  <si>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</si>
  <si>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</si>
  <si>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</si>
  <si>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</si>
  <si>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</si>
  <si>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</si>
  <si>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</si>
  <si>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</si>
  <si>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</si>
  <si>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</si>
  <si>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</si>
  <si>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</si>
  <si>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</si>
  <si>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</si>
  <si>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</si>
  <si>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</si>
  <si>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</si>
  <si>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</si>
  <si>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</si>
  <si>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</si>
  <si>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</si>
  <si>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</si>
  <si>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</si>
  <si>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</si>
  <si>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</si>
  <si>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</si>
  <si>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</si>
  <si>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</si>
  <si>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</si>
  <si>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</si>
  <si>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</si>
  <si>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</si>
  <si>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</si>
  <si>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</si>
  <si>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</si>
  <si>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</si>
  <si>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</si>
  <si>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</si>
  <si>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</si>
  <si>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</si>
  <si>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</si>
  <si>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</si>
  <si>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</si>
  <si>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</si>
  <si>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</si>
  <si>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</si>
  <si>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</si>
  <si>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</si>
  <si>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</si>
  <si>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</si>
  <si>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</si>
  <si>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</si>
  <si>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</si>
  <si>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</si>
  <si>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</si>
  <si>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</si>
  <si>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</si>
  <si>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</si>
  <si>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</si>
  <si>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</si>
  <si>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</si>
  <si>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</si>
  <si>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</si>
  <si>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</si>
  <si>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</si>
  <si>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</si>
  <si>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</si>
  <si>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</si>
  <si>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</si>
  <si>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</si>
  <si>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</si>
  <si>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</si>
  <si>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</si>
  <si>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</si>
  <si>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</si>
  <si>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</si>
  <si>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</si>
  <si>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</si>
  <si>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</si>
  <si>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</si>
  <si>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</si>
  <si>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</si>
  <si>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</si>
  <si>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</si>
  <si>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</si>
  <si>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</si>
  <si>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</si>
  <si>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</si>
  <si>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</si>
  <si>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</si>
  <si>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</si>
  <si>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</si>
  <si>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</si>
  <si>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</si>
  <si>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</si>
  <si>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</si>
  <si>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</si>
  <si>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</si>
  <si>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</si>
  <si>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</si>
  <si>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</si>
  <si>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</si>
  <si>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</si>
  <si>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</si>
  <si>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</si>
  <si>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</si>
  <si>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</si>
  <si>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</si>
  <si>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</si>
  <si>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</si>
  <si>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</si>
  <si>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</si>
  <si>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</si>
  <si>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</si>
  <si>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</si>
  <si>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</si>
  <si>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</si>
  <si>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</si>
  <si>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</si>
  <si>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</si>
  <si>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</si>
  <si>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</si>
  <si>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</si>
  <si>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</si>
  <si>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</si>
  <si>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</si>
  <si>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</si>
  <si>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</si>
  <si>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</si>
  <si>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</si>
  <si>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</si>
  <si>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</si>
  <si>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</si>
  <si>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</si>
  <si>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</si>
  <si>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</si>
  <si>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</si>
  <si>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</si>
  <si>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</si>
  <si>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</si>
  <si>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</si>
  <si>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</si>
  <si>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</si>
  <si>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</si>
  <si>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</si>
  <si>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</si>
  <si>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</si>
  <si>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</si>
  <si>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</si>
  <si>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</si>
  <si>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</si>
  <si>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</si>
  <si>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</si>
  <si>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</si>
  <si>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</si>
  <si>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</si>
  <si>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</si>
  <si>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</si>
  <si>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</si>
  <si>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</si>
  <si>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</si>
  <si>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</si>
  <si>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</si>
  <si>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</si>
  <si>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</si>
  <si>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</si>
  <si>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</si>
  <si>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</si>
  <si>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</si>
  <si>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</si>
  <si>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</si>
  <si>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</si>
  <si>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</si>
  <si>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</si>
  <si>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</si>
  <si>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</si>
  <si>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</si>
  <si>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</si>
  <si>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</si>
  <si>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</si>
  <si>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</si>
  <si>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</si>
  <si>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</si>
  <si>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</si>
  <si>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</si>
  <si>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</si>
  <si>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</si>
  <si>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</si>
  <si>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</si>
  <si>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</si>
  <si>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</si>
  <si>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</si>
  <si>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</si>
  <si>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</si>
  <si>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</si>
  <si>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</si>
  <si>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</si>
  <si>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</si>
  <si>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</si>
  <si>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</si>
  <si>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</si>
  <si>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</si>
  <si>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</si>
  <si>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</si>
  <si>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</si>
  <si>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</si>
  <si>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</si>
  <si>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</si>
  <si>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</si>
  <si>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</si>
  <si>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</si>
  <si>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</si>
  <si>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</si>
  <si>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</si>
  <si>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</si>
  <si>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</si>
  <si>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</si>
  <si>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</si>
  <si>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</si>
  <si>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</si>
  <si>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</si>
  <si>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</si>
  <si>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</si>
  <si>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</si>
  <si>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</si>
  <si>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</si>
  <si>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</si>
  <si>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</si>
  <si>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</si>
  <si>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</si>
  <si>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</si>
  <si>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</si>
  <si>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</si>
  <si>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</si>
  <si>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</si>
  <si>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</si>
  <si>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</si>
  <si>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</si>
  <si>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</si>
  <si>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</si>
  <si>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</si>
  <si>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</si>
  <si>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</si>
  <si>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</si>
  <si>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</si>
  <si>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</si>
  <si>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</si>
  <si>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</si>
  <si>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</si>
  <si>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</si>
  <si>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</si>
  <si>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</si>
  <si>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</si>
  <si>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</si>
  <si>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</si>
  <si>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</si>
  <si>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</si>
  <si>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</si>
  <si>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</si>
  <si>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</si>
  <si>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</si>
  <si>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</si>
  <si>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</si>
  <si>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</si>
  <si>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</si>
  <si>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</si>
  <si>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</si>
  <si>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</si>
  <si>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</si>
  <si>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</si>
  <si>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</si>
  <si>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</si>
  <si>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</si>
  <si>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</si>
  <si>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</si>
  <si>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</si>
  <si>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</si>
  <si>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</si>
  <si>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</si>
  <si>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</si>
  <si>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</si>
  <si>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</si>
  <si>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</si>
  <si>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</si>
  <si>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</si>
  <si>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</si>
  <si>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</si>
  <si>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</si>
  <si>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</si>
  <si>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</si>
  <si>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</si>
  <si>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</si>
  <si>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</si>
  <si>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</si>
  <si>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</si>
  <si>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</si>
  <si>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</si>
  <si>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</si>
  <si>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</si>
  <si>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</si>
  <si>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</si>
  <si>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</si>
  <si>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</si>
  <si>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</si>
  <si>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</si>
  <si>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</si>
  <si>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</si>
  <si>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</si>
  <si>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</si>
  <si>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</si>
  <si>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</si>
  <si>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</si>
  <si>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</si>
  <si>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</si>
  <si>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</si>
  <si>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</si>
  <si>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</si>
  <si>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</si>
  <si>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</si>
  <si>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</si>
  <si>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</si>
  <si>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</si>
  <si>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</si>
  <si>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</si>
  <si>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</si>
  <si>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</si>
  <si>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</si>
  <si>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</si>
  <si>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</si>
  <si>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</si>
  <si>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</si>
  <si>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</si>
  <si>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</si>
  <si>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</si>
  <si>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</si>
  <si>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</si>
  <si>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</si>
  <si>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</si>
  <si>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</si>
  <si>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</si>
  <si>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</si>
  <si>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</si>
  <si>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</si>
  <si>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</si>
  <si>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</si>
  <si>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</si>
  <si>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</si>
  <si>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</si>
  <si>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</si>
  <si>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</si>
  <si>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</si>
  <si>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</si>
  <si>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</si>
  <si>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</si>
  <si>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</si>
  <si>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</si>
  <si>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</si>
  <si>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</si>
  <si>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</si>
  <si>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</si>
  <si>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</si>
  <si>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</si>
  <si>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</si>
  <si>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</si>
  <si>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</si>
  <si>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</si>
  <si>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</si>
  <si>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</si>
  <si>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</si>
  <si>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</si>
  <si>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</si>
  <si>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</si>
  <si>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</si>
  <si>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</si>
  <si>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</si>
  <si>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</si>
  <si>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</si>
  <si>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</si>
  <si>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</si>
  <si>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</si>
  <si>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</si>
  <si>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</si>
  <si>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</si>
  <si>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</si>
  <si>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</si>
  <si>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</si>
  <si>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</si>
  <si>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</si>
  <si>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</si>
  <si>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</si>
  <si>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</si>
  <si>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</si>
  <si>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</si>
  <si>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</si>
  <si>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</si>
  <si>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</si>
  <si>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</si>
  <si>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</si>
  <si>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</si>
  <si>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</si>
  <si>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</si>
  <si>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</si>
  <si>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</si>
  <si>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</si>
  <si>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</si>
  <si>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</si>
  <si>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</si>
  <si>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</si>
  <si>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</si>
  <si>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</si>
  <si>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</si>
  <si>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</si>
  <si>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</si>
  <si>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</si>
  <si>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</si>
  <si>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</si>
  <si>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</si>
  <si>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</si>
  <si>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</si>
  <si>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</si>
  <si>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</si>
  <si>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</si>
  <si>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</si>
  <si>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</si>
  <si>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</si>
  <si>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</si>
  <si>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</si>
  <si>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</si>
  <si>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</si>
  <si>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</si>
  <si>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</si>
  <si>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</si>
  <si>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</si>
  <si>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</si>
  <si>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</si>
  <si>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</si>
  <si>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</si>
  <si>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</si>
  <si>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</si>
  <si>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</si>
  <si>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</si>
  <si>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</si>
  <si>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</si>
  <si>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</si>
  <si>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</si>
  <si>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</si>
  <si>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</si>
  <si>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</si>
  <si>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</si>
  <si>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</si>
  <si>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</si>
  <si>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</si>
  <si>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</si>
  <si>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</si>
  <si>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</si>
  <si>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</si>
  <si>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</si>
  <si>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</si>
  <si>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</si>
  <si>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</si>
  <si>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</si>
  <si>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</si>
  <si>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</si>
  <si>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</si>
  <si>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</si>
  <si>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</si>
  <si>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</si>
  <si>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</si>
  <si>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</si>
  <si>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</si>
  <si>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</si>
  <si>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</si>
  <si>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</si>
  <si>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</si>
  <si>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</si>
  <si>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</si>
  <si>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</si>
  <si>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</si>
  <si>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</si>
  <si>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</si>
  <si>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</si>
  <si>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</si>
  <si>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</si>
  <si>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</si>
  <si>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</si>
  <si>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</si>
  <si>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</si>
  <si>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</si>
  <si>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</si>
  <si>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</si>
  <si>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</si>
  <si>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</si>
  <si>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</si>
  <si>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</si>
  <si>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</si>
  <si>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</si>
  <si>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</si>
  <si>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</si>
  <si>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</si>
  <si>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</si>
  <si>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</si>
  <si>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</si>
  <si>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</si>
  <si>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</si>
  <si>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</si>
  <si>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</si>
  <si>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</si>
  <si>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</si>
  <si>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</si>
  <si>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</si>
  <si>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</si>
  <si>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</si>
  <si>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</si>
  <si>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</si>
  <si>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</si>
  <si>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</si>
  <si>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</si>
  <si>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</si>
  <si>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</si>
  <si>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</si>
  <si>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</si>
  <si>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</si>
  <si>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</si>
  <si>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</si>
  <si>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</si>
  <si>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</si>
  <si>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</si>
  <si>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</si>
  <si>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</si>
  <si>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</si>
  <si>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</si>
  <si>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</si>
  <si>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</si>
  <si>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</si>
  <si>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</si>
  <si>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</si>
  <si>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</si>
  <si>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</si>
  <si>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</si>
  <si>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</si>
  <si>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</si>
  <si>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</si>
  <si>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</si>
  <si>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</si>
  <si>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</si>
  <si>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</si>
  <si>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</si>
  <si>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</si>
  <si>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</si>
  <si>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</si>
  <si>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</si>
  <si>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</si>
  <si>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</si>
  <si>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</si>
  <si>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</si>
  <si>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</si>
  <si>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</si>
  <si>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</si>
  <si>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</si>
  <si>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</si>
  <si>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</si>
  <si>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</si>
  <si>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</si>
  <si>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</si>
  <si>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</si>
  <si>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</si>
  <si>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</si>
  <si>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</si>
  <si>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</si>
  <si>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</si>
  <si>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</si>
  <si>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</si>
  <si>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</si>
  <si>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</si>
  <si>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</si>
  <si>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</si>
  <si>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</si>
  <si>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</si>
  <si>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</si>
  <si>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</si>
  <si>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</si>
  <si>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</si>
  <si>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</si>
  <si>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</si>
  <si>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</si>
  <si>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</si>
  <si>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</si>
  <si>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</si>
  <si>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</si>
  <si>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</si>
  <si>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</si>
  <si>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</si>
  <si>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</si>
  <si>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</si>
  <si>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</si>
  <si>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</si>
  <si>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</si>
  <si>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</si>
  <si>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</si>
  <si>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</si>
  <si>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</si>
  <si>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</si>
  <si>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</si>
  <si>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</si>
  <si>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</si>
  <si>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</si>
  <si>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</si>
  <si>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</si>
  <si>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</si>
  <si>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</si>
  <si>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</si>
  <si>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</si>
  <si>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</si>
  <si>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</si>
  <si>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</si>
  <si>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</si>
  <si>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</si>
  <si>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</si>
  <si>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</si>
  <si>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</si>
  <si>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</si>
  <si>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</si>
  <si>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</si>
  <si>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</si>
  <si>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</si>
  <si>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</si>
  <si>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</si>
  <si>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</si>
  <si>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</si>
  <si>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</si>
  <si>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</si>
  <si>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</si>
  <si>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</si>
  <si>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</si>
  <si>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</si>
  <si>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</si>
  <si>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</si>
  <si>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</si>
  <si>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</si>
  <si>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</si>
  <si>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</si>
  <si>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</si>
  <si>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</si>
  <si>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</si>
  <si>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</si>
  <si>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</si>
  <si>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</si>
  <si>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</si>
  <si>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</si>
  <si>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</si>
  <si>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</si>
  <si>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</si>
  <si>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</si>
  <si>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</si>
  <si>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</si>
  <si>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</si>
  <si>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</si>
  <si>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</si>
  <si>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</si>
  <si>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</si>
  <si>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</si>
  <si>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</si>
  <si>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</si>
  <si>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</si>
  <si>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</si>
  <si>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</si>
  <si>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</si>
  <si>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</si>
  <si>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</si>
  <si>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</si>
  <si>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</si>
  <si>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</si>
  <si>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</si>
  <si>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</si>
  <si>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</si>
  <si>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</si>
  <si>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</si>
  <si>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</si>
  <si>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</si>
  <si>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</si>
  <si>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</si>
  <si>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</si>
  <si>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</si>
  <si>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</si>
  <si>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</si>
  <si>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</si>
  <si>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</si>
  <si>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</si>
  <si>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</si>
  <si>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</si>
  <si>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</si>
  <si>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</si>
  <si>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</si>
  <si>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</si>
  <si>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</si>
  <si>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</si>
  <si>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</si>
  <si>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</si>
  <si>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</si>
  <si>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</si>
  <si>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</si>
  <si>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</si>
  <si>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</si>
  <si>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</si>
  <si>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</si>
  <si>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</si>
  <si>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</si>
  <si>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</si>
  <si>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</si>
  <si>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</si>
  <si>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</si>
  <si>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</si>
  <si>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</si>
  <si>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</si>
  <si>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</si>
  <si>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</si>
  <si>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</si>
  <si>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</si>
  <si>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</si>
  <si>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</si>
  <si>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</si>
  <si>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</si>
  <si>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</si>
  <si>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</si>
  <si>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</si>
  <si>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</si>
  <si>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</si>
  <si>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</si>
  <si>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</si>
  <si>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</si>
  <si>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</si>
  <si>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</si>
  <si>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</si>
  <si>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</si>
  <si>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</si>
  <si>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</si>
  <si>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</si>
  <si>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</si>
  <si>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</si>
  <si>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</si>
  <si>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</si>
  <si>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</si>
  <si>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</si>
  <si>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</si>
  <si>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</si>
  <si>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</si>
  <si>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</si>
  <si>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</si>
  <si>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</si>
  <si>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</si>
  <si>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</si>
  <si>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</si>
  <si>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</si>
  <si>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</si>
  <si>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</si>
  <si>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</si>
  <si>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</si>
  <si>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</si>
  <si>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</si>
  <si>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</si>
  <si>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</si>
  <si>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</si>
  <si>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</si>
  <si>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</si>
  <si>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</si>
  <si>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</si>
  <si>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</si>
  <si>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</si>
  <si>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</si>
  <si>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</si>
  <si>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</si>
  <si>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</si>
  <si>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</si>
  <si>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</si>
  <si>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</si>
  <si>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</si>
  <si>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</si>
  <si>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</si>
  <si>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</si>
  <si>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</si>
  <si>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</si>
  <si>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</si>
  <si>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</si>
  <si>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</si>
  <si>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</si>
  <si>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</si>
  <si>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</si>
  <si>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</si>
  <si>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</si>
  <si>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</si>
  <si>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</si>
  <si>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</si>
  <si>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</si>
  <si>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</si>
  <si>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</si>
  <si>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</si>
  <si>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</si>
  <si>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</si>
  <si>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</si>
  <si>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</si>
  <si>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</si>
  <si>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</si>
  <si>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</si>
  <si>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</si>
  <si>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</si>
  <si>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</si>
  <si>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</si>
  <si>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</si>
  <si>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</si>
  <si>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</si>
  <si>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</si>
  <si>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</si>
  <si>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</si>
  <si>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</si>
  <si>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</si>
  <si>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</si>
  <si>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</si>
  <si>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</si>
  <si>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</si>
  <si>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</si>
  <si>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</si>
  <si>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</si>
  <si>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</si>
  <si>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</si>
  <si>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</si>
  <si>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</si>
  <si>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</si>
  <si>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</si>
  <si>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</si>
  <si>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</si>
  <si>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</si>
  <si>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</si>
  <si>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</si>
  <si>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</si>
  <si>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</si>
  <si>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</si>
  <si>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</si>
  <si>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</si>
  <si>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</si>
  <si>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</si>
  <si>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</si>
  <si>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</si>
  <si>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</si>
  <si>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</si>
  <si>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</si>
  <si>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</si>
  <si>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</si>
  <si>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</si>
  <si>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</si>
  <si>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</si>
  <si>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</si>
  <si>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</si>
  <si>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</si>
  <si>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</si>
  <si>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</si>
  <si>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</si>
  <si>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</si>
  <si>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</si>
  <si>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</si>
  <si>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</si>
  <si>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</si>
  <si>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</si>
  <si>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</si>
  <si>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</si>
  <si>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</si>
  <si>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</si>
  <si>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</si>
  <si>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</si>
  <si>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</si>
  <si>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</si>
  <si>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</si>
  <si>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</si>
  <si>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</si>
  <si>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</si>
  <si>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</si>
  <si>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</si>
  <si>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</si>
  <si>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</si>
  <si>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</si>
  <si>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</si>
  <si>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</si>
  <si>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</si>
  <si>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</si>
  <si>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</si>
  <si>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</si>
  <si>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</si>
  <si>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</si>
  <si>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</si>
  <si>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</si>
  <si>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</si>
  <si>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</si>
  <si>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</si>
  <si>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</si>
  <si>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</si>
  <si>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</si>
  <si>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</si>
  <si>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</si>
  <si>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</si>
  <si>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</si>
  <si>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</si>
  <si>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</si>
  <si>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</si>
  <si>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</si>
  <si>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</si>
  <si>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</si>
  <si>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</si>
  <si>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</si>
  <si>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</si>
  <si>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</si>
  <si>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</si>
  <si>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</si>
  <si>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</si>
  <si>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</si>
  <si>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</si>
  <si>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</si>
  <si>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</si>
  <si>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</si>
  <si>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</si>
  <si>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</si>
  <si>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</si>
  <si>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</si>
  <si>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</si>
  <si>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</si>
  <si>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</si>
  <si>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</si>
  <si>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</si>
  <si>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</si>
  <si>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</si>
  <si>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</si>
  <si>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</si>
  <si>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</si>
  <si>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</si>
  <si>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</si>
  <si>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</si>
  <si>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</si>
  <si>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</si>
  <si>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</si>
  <si>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</si>
  <si>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</si>
  <si>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</si>
  <si>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</si>
  <si>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</si>
  <si>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</si>
  <si>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</si>
  <si>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</si>
  <si>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</si>
  <si>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</si>
  <si>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</si>
  <si>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</si>
  <si>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</si>
  <si>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</si>
  <si>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</si>
  <si>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</si>
  <si>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</si>
  <si>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</si>
  <si>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</si>
  <si>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</si>
  <si>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</si>
  <si>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</si>
  <si>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</si>
  <si>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</si>
  <si>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</si>
  <si>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</si>
  <si>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</si>
  <si>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</si>
  <si>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</si>
  <si>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</si>
  <si>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</si>
  <si>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</si>
  <si>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</si>
  <si>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</si>
  <si>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</si>
  <si>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</si>
  <si>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</si>
  <si>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</si>
  <si>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</si>
  <si>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</si>
  <si>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</si>
  <si>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</si>
  <si>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</si>
  <si>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</si>
  <si>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</si>
  <si>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</si>
  <si>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</si>
  <si>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</si>
  <si>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</si>
  <si>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</si>
  <si>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</si>
  <si>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</si>
  <si>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</si>
  <si>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</si>
  <si>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</si>
  <si>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</si>
  <si>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</si>
  <si>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</si>
  <si>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</si>
  <si>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</si>
  <si>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</si>
  <si>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</si>
  <si>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</si>
  <si>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</si>
  <si>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</si>
  <si>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</si>
  <si>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</si>
  <si>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</si>
  <si>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</si>
  <si>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</si>
  <si>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</si>
  <si>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</si>
  <si>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</si>
  <si>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</si>
  <si>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</si>
  <si>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</si>
  <si>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</si>
  <si>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</si>
  <si>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</si>
  <si>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</si>
  <si>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</si>
  <si>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</si>
  <si>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</si>
  <si>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</si>
  <si>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</si>
  <si>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</si>
  <si>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</si>
  <si>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</si>
  <si>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</si>
  <si>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</si>
  <si>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</si>
  <si>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</si>
  <si>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</si>
  <si>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</si>
  <si>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</si>
  <si>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</si>
  <si>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</si>
  <si>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</si>
  <si>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</si>
  <si>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</si>
  <si>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</si>
  <si>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</si>
  <si>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</si>
  <si>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</si>
  <si>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</si>
  <si>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</si>
  <si>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</si>
  <si>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</si>
  <si>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</si>
  <si>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</si>
  <si>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</si>
  <si>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</si>
  <si>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</si>
  <si>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</si>
  <si>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</si>
  <si>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</si>
  <si>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</si>
  <si>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</si>
  <si>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</si>
  <si>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</si>
  <si>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</si>
  <si>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</si>
  <si>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</si>
  <si>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</si>
  <si>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</si>
  <si>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</si>
  <si>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</si>
  <si>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</si>
  <si>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</si>
  <si>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</si>
  <si>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</si>
  <si>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</si>
  <si>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</si>
  <si>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</si>
  <si>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</si>
  <si>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</si>
  <si>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</si>
  <si>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</si>
  <si>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</si>
  <si>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</si>
  <si>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</si>
  <si>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</si>
  <si>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</si>
  <si>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</si>
  <si>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</si>
  <si>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</si>
  <si>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</si>
  <si>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</si>
  <si>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</si>
  <si>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</si>
  <si>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</si>
  <si>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</si>
  <si>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</si>
  <si>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</si>
  <si>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</si>
  <si>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</si>
  <si>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</si>
  <si>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</si>
  <si>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</si>
  <si>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</si>
  <si>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</si>
  <si>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</si>
  <si>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</si>
  <si>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</si>
  <si>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</si>
  <si>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</si>
  <si>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</si>
  <si>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</si>
  <si>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</si>
  <si>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</si>
  <si>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</si>
  <si>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</si>
  <si>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</si>
  <si>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</si>
  <si>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</si>
  <si>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</si>
  <si>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</si>
  <si>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</si>
  <si>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</si>
  <si>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</si>
  <si>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</si>
  <si>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</si>
  <si>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</si>
  <si>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</si>
  <si>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</si>
  <si>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</si>
  <si>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</si>
  <si>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</si>
  <si>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</si>
  <si>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</si>
  <si>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</si>
  <si>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</si>
  <si>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</si>
  <si>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</si>
  <si>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</si>
  <si>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</si>
  <si>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</si>
  <si>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</si>
  <si>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</si>
  <si>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</si>
  <si>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</si>
  <si>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</si>
  <si>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</si>
  <si>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</si>
  <si>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</si>
  <si>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</si>
  <si>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</si>
  <si>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</si>
  <si>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</si>
  <si>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</si>
  <si>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</si>
  <si>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</si>
  <si>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</si>
  <si>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</si>
  <si>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</si>
  <si>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</si>
  <si>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</si>
  <si>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</si>
  <si>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</si>
  <si>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</si>
  <si>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</si>
  <si>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</si>
  <si>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</si>
  <si>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</si>
  <si>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</si>
  <si>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</si>
  <si>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</si>
  <si>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</si>
  <si>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</si>
  <si>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</si>
  <si>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</si>
  <si>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</si>
  <si>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</si>
  <si>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</si>
  <si>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</si>
  <si>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</si>
  <si>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</si>
  <si>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</si>
  <si>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</si>
  <si>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</si>
  <si>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</si>
  <si>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</si>
  <si>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</si>
  <si>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</si>
  <si>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</si>
  <si>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</si>
  <si>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</si>
  <si>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</si>
  <si>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</si>
  <si>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</si>
  <si>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</si>
  <si>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</si>
  <si>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</si>
  <si>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</si>
  <si>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</si>
  <si>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</si>
  <si>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</si>
  <si>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</si>
  <si>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</si>
  <si>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</si>
  <si>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</si>
  <si>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</si>
  <si>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</si>
  <si>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</si>
  <si>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</si>
  <si>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</si>
  <si>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</si>
  <si>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</si>
  <si>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</si>
  <si>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</si>
  <si>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</si>
  <si>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</si>
  <si>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</si>
  <si>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</si>
  <si>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</si>
  <si>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</si>
  <si>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</si>
  <si>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</si>
  <si>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</si>
  <si>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</si>
  <si>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</si>
  <si>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</si>
  <si>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</si>
  <si>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</si>
  <si>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</si>
  <si>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</si>
  <si>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</si>
  <si>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</si>
  <si>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</si>
  <si>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</si>
  <si>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</si>
  <si>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</si>
  <si>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</si>
  <si>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</si>
  <si>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</si>
  <si>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</si>
  <si>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</si>
  <si>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</si>
  <si>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</si>
  <si>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</si>
  <si>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</si>
  <si>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</si>
  <si>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</si>
  <si>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</si>
  <si>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</si>
  <si>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</si>
  <si>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</si>
  <si>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</si>
  <si>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</si>
  <si>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</si>
  <si>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</si>
  <si>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</si>
  <si>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</si>
  <si>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</si>
  <si>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</si>
  <si>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</si>
  <si>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</si>
  <si>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</si>
  <si>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</si>
  <si>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</si>
  <si>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</si>
  <si>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</si>
  <si>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</si>
  <si>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</si>
  <si>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</si>
  <si>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</si>
  <si>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</si>
  <si>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</si>
  <si>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</si>
  <si>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</si>
  <si>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</si>
  <si>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</si>
  <si>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</si>
  <si>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</si>
  <si>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</si>
  <si>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</si>
  <si>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</si>
  <si>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</si>
  <si>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</si>
  <si>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</si>
  <si>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</si>
  <si>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</si>
  <si>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</si>
  <si>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</si>
  <si>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</si>
  <si>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</si>
  <si>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</si>
  <si>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</si>
  <si>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</si>
  <si>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</si>
  <si>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</si>
  <si>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</si>
  <si>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</si>
  <si>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</si>
  <si>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</si>
  <si>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</si>
  <si>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</si>
  <si>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</si>
  <si>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</si>
  <si>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</si>
  <si>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</si>
  <si>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</si>
  <si>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</si>
  <si>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</si>
  <si>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</si>
  <si>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</si>
  <si>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</si>
  <si>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</si>
  <si>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</si>
  <si>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</si>
  <si>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</si>
  <si>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</si>
  <si>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</si>
  <si>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</si>
  <si>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</si>
  <si>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</si>
  <si>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</si>
  <si>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</si>
  <si>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</si>
  <si>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</si>
  <si>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</si>
  <si>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</si>
  <si>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</si>
  <si>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</si>
  <si>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</si>
  <si>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</si>
  <si>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</si>
  <si>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</si>
  <si>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</si>
  <si>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</si>
  <si>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</si>
  <si>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</si>
  <si>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</si>
  <si>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</si>
  <si>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</si>
  <si>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</si>
  <si>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</si>
  <si>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</si>
  <si>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</si>
  <si>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</si>
  <si>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</si>
  <si>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</si>
  <si>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</si>
  <si>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</si>
  <si>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</si>
  <si>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</si>
  <si>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</si>
  <si>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</si>
  <si>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</si>
  <si>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</si>
  <si>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</si>
  <si>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</si>
  <si>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</si>
  <si>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</si>
  <si>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</si>
  <si>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</si>
  <si>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</si>
  <si>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</si>
  <si>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</si>
  <si>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</si>
  <si>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</si>
  <si>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</si>
  <si>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</si>
  <si>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</si>
  <si>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</si>
  <si>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</si>
  <si>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</si>
  <si>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</si>
  <si>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</si>
  <si>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</si>
  <si>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</si>
  <si>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</si>
  <si>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</si>
  <si>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</si>
  <si>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</si>
  <si>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</si>
  <si>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</si>
  <si>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</si>
  <si>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</si>
  <si>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</si>
  <si>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</si>
  <si>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</si>
  <si>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</si>
  <si>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</si>
  <si>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</si>
  <si>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</si>
  <si>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</si>
  <si>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</si>
  <si>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</si>
  <si>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</si>
  <si>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</si>
  <si>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</si>
  <si>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</si>
  <si>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</si>
  <si>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</si>
  <si>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</si>
  <si>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</si>
  <si>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</si>
  <si>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</si>
  <si>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</si>
  <si>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</si>
  <si>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</si>
  <si>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</si>
  <si>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</si>
  <si>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</si>
  <si>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</si>
  <si>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</si>
  <si>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</si>
  <si>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</si>
  <si>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</si>
  <si>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</si>
  <si>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</si>
  <si>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</si>
  <si>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</si>
  <si>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</si>
  <si>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</si>
  <si>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</si>
  <si>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</si>
  <si>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</si>
  <si>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</si>
  <si>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</si>
  <si>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</si>
  <si>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</si>
  <si>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</si>
  <si>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</si>
  <si>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</si>
  <si>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</si>
  <si>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</si>
  <si>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</si>
  <si>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</si>
  <si>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</si>
  <si>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</si>
  <si>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</si>
  <si>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</si>
  <si>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</si>
  <si>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</si>
  <si>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</si>
  <si>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</si>
  <si>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</si>
  <si>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</si>
  <si>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</si>
  <si>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</si>
  <si>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</si>
  <si>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</si>
  <si>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</si>
  <si>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</si>
  <si>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</si>
  <si>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</si>
  <si>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</si>
  <si>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</si>
  <si>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</si>
  <si>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</si>
  <si>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</si>
  <si>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</si>
  <si>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</si>
  <si>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</si>
  <si>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</si>
  <si>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</si>
  <si>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</si>
  <si>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</si>
  <si>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</si>
  <si>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</si>
  <si>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</si>
  <si>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</si>
  <si>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</si>
  <si>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</si>
  <si>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</si>
  <si>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</si>
  <si>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</si>
  <si>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</si>
  <si>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</si>
  <si>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</si>
  <si>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</si>
  <si>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</si>
  <si>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</si>
  <si>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</si>
  <si>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</si>
  <si>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</si>
  <si>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</si>
  <si>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</si>
  <si>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</si>
  <si>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</si>
  <si>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</si>
  <si>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</si>
  <si>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</si>
  <si>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</si>
  <si>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</si>
  <si>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</si>
  <si>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</si>
  <si>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</si>
  <si>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</si>
  <si>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</si>
  <si>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</si>
  <si>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</si>
  <si>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</si>
  <si>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</si>
  <si>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</si>
  <si>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</si>
  <si>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</si>
  <si>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</si>
  <si>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</si>
  <si>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</si>
  <si>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</si>
  <si>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</si>
  <si>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</si>
  <si>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</si>
  <si>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</si>
  <si>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</si>
  <si>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</si>
  <si>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</si>
  <si>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</si>
  <si>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</si>
  <si>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</si>
  <si>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</si>
  <si>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</si>
  <si>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</si>
  <si>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</si>
  <si>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</si>
  <si>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</si>
  <si>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</si>
  <si>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</si>
  <si>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</si>
  <si>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</si>
  <si>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</si>
  <si>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</si>
  <si>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</si>
  <si>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</si>
  <si>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</si>
  <si>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</si>
  <si>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</si>
  <si>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</si>
  <si>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</si>
  <si>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</si>
  <si>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</si>
  <si>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</si>
  <si>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</si>
  <si>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</si>
  <si>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</si>
  <si>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</si>
  <si>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</si>
  <si>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</si>
  <si>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</si>
  <si>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</si>
  <si>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</si>
  <si>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</si>
  <si>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</si>
  <si>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</si>
  <si>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</si>
  <si>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</si>
  <si>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</si>
  <si>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</si>
  <si>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</si>
  <si>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</si>
  <si>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</si>
  <si>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</si>
  <si>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</si>
  <si>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</si>
  <si>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</si>
  <si>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</si>
  <si>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</si>
  <si>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</si>
  <si>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</si>
  <si>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</si>
  <si>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</si>
  <si>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</si>
  <si>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</si>
  <si>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</si>
  <si>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</si>
  <si>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</si>
  <si>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</si>
  <si>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</si>
  <si>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</si>
  <si>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</si>
  <si>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</si>
  <si>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</si>
  <si>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</si>
  <si>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</si>
  <si>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</si>
  <si>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</si>
  <si>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</si>
  <si>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</si>
  <si>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</si>
  <si>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</si>
  <si>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</si>
  <si>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</si>
  <si>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</si>
  <si>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</si>
  <si>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</si>
  <si>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</si>
  <si>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</si>
  <si>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</si>
  <si>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</si>
  <si>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</si>
  <si>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</si>
  <si>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</si>
  <si>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</si>
  <si>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</si>
  <si>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</si>
  <si>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</si>
  <si>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</si>
  <si>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</si>
  <si>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</si>
  <si>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</si>
  <si>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</si>
  <si>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</si>
  <si>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</si>
  <si>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</si>
  <si>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</si>
  <si>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</si>
  <si>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</si>
  <si>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</si>
  <si>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</si>
  <si>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</si>
  <si>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</si>
  <si>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</si>
  <si>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</si>
  <si>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</si>
  <si>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</si>
  <si>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</si>
  <si>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</si>
  <si>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</si>
  <si>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</si>
  <si>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</si>
  <si>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</si>
  <si>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</si>
  <si>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</si>
  <si>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</si>
  <si>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</si>
  <si>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</si>
  <si>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</si>
  <si>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</si>
  <si>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</si>
  <si>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</si>
  <si>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</si>
  <si>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</si>
  <si>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</si>
  <si>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</si>
  <si>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</si>
  <si>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</si>
  <si>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</si>
  <si>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</si>
  <si>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</si>
  <si>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</si>
  <si>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</si>
  <si>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</si>
  <si>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</si>
  <si>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</si>
  <si>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</si>
  <si>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</si>
  <si>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</si>
  <si>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</si>
  <si>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</si>
  <si>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</si>
  <si>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</si>
  <si>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</si>
  <si>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</si>
  <si>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</si>
  <si>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</si>
  <si>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</si>
  <si>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</si>
  <si>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</si>
  <si>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</si>
  <si>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</si>
  <si>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</si>
  <si>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</si>
  <si>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</si>
  <si>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</si>
  <si>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</si>
  <si>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</si>
  <si>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</si>
  <si>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</si>
  <si>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</si>
  <si>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</si>
  <si>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</si>
  <si>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</si>
  <si>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</si>
  <si>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</si>
  <si>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</si>
  <si>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</si>
  <si>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</si>
  <si>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</si>
  <si>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</si>
  <si>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</si>
  <si>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</si>
  <si>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</si>
  <si>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</si>
  <si>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</si>
  <si>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</si>
  <si>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</si>
  <si>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</si>
  <si>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</si>
  <si>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</si>
  <si>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</si>
  <si>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</si>
  <si>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</si>
  <si>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</si>
  <si>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</si>
  <si>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</si>
  <si>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</si>
  <si>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</si>
  <si>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</si>
  <si>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</si>
  <si>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</si>
  <si>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</si>
  <si>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</si>
  <si>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</si>
  <si>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</si>
  <si>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</si>
  <si>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</si>
  <si>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</si>
  <si>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</si>
  <si>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</si>
  <si>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</si>
  <si>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</si>
  <si>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</si>
  <si>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</si>
  <si>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</si>
  <si>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</si>
  <si>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</si>
  <si>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</si>
  <si>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</si>
  <si>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</si>
  <si>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</si>
  <si>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</si>
  <si>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</si>
  <si>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</si>
  <si>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</si>
  <si>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</si>
  <si>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</si>
  <si>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</si>
  <si>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</si>
  <si>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</si>
  <si>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</si>
  <si>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</si>
  <si>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</si>
  <si>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</si>
  <si>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</si>
  <si>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</si>
  <si>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</si>
  <si>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</si>
  <si>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</si>
  <si>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</si>
  <si>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</si>
  <si>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</si>
  <si>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</si>
  <si>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</si>
  <si>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</si>
  <si>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</si>
  <si>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</si>
  <si>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</si>
  <si>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</si>
  <si>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</si>
  <si>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</si>
  <si>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</si>
  <si>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</si>
  <si>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</si>
  <si>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</si>
  <si>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</si>
  <si>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</si>
  <si>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</si>
  <si>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</si>
  <si>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</si>
  <si>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</si>
  <si>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</si>
  <si>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</si>
  <si>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</si>
  <si>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</si>
  <si>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</si>
  <si>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</si>
  <si>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</si>
  <si>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</si>
  <si>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</si>
  <si>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</si>
  <si>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</si>
  <si>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</si>
  <si>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</si>
  <si>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</si>
  <si>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</si>
  <si>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</si>
  <si>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</si>
  <si>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</si>
  <si>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</si>
  <si>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</si>
  <si>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</si>
  <si>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</si>
  <si>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</si>
  <si>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</si>
  <si>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</si>
  <si>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</si>
  <si>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</si>
  <si>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</si>
  <si>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</si>
  <si>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</si>
  <si>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</si>
  <si>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</si>
  <si>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</si>
  <si>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</si>
  <si>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</si>
  <si>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</si>
  <si>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</si>
  <si>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</si>
  <si>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</si>
  <si>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</si>
  <si>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</si>
  <si>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</si>
  <si>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</si>
  <si>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</si>
  <si>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</si>
  <si>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</si>
  <si>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</si>
  <si>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</si>
  <si>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</si>
  <si>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</si>
  <si>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</si>
  <si>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</si>
  <si>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</si>
  <si>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</si>
  <si>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</si>
  <si>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</si>
  <si>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</si>
  <si>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</si>
  <si>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</si>
  <si>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</si>
  <si>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</si>
  <si>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</si>
  <si>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</si>
  <si>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</si>
  <si>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</si>
  <si>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</si>
  <si>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</si>
  <si>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</si>
  <si>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</si>
  <si>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</si>
  <si>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</si>
  <si>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</si>
  <si>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</si>
  <si>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</si>
  <si>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</si>
  <si>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</si>
  <si>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</si>
  <si>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</si>
  <si>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</si>
  <si>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</si>
  <si>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</si>
  <si>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</si>
  <si>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</si>
  <si>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</si>
  <si>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</si>
  <si>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</si>
  <si>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</si>
  <si>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</si>
  <si>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</si>
  <si>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</si>
  <si>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</si>
  <si>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</si>
  <si>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</si>
  <si>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</si>
  <si>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</si>
  <si>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</si>
  <si>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</si>
  <si>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</si>
  <si>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</si>
  <si>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</si>
  <si>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</si>
  <si>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</si>
  <si>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</si>
  <si>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</si>
  <si>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</si>
  <si>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</si>
  <si>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</si>
  <si>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</si>
  <si>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</si>
  <si>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</si>
  <si>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</si>
  <si>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</si>
  <si>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</si>
  <si>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</si>
  <si>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</si>
  <si>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</si>
  <si>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</si>
  <si>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</si>
  <si>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</si>
  <si>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</si>
  <si>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</si>
  <si>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</si>
  <si>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</si>
  <si>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</si>
  <si>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</si>
  <si>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</si>
  <si>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</si>
  <si>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</si>
  <si>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</si>
  <si>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</si>
  <si>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</si>
  <si>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</si>
  <si>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</si>
  <si>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</si>
  <si>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</si>
  <si>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</si>
  <si>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</si>
  <si>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</si>
  <si>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</si>
  <si>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</si>
  <si>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</si>
  <si>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</si>
  <si>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</si>
  <si>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</si>
  <si>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</si>
  <si>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</si>
  <si>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</si>
  <si>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</si>
  <si>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</si>
  <si>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</si>
  <si>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</si>
  <si>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</si>
  <si>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</si>
  <si>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</si>
  <si>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</si>
  <si>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</si>
  <si>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</si>
  <si>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</si>
  <si>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</si>
  <si>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</si>
  <si>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</si>
  <si>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</si>
  <si>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</si>
  <si>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</si>
  <si>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</si>
  <si>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</si>
  <si>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</si>
  <si>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</si>
  <si>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</si>
  <si>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</si>
  <si>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</si>
  <si>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</si>
  <si>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</si>
  <si>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</si>
  <si>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</si>
  <si>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</si>
  <si>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</si>
  <si>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</si>
  <si>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</si>
  <si>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</si>
  <si>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</si>
  <si>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</si>
  <si>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</si>
  <si>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</si>
  <si>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</si>
  <si>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</si>
  <si>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</si>
  <si>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</si>
  <si>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</si>
  <si>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</si>
  <si>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</si>
  <si>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</si>
  <si>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</si>
  <si>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</si>
  <si>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</si>
  <si>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</si>
  <si>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</si>
  <si>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</si>
  <si>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</si>
  <si>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</si>
  <si>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</si>
  <si>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</si>
  <si>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</si>
  <si>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</si>
  <si>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</si>
  <si>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</si>
  <si>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</si>
  <si>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</si>
  <si>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</si>
  <si>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</si>
  <si>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</si>
  <si>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</si>
  <si>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</si>
  <si>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</si>
  <si>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</si>
  <si>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</si>
  <si>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</si>
  <si>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</si>
  <si>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</si>
  <si>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</si>
  <si>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</si>
  <si>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</si>
  <si>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</si>
  <si>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</si>
  <si>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</si>
  <si>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</si>
  <si>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</si>
  <si>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</si>
  <si>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</si>
  <si>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</si>
  <si>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</si>
  <si>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</si>
  <si>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</si>
  <si>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</si>
  <si>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</si>
  <si>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</si>
  <si>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</si>
  <si>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</si>
  <si>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</si>
  <si>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</si>
  <si>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</si>
  <si>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</si>
  <si>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</si>
  <si>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</si>
  <si>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</si>
  <si>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</si>
  <si>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</si>
  <si>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</si>
  <si>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</si>
  <si>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</si>
  <si>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</si>
  <si>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</si>
  <si>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</si>
  <si>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</si>
  <si>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</si>
  <si>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</si>
  <si>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</si>
  <si>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</si>
  <si>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</si>
  <si>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</si>
  <si>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</si>
  <si>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</si>
  <si>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</si>
  <si>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</si>
  <si>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</si>
  <si>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</si>
  <si>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</si>
  <si>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</si>
  <si>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</si>
  <si>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</si>
  <si>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</si>
  <si>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</si>
  <si>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</si>
  <si>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</si>
  <si>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</si>
  <si>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</si>
  <si>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</si>
  <si>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</si>
  <si>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</si>
  <si>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</si>
  <si>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</si>
  <si>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</si>
  <si>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</si>
  <si>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</si>
  <si>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</si>
  <si>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</si>
  <si>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</si>
  <si>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</si>
  <si>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</si>
  <si>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</si>
  <si>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</si>
  <si>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</si>
  <si>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</si>
  <si>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</si>
  <si>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</si>
  <si>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</si>
  <si>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</si>
  <si>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</si>
  <si>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</si>
  <si>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</si>
  <si>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</si>
  <si>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</si>
  <si>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</si>
  <si>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</si>
  <si>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</si>
  <si>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</si>
  <si>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</si>
  <si>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</si>
  <si>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</si>
  <si>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</si>
  <si>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</si>
  <si>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</si>
  <si>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</si>
  <si>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</si>
  <si>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</si>
  <si>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</si>
  <si>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</si>
  <si>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</si>
  <si>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</si>
  <si>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</si>
  <si>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</si>
  <si>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</si>
  <si>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</si>
  <si>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</si>
  <si>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</si>
  <si>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</si>
  <si>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</si>
  <si>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</si>
  <si>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</si>
  <si>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</si>
  <si>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</si>
  <si>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</si>
  <si>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</si>
  <si>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</si>
  <si>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</si>
  <si>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</si>
  <si>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</si>
  <si>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</si>
  <si>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</si>
  <si>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</si>
  <si>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</si>
  <si>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</si>
  <si>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</si>
  <si>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</si>
  <si>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</si>
  <si>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</si>
  <si>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</si>
  <si>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</si>
  <si>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</si>
  <si>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</si>
  <si>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</si>
  <si>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</si>
  <si>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</si>
  <si>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</si>
  <si>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</si>
  <si>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</si>
  <si>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</si>
  <si>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</si>
  <si>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</si>
  <si>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</si>
  <si>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</si>
  <si>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</si>
  <si>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</si>
  <si>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</si>
  <si>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</si>
  <si>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</si>
  <si>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</si>
  <si>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</si>
  <si>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</si>
  <si>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</si>
  <si>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</si>
  <si>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</si>
  <si>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</si>
  <si>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</si>
  <si>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</si>
  <si>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</si>
  <si>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</si>
  <si>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</si>
  <si>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</si>
  <si>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</si>
  <si>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</si>
  <si>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</si>
  <si>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</si>
  <si>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</si>
  <si>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</si>
  <si>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</si>
  <si>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</si>
  <si>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</si>
  <si>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</si>
  <si>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</si>
  <si>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</si>
  <si>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</si>
  <si>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</si>
  <si>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</si>
  <si>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</si>
  <si>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</si>
  <si>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</si>
  <si>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</si>
  <si>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</si>
  <si>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</si>
  <si>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</si>
  <si>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</si>
  <si>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</si>
  <si>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</si>
  <si>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</si>
  <si>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</si>
  <si>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</si>
  <si>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</si>
  <si>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</si>
  <si>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</si>
  <si>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</si>
  <si>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</si>
  <si>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</si>
  <si>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</si>
  <si>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</si>
  <si>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</si>
  <si>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</si>
  <si>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</si>
  <si>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</si>
  <si>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</si>
  <si>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</si>
  <si>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</si>
  <si>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</si>
  <si>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</si>
  <si>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</si>
  <si>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</si>
  <si>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</si>
  <si>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</si>
  <si>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</si>
  <si>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</si>
  <si>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</si>
  <si>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</si>
  <si>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</si>
  <si>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</si>
  <si>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</si>
  <si>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</si>
  <si>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</si>
  <si>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</si>
  <si>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</si>
  <si>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</si>
  <si>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</si>
  <si>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</si>
  <si>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</si>
  <si>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</si>
  <si>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</si>
  <si>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</si>
  <si>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</si>
  <si>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</si>
  <si>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</si>
  <si>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</si>
  <si>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</si>
  <si>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</si>
  <si>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</si>
  <si>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</si>
  <si>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</si>
  <si>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</si>
  <si>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</si>
  <si>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</si>
  <si>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</si>
  <si>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</si>
  <si>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</si>
  <si>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</si>
  <si>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</si>
  <si>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</si>
  <si>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</si>
  <si>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</si>
  <si>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</si>
  <si>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</si>
  <si>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</si>
  <si>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</si>
  <si>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</si>
  <si>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</si>
  <si>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</si>
  <si>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</si>
  <si>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</si>
  <si>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</si>
  <si>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</si>
  <si>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</si>
  <si>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</si>
  <si>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</si>
  <si>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</si>
  <si>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</si>
  <si>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</si>
  <si>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</si>
  <si>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</si>
  <si>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</si>
  <si>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</si>
  <si>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</si>
  <si>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</si>
  <si>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</si>
  <si>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</si>
  <si>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</si>
  <si>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</si>
  <si>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</si>
  <si>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</si>
  <si>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</si>
  <si>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</si>
  <si>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</si>
  <si>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</si>
  <si>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</si>
  <si>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</si>
  <si>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</si>
  <si>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</si>
  <si>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</si>
  <si>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</si>
  <si>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</si>
  <si>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</si>
  <si>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</si>
  <si>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</si>
  <si>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</si>
  <si>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</si>
  <si>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</si>
  <si>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</si>
  <si>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</si>
  <si>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</si>
  <si>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</si>
  <si>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</si>
  <si>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</si>
  <si>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</si>
  <si>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</si>
  <si>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</si>
  <si>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</si>
  <si>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</si>
  <si>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</si>
  <si>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</si>
  <si>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</si>
  <si>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</si>
  <si>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</si>
  <si>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</si>
  <si>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</si>
  <si>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</si>
  <si>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</si>
  <si>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</si>
  <si>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</si>
  <si>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</si>
  <si>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</si>
  <si>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</si>
  <si>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</si>
  <si>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</si>
  <si>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</si>
  <si>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</si>
  <si>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</si>
  <si>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</si>
  <si>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</si>
  <si>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</si>
  <si>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</si>
  <si>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</si>
  <si>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</si>
  <si>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</si>
  <si>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</si>
  <si>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</si>
  <si>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</si>
  <si>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</si>
  <si>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</si>
  <si>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</si>
  <si>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</si>
  <si>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</si>
  <si>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</si>
  <si>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</si>
  <si>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</si>
  <si>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</si>
  <si>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</si>
  <si>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</si>
  <si>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</si>
  <si>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</si>
  <si>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</si>
  <si>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</si>
  <si>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</si>
  <si>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</si>
  <si>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</si>
  <si>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</si>
  <si>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</si>
  <si>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</si>
  <si>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</si>
  <si>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</si>
  <si>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</si>
  <si>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</si>
  <si>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</si>
  <si>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</si>
  <si>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</si>
  <si>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</si>
  <si>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</si>
  <si>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</si>
  <si>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</si>
  <si>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</si>
  <si>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</si>
  <si>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</si>
  <si>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</si>
  <si>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</si>
  <si>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</si>
  <si>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</si>
  <si>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</si>
  <si>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</si>
  <si>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</si>
  <si>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</si>
  <si>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</si>
  <si>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</si>
  <si>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</si>
  <si>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</si>
  <si>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</si>
  <si>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</si>
  <si>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</si>
  <si>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</si>
  <si>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</si>
  <si>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</si>
  <si>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</si>
  <si>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</si>
  <si>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</si>
  <si>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</si>
  <si>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</si>
  <si>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</si>
  <si>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</si>
  <si>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</si>
  <si>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</si>
  <si>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</si>
  <si>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</si>
  <si>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</si>
  <si>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</si>
  <si>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</si>
  <si>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</si>
  <si>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</si>
  <si>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</si>
  <si>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</si>
  <si>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</si>
  <si>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</si>
  <si>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</si>
  <si>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</si>
  <si>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</si>
  <si>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</si>
  <si>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</si>
  <si>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</si>
  <si>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</si>
  <si>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</si>
  <si>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</si>
  <si>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</si>
  <si>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</si>
  <si>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</si>
  <si>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</si>
  <si>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</si>
  <si>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</si>
  <si>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</si>
  <si>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</si>
  <si>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</si>
  <si>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</si>
  <si>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</si>
  <si>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</si>
  <si>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</si>
  <si>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</si>
  <si>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</si>
  <si>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</si>
  <si>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</si>
  <si>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</si>
  <si>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</si>
  <si>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</si>
  <si>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</si>
  <si>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</si>
  <si>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</si>
  <si>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</si>
  <si>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</si>
  <si>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</si>
  <si>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</si>
  <si>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</si>
  <si>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</si>
  <si>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</si>
  <si>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</si>
  <si>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</si>
  <si>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</si>
  <si>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</si>
  <si>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</si>
  <si>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</si>
  <si>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</si>
  <si>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</si>
  <si>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</si>
  <si>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</si>
  <si>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</si>
  <si>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</si>
  <si>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</si>
  <si>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</si>
  <si>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</si>
  <si>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</si>
  <si>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</si>
  <si>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</si>
  <si>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</si>
  <si>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</si>
  <si>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</si>
  <si>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</si>
  <si>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</si>
  <si>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</si>
  <si>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</si>
  <si>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</si>
  <si>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</si>
  <si>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</si>
  <si>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</si>
  <si>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</si>
  <si>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</si>
  <si>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</si>
  <si>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</si>
  <si>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</si>
  <si>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</si>
  <si>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</si>
  <si>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</si>
  <si>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</si>
  <si>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</si>
  <si>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</si>
  <si>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</si>
  <si>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</si>
  <si>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</si>
  <si>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</si>
  <si>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</si>
  <si>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</si>
  <si>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</si>
  <si>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</si>
  <si>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</si>
  <si>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</si>
  <si>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</si>
  <si>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</si>
  <si>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</si>
  <si>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</si>
  <si>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</si>
  <si>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</si>
  <si>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</si>
  <si>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</si>
  <si>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</si>
  <si>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</si>
  <si>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</si>
  <si>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</si>
  <si>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</si>
  <si>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</si>
  <si>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</si>
  <si>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</si>
  <si>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</si>
  <si>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</si>
  <si>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</si>
  <si>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</si>
  <si>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</si>
  <si>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</si>
  <si>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</si>
  <si>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</si>
  <si>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</si>
  <si>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</si>
  <si>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</si>
  <si>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</si>
  <si>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</si>
  <si>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</si>
  <si>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</si>
  <si>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</si>
  <si>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</si>
  <si>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</si>
  <si>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</si>
  <si>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</si>
  <si>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</si>
  <si>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</si>
  <si>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</si>
  <si>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</si>
  <si>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</si>
  <si>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</si>
  <si>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</si>
  <si>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</si>
  <si>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</si>
  <si>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</si>
  <si>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</si>
  <si>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</si>
  <si>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</si>
  <si>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</si>
  <si>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</si>
  <si>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</si>
  <si>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</si>
  <si>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</si>
  <si>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</si>
  <si>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</si>
  <si>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</si>
  <si>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</si>
  <si>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</si>
  <si>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</si>
  <si>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</si>
  <si>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</si>
  <si>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</si>
  <si>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</si>
  <si>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</si>
  <si>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</si>
  <si>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</si>
  <si>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</si>
  <si>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</si>
  <si>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</si>
  <si>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</si>
  <si>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</si>
  <si>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</si>
  <si>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</si>
  <si>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</si>
  <si>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</si>
  <si>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</si>
  <si>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</si>
  <si>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</si>
  <si>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</si>
  <si>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</si>
  <si>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</si>
  <si>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</si>
  <si>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</si>
  <si>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</si>
  <si>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</si>
  <si>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</si>
  <si>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</si>
  <si>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</si>
  <si>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</si>
  <si>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</si>
  <si>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</si>
  <si>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</si>
  <si>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</si>
  <si>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</si>
  <si>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</si>
  <si>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</si>
  <si>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</si>
  <si>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</si>
  <si>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</si>
  <si>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</si>
  <si>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</si>
  <si>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</si>
  <si>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</si>
  <si>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</si>
  <si>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</si>
  <si>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</si>
  <si>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</si>
  <si>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</si>
  <si>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</si>
  <si>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</si>
  <si>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</si>
  <si>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</si>
  <si>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</si>
  <si>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</si>
  <si>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</si>
  <si>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</si>
  <si>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</si>
  <si>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</si>
  <si>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</si>
  <si>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</si>
  <si>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</si>
  <si>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</si>
  <si>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</si>
  <si>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</si>
  <si>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</si>
  <si>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</si>
  <si>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</si>
  <si>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</si>
  <si>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</si>
  <si>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</si>
  <si>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</si>
  <si>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</si>
  <si>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</si>
  <si>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</si>
  <si>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</si>
  <si>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</si>
  <si>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</si>
  <si>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</si>
  <si>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</si>
  <si>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</si>
  <si>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</si>
  <si>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</si>
  <si>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</si>
  <si>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</si>
  <si>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</si>
  <si>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</si>
  <si>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</si>
  <si>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</si>
  <si>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</si>
  <si>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</si>
  <si>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</si>
  <si>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</si>
  <si>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</si>
  <si>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</si>
  <si>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</si>
  <si>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</si>
  <si>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</si>
  <si>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</si>
  <si>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</si>
  <si>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</si>
  <si>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</si>
  <si>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</si>
  <si>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</si>
  <si>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</si>
  <si>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</si>
  <si>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</si>
  <si>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</si>
  <si>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</si>
  <si>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</si>
  <si>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</si>
  <si>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</si>
  <si>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</si>
  <si>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</si>
  <si>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</si>
  <si>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</si>
  <si>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</si>
  <si>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</si>
  <si>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</si>
  <si>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</si>
  <si>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</si>
  <si>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</si>
  <si>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</si>
  <si>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</si>
  <si>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</si>
  <si>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</si>
  <si>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</si>
  <si>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</si>
  <si>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</si>
  <si>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</si>
  <si>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</si>
  <si>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</si>
  <si>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</si>
  <si>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</si>
  <si>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</si>
  <si>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</si>
  <si>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</si>
  <si>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</si>
  <si>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</si>
  <si>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</si>
  <si>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</si>
  <si>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</si>
  <si>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</si>
  <si>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</si>
  <si>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</si>
  <si>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</si>
  <si>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</si>
  <si>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</si>
  <si>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</si>
  <si>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</si>
  <si>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</si>
  <si>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</si>
  <si>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</si>
  <si>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</si>
  <si>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</si>
  <si>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</si>
  <si>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</si>
  <si>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</si>
  <si>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</si>
  <si>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</si>
  <si>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</si>
  <si>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</si>
  <si>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</si>
  <si>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</si>
  <si>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</si>
  <si>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</si>
  <si>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</si>
  <si>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</si>
  <si>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</si>
  <si>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</si>
  <si>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</si>
  <si>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</si>
  <si>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</si>
  <si>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</si>
  <si>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</si>
  <si>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</si>
  <si>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</si>
  <si>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</si>
  <si>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</si>
  <si>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</si>
  <si>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</si>
  <si>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</si>
  <si>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</si>
  <si>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</si>
  <si>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</si>
  <si>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</si>
  <si>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</si>
  <si>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</si>
  <si>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</si>
  <si>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</si>
  <si>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</si>
  <si>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</si>
  <si>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</si>
  <si>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</si>
  <si>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</si>
  <si>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</si>
  <si>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</si>
  <si>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</si>
  <si>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</si>
  <si>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</si>
  <si>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</si>
  <si>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</si>
  <si>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</si>
  <si>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</si>
  <si>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</si>
  <si>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</si>
  <si>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</si>
  <si>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</si>
  <si>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</si>
  <si>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</si>
  <si>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</si>
  <si>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</si>
  <si>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</si>
  <si>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</si>
  <si>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</si>
  <si>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</si>
  <si>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</si>
  <si>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</si>
  <si>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</si>
  <si>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</si>
  <si>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</si>
  <si>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</si>
  <si>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</si>
  <si>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</si>
  <si>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</si>
  <si>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</si>
  <si>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</si>
  <si>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</si>
  <si>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</si>
  <si>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</si>
  <si>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</si>
  <si>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</si>
  <si>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</si>
  <si>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</si>
  <si>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</si>
  <si>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</si>
  <si>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</si>
  <si>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</si>
  <si>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</si>
  <si>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</si>
  <si>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</si>
  <si>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</si>
  <si>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</si>
  <si>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</si>
  <si>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</si>
  <si>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</si>
  <si>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</si>
  <si>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</si>
  <si>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</si>
  <si>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</si>
  <si>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</si>
  <si>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</si>
  <si>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</si>
  <si>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</si>
  <si>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</si>
  <si>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</si>
  <si>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</si>
  <si>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</si>
  <si>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</si>
  <si>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</si>
  <si>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</si>
  <si>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</si>
  <si>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</si>
  <si>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</si>
  <si>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</si>
  <si>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</si>
  <si>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</si>
  <si>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</si>
  <si>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</si>
  <si>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</si>
  <si>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</si>
  <si>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</si>
  <si>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</si>
  <si>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</si>
  <si>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</si>
  <si>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</si>
  <si>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</si>
  <si>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</si>
  <si>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</si>
  <si>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</si>
  <si>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</si>
  <si>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</si>
  <si>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</si>
  <si>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</si>
  <si>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</si>
  <si>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</si>
  <si>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</si>
  <si>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</si>
  <si>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</si>
  <si>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</si>
  <si>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</si>
  <si>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</si>
  <si>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</si>
  <si>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</si>
  <si>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</si>
  <si>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</si>
  <si>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</si>
  <si>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</si>
  <si>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</si>
  <si>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</si>
  <si>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</si>
  <si>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</si>
  <si>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</si>
  <si>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</si>
  <si>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</si>
  <si>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</si>
  <si>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</si>
  <si>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</si>
  <si>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</si>
  <si>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</si>
  <si>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</si>
  <si>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</si>
  <si>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</si>
  <si>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</si>
  <si>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</si>
  <si>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</si>
  <si>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</si>
  <si>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</si>
  <si>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</si>
  <si>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</si>
  <si>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</si>
  <si>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</si>
  <si>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</si>
  <si>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</si>
  <si>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</si>
  <si>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</si>
  <si>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</si>
  <si>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</si>
  <si>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</si>
  <si>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</si>
  <si>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</si>
  <si>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</si>
  <si>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</si>
  <si>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</si>
  <si>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</si>
  <si>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</si>
  <si>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</si>
  <si>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</si>
  <si>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</si>
  <si>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</si>
  <si>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</si>
  <si>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</si>
  <si>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</si>
  <si>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</si>
  <si>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</si>
  <si>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</si>
  <si>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</si>
  <si>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</si>
  <si>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</si>
  <si>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</si>
  <si>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</si>
  <si>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</si>
  <si>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</si>
  <si>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</si>
  <si>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</si>
  <si>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</si>
  <si>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</si>
  <si>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</si>
  <si>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</si>
  <si>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</si>
  <si>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</si>
  <si>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</si>
  <si>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</si>
  <si>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</si>
  <si>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</si>
  <si>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</si>
  <si>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</si>
  <si>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</si>
  <si>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</si>
  <si>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</si>
  <si>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</si>
  <si>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</si>
  <si>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</si>
  <si>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</si>
  <si>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</si>
  <si>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</si>
  <si>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</si>
  <si>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</si>
  <si>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</si>
  <si>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</si>
  <si>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</si>
  <si>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</si>
  <si>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</si>
  <si>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</si>
  <si>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</si>
  <si>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</si>
  <si>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</si>
  <si>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</si>
  <si>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</si>
  <si>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</si>
  <si>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</si>
  <si>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</si>
  <si>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</si>
  <si>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</si>
  <si>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</si>
  <si>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</si>
  <si>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</si>
  <si>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</si>
  <si>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</si>
  <si>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</si>
  <si>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</si>
  <si>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</si>
  <si>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</si>
  <si>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</si>
  <si>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</si>
  <si>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</si>
  <si>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</si>
  <si>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</si>
  <si>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</si>
  <si>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</si>
  <si>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</si>
  <si>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</si>
  <si>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</si>
  <si>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</si>
  <si>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</si>
  <si>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</si>
  <si>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</si>
  <si>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</si>
  <si>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</si>
  <si>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</si>
  <si>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</si>
  <si>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</si>
  <si>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</si>
  <si>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</si>
  <si>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</si>
  <si>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</si>
  <si>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</si>
  <si>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</si>
  <si>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</si>
  <si>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</si>
  <si>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</si>
  <si>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</si>
  <si>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</si>
  <si>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</si>
  <si>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</si>
  <si>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</si>
  <si>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</si>
  <si>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</si>
  <si>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</si>
  <si>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</si>
  <si>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</si>
  <si>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</si>
  <si>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</si>
  <si>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</si>
  <si>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</si>
  <si>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</si>
  <si>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</si>
  <si>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</si>
  <si>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</si>
  <si>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</si>
  <si>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</si>
  <si>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</si>
  <si>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</si>
  <si>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</si>
  <si>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</si>
  <si>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</si>
  <si>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</si>
  <si>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</si>
  <si>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</si>
  <si>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</si>
  <si>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</si>
  <si>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</si>
  <si>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</si>
  <si>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</si>
  <si>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</si>
  <si>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</si>
  <si>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</si>
  <si>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</si>
  <si>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</si>
  <si>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</si>
  <si>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</si>
  <si>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</si>
  <si>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</si>
  <si>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</si>
  <si>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</si>
  <si>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</si>
  <si>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</si>
  <si>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</si>
  <si>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</si>
  <si>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</si>
  <si>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</si>
  <si>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</si>
  <si>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</si>
  <si>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</si>
  <si>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</si>
  <si>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</si>
  <si>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</si>
  <si>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</si>
  <si>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</si>
  <si>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</si>
  <si>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</si>
  <si>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</si>
  <si>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</si>
  <si>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</si>
  <si>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</si>
  <si>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</si>
  <si>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</si>
  <si>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</si>
  <si>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</si>
  <si>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</si>
  <si>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</si>
  <si>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</si>
  <si>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</si>
  <si>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</si>
  <si>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</si>
  <si>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</si>
  <si>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</si>
  <si>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</si>
  <si>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</si>
  <si>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</si>
  <si>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</si>
  <si>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</si>
  <si>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</si>
  <si>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</si>
  <si>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</si>
  <si>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</si>
  <si>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</si>
  <si>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</si>
  <si>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</si>
  <si>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</si>
  <si>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</si>
  <si>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</si>
  <si>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</si>
  <si>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</si>
  <si>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</si>
  <si>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</si>
  <si>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</si>
  <si>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</si>
  <si>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</si>
  <si>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项目名称</t>
    <phoneticPr fontId="3" type="noConversion"/>
  </si>
  <si>
    <t>建筑面积
（平方米）</t>
    <phoneticPr fontId="3" type="noConversion"/>
  </si>
  <si>
    <t>楼层</t>
    <phoneticPr fontId="3" type="noConversion"/>
  </si>
  <si>
    <t>朝向</t>
    <phoneticPr fontId="3" type="noConversion"/>
  </si>
  <si>
    <t>成交总价
（万元）</t>
    <phoneticPr fontId="3" type="noConversion"/>
  </si>
  <si>
    <t>成交单价
(元/平方米）</t>
    <phoneticPr fontId="3" type="noConversion"/>
  </si>
  <si>
    <t>成交时间</t>
    <phoneticPr fontId="3" type="noConversion"/>
  </si>
  <si>
    <t>正常</t>
  </si>
  <si>
    <t>住宅</t>
  </si>
  <si>
    <t>住宅</t>
    <phoneticPr fontId="24" type="noConversion"/>
  </si>
  <si>
    <t>以上月价格为100的指数</t>
  </si>
  <si>
    <t>以上年同月价格为100的指数</t>
  </si>
  <si>
    <t>2.二手住宅</t>
  </si>
  <si>
    <t>注：自2020年1月起，上表左侧一列调整为“以上月价格为100的指数”，右侧一列调整为“以上年同月价格为100的指数”。</t>
  </si>
  <si>
    <t>http://tjj.beijing.gov.cn/tjsj_31433/yjdsj_31440/fj/2023/202303/t20230317_2938717.html</t>
    <phoneticPr fontId="134" type="noConversion"/>
  </si>
  <si>
    <t>90平方米及以下</t>
  </si>
  <si>
    <t>南北</t>
  </si>
  <si>
    <t>南北</t>
    <phoneticPr fontId="24" type="noConversion"/>
  </si>
  <si>
    <t>南</t>
    <phoneticPr fontId="24" type="noConversion"/>
  </si>
  <si>
    <t>东南</t>
    <phoneticPr fontId="24" type="noConversion"/>
  </si>
  <si>
    <t>西南</t>
    <phoneticPr fontId="24" type="noConversion"/>
  </si>
  <si>
    <t>东西</t>
  </si>
  <si>
    <t>东西</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</si>
  <si>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</si>
  <si>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</si>
  <si>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</si>
  <si>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</si>
  <si>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</si>
  <si>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售价</t>
  </si>
  <si>
    <t>精装</t>
    <phoneticPr fontId="24" type="noConversion"/>
  </si>
  <si>
    <t>简装</t>
  </si>
  <si>
    <t>简装</t>
    <phoneticPr fontId="24" type="noConversion"/>
  </si>
  <si>
    <t>毛坯</t>
    <phoneticPr fontId="24" type="noConversion"/>
  </si>
  <si>
    <t>钢混</t>
    <phoneticPr fontId="24" type="noConversion"/>
  </si>
  <si>
    <t>砖混</t>
  </si>
  <si>
    <t>中档</t>
  </si>
  <si>
    <t>中档</t>
    <phoneticPr fontId="24" type="noConversion"/>
  </si>
  <si>
    <t>高档</t>
    <phoneticPr fontId="24" type="noConversion"/>
  </si>
  <si>
    <t>低档</t>
    <phoneticPr fontId="24" type="noConversion"/>
  </si>
  <si>
    <t>七通</t>
  </si>
  <si>
    <t>七通</t>
    <phoneticPr fontId="24" type="noConversion"/>
  </si>
  <si>
    <t>平层</t>
  </si>
  <si>
    <t>平层</t>
    <phoneticPr fontId="24" type="noConversion"/>
  </si>
  <si>
    <t>多层板楼</t>
  </si>
  <si>
    <t>多层板楼</t>
    <phoneticPr fontId="24" type="noConversion"/>
  </si>
  <si>
    <t>较好</t>
  </si>
  <si>
    <t>丰台区大红门春泽路</t>
    <phoneticPr fontId="3" type="noConversion"/>
  </si>
  <si>
    <t>一般</t>
  </si>
  <si>
    <t>1.新建住宅</t>
  </si>
  <si>
    <t>1.新建商品住宅</t>
  </si>
  <si>
    <t>2022年10月单位：%</t>
  </si>
  <si>
    <t>2022年11月单位：%</t>
  </si>
  <si>
    <t>2022年12月单位：%</t>
  </si>
  <si>
    <t>2023年1月单位：%</t>
  </si>
  <si>
    <t>2023年2月单位：%</t>
  </si>
  <si>
    <t>项目</t>
  </si>
  <si>
    <t>2022年5月单位：%</t>
  </si>
  <si>
    <t>2022年6月单位：%</t>
  </si>
  <si>
    <t>2022年7月单位：%</t>
  </si>
  <si>
    <t>2022年8月单位：%</t>
  </si>
  <si>
    <t>2022年9月单位：%</t>
  </si>
  <si>
    <t>90-144平方米</t>
  </si>
  <si>
    <t>144平方米以上</t>
  </si>
  <si>
    <t>2022年4月单位：%</t>
    <phoneticPr fontId="134" type="noConversion"/>
  </si>
  <si>
    <t>时间</t>
    <phoneticPr fontId="134" type="noConversion"/>
  </si>
  <si>
    <t>22.10</t>
    <phoneticPr fontId="134" type="noConversion"/>
  </si>
  <si>
    <t>混合</t>
    <phoneticPr fontId="24" type="noConversion"/>
  </si>
  <si>
    <t>标准层</t>
    <phoneticPr fontId="24" type="noConversion"/>
  </si>
  <si>
    <t>建筑形式</t>
    <phoneticPr fontId="24" type="noConversion"/>
  </si>
  <si>
    <t>单元式</t>
    <phoneticPr fontId="24" type="noConversion"/>
  </si>
  <si>
    <t>设施设备状况</t>
    <phoneticPr fontId="24" type="noConversion"/>
  </si>
  <si>
    <t>普通</t>
  </si>
  <si>
    <t>商品房</t>
    <phoneticPr fontId="24" type="noConversion"/>
  </si>
  <si>
    <t>直线成新</t>
    <phoneticPr fontId="24" type="noConversion"/>
  </si>
  <si>
    <t>商品房</t>
    <phoneticPr fontId="24" type="noConversion"/>
  </si>
  <si>
    <t>总楼层</t>
    <phoneticPr fontId="24" type="noConversion"/>
  </si>
  <si>
    <r>
      <t>6</t>
    </r>
    <r>
      <rPr>
        <b/>
        <sz val="12"/>
        <rFont val="宋体"/>
        <family val="3"/>
        <charset val="134"/>
      </rPr>
      <t>层</t>
    </r>
    <phoneticPr fontId="24" type="noConversion"/>
  </si>
  <si>
    <t>楼层</t>
    <phoneticPr fontId="24" type="noConversion"/>
  </si>
  <si>
    <t>精装</t>
  </si>
  <si>
    <t>好</t>
    <phoneticPr fontId="24" type="noConversion"/>
  </si>
  <si>
    <t>较好</t>
    <phoneticPr fontId="24" type="noConversion"/>
  </si>
  <si>
    <t>一般</t>
    <phoneticPr fontId="24" type="noConversion"/>
  </si>
  <si>
    <t>较差</t>
    <phoneticPr fontId="134" type="noConversion"/>
  </si>
  <si>
    <t>差</t>
    <phoneticPr fontId="134" type="noConversion"/>
  </si>
  <si>
    <t>外廊式</t>
    <phoneticPr fontId="24" type="noConversion"/>
  </si>
  <si>
    <t>合理</t>
    <phoneticPr fontId="24" type="noConversion"/>
  </si>
  <si>
    <t>不合理</t>
    <phoneticPr fontId="24" type="noConversion"/>
  </si>
  <si>
    <t>普通</t>
    <phoneticPr fontId="24" type="noConversion"/>
  </si>
  <si>
    <t>专业</t>
    <phoneticPr fontId="24" type="noConversion"/>
  </si>
  <si>
    <t>其他权利情况</t>
    <phoneticPr fontId="24" type="noConversion"/>
  </si>
  <si>
    <t>无</t>
    <phoneticPr fontId="24" type="noConversion"/>
  </si>
  <si>
    <t>产权性质</t>
    <phoneticPr fontId="24" type="noConversion"/>
  </si>
  <si>
    <t>空间布局</t>
    <phoneticPr fontId="24" type="noConversion"/>
  </si>
  <si>
    <t>砖混</t>
    <phoneticPr fontId="134" type="noConversion"/>
  </si>
  <si>
    <t>建成年代</t>
    <phoneticPr fontId="24" type="noConversion"/>
  </si>
  <si>
    <t>2023年3月单位：%</t>
  </si>
  <si>
    <t>2023年4月单位：%</t>
  </si>
  <si>
    <t>建成年代</t>
    <phoneticPr fontId="24" type="noConversion"/>
  </si>
  <si>
    <t>建成年代</t>
    <phoneticPr fontId="134" type="noConversion"/>
  </si>
  <si>
    <t>建成年代</t>
    <phoneticPr fontId="134" type="noConversion"/>
  </si>
  <si>
    <r>
      <t>90%</t>
    </r>
    <r>
      <rPr>
        <sz val="11"/>
        <rFont val="宋体"/>
        <family val="3"/>
        <charset val="134"/>
      </rPr>
      <t>（含）</t>
    </r>
    <r>
      <rPr>
        <sz val="11"/>
        <rFont val="Arial"/>
        <family val="2"/>
      </rPr>
      <t>-95%</t>
    </r>
    <phoneticPr fontId="134" type="noConversion"/>
  </si>
  <si>
    <r>
      <t>95%</t>
    </r>
    <r>
      <rPr>
        <sz val="11"/>
        <rFont val="宋体"/>
        <family val="3"/>
        <charset val="134"/>
      </rPr>
      <t>（含）</t>
    </r>
    <r>
      <rPr>
        <sz val="11"/>
        <rFont val="Arial"/>
        <family val="2"/>
      </rPr>
      <t>-100%</t>
    </r>
    <phoneticPr fontId="134" type="noConversion"/>
  </si>
  <si>
    <r>
      <t>85%</t>
    </r>
    <r>
      <rPr>
        <sz val="11"/>
        <rFont val="宋体"/>
        <family val="3"/>
        <charset val="134"/>
      </rPr>
      <t>（含）</t>
    </r>
    <r>
      <rPr>
        <sz val="11"/>
        <rFont val="Arial"/>
        <family val="2"/>
      </rPr>
      <t>-90%</t>
    </r>
    <phoneticPr fontId="134" type="noConversion"/>
  </si>
  <si>
    <r>
      <t>80%</t>
    </r>
    <r>
      <rPr>
        <sz val="11"/>
        <rFont val="宋体"/>
        <family val="3"/>
        <charset val="134"/>
      </rPr>
      <t>（含）</t>
    </r>
    <r>
      <rPr>
        <sz val="11"/>
        <rFont val="Arial"/>
        <family val="2"/>
      </rPr>
      <t>-85%</t>
    </r>
    <phoneticPr fontId="134" type="noConversion"/>
  </si>
  <si>
    <r>
      <t>75%</t>
    </r>
    <r>
      <rPr>
        <sz val="11"/>
        <rFont val="宋体"/>
        <family val="3"/>
        <charset val="134"/>
      </rPr>
      <t>（含）</t>
    </r>
    <r>
      <rPr>
        <sz val="11"/>
        <rFont val="Arial"/>
        <family val="2"/>
      </rPr>
      <t>-80%</t>
    </r>
    <phoneticPr fontId="134" type="noConversion"/>
  </si>
  <si>
    <r>
      <t>70%</t>
    </r>
    <r>
      <rPr>
        <sz val="11"/>
        <rFont val="宋体"/>
        <family val="3"/>
        <charset val="134"/>
      </rPr>
      <t>（含）</t>
    </r>
    <r>
      <rPr>
        <sz val="11"/>
        <rFont val="Arial"/>
        <family val="2"/>
      </rPr>
      <t>-75%</t>
    </r>
    <phoneticPr fontId="134" type="noConversion"/>
  </si>
  <si>
    <r>
      <t>65%</t>
    </r>
    <r>
      <rPr>
        <sz val="11"/>
        <rFont val="宋体"/>
        <family val="3"/>
        <charset val="134"/>
      </rPr>
      <t>（含）</t>
    </r>
    <r>
      <rPr>
        <sz val="11"/>
        <rFont val="Arial"/>
        <family val="2"/>
      </rPr>
      <t>-70%</t>
    </r>
    <phoneticPr fontId="134" type="noConversion"/>
  </si>
  <si>
    <r>
      <t>60%</t>
    </r>
    <r>
      <rPr>
        <sz val="11"/>
        <rFont val="宋体"/>
        <family val="3"/>
        <charset val="134"/>
      </rPr>
      <t>（含）</t>
    </r>
    <r>
      <rPr>
        <sz val="11"/>
        <rFont val="Arial"/>
        <family val="2"/>
      </rPr>
      <t>-65%</t>
    </r>
    <phoneticPr fontId="134" type="noConversion"/>
  </si>
  <si>
    <t>楼层</t>
    <phoneticPr fontId="3" type="noConversion"/>
  </si>
  <si>
    <t>装修</t>
    <phoneticPr fontId="3" type="noConversion"/>
  </si>
  <si>
    <t>建成年代</t>
    <phoneticPr fontId="3" type="noConversion"/>
  </si>
  <si>
    <t>朝向</t>
    <phoneticPr fontId="3" type="noConversion"/>
  </si>
  <si>
    <t>底层</t>
    <phoneticPr fontId="24" type="noConversion"/>
  </si>
  <si>
    <t>无电梯</t>
    <phoneticPr fontId="24" type="noConversion"/>
  </si>
  <si>
    <t>综合成新度</t>
    <phoneticPr fontId="134" type="noConversion"/>
  </si>
  <si>
    <t>好</t>
  </si>
  <si>
    <t>保留小数</t>
    <phoneticPr fontId="134" type="noConversion"/>
  </si>
  <si>
    <t>2022-4-30标房</t>
    <phoneticPr fontId="134" type="noConversion"/>
  </si>
  <si>
    <t>建欣苑一里</t>
    <phoneticPr fontId="3" type="noConversion"/>
  </si>
  <si>
    <t>中/7</t>
    <phoneticPr fontId="3" type="noConversion"/>
  </si>
  <si>
    <t>南北</t>
    <phoneticPr fontId="3" type="noConversion"/>
  </si>
  <si>
    <t>低/7</t>
    <phoneticPr fontId="3" type="noConversion"/>
  </si>
  <si>
    <t>东西</t>
    <phoneticPr fontId="3" type="noConversion"/>
  </si>
  <si>
    <t>建欣苑一里</t>
  </si>
  <si>
    <t>中/7</t>
  </si>
  <si>
    <t>东</t>
    <phoneticPr fontId="3" type="noConversion"/>
  </si>
  <si>
    <t>建欣苑三里</t>
    <phoneticPr fontId="3" type="noConversion"/>
  </si>
  <si>
    <t>高/6</t>
    <phoneticPr fontId="3" type="noConversion"/>
  </si>
  <si>
    <t>中/6</t>
    <phoneticPr fontId="3" type="noConversion"/>
  </si>
  <si>
    <t>低/6</t>
    <phoneticPr fontId="3" type="noConversion"/>
  </si>
  <si>
    <t>高/9</t>
    <phoneticPr fontId="3" type="noConversion"/>
  </si>
  <si>
    <t>南北西</t>
    <phoneticPr fontId="3" type="noConversion"/>
  </si>
  <si>
    <t>建欣苑四里</t>
    <phoneticPr fontId="3" type="noConversion"/>
  </si>
  <si>
    <t>西北</t>
    <phoneticPr fontId="3" type="noConversion"/>
  </si>
  <si>
    <t>南顶村</t>
    <phoneticPr fontId="3" type="noConversion"/>
  </si>
  <si>
    <t>南</t>
    <phoneticPr fontId="3" type="noConversion"/>
  </si>
  <si>
    <t>东西北</t>
    <phoneticPr fontId="3" type="noConversion"/>
  </si>
  <si>
    <t>高/5</t>
    <phoneticPr fontId="3" type="noConversion"/>
  </si>
  <si>
    <t>低/5</t>
    <phoneticPr fontId="3" type="noConversion"/>
  </si>
  <si>
    <t>中/5</t>
    <phoneticPr fontId="3" type="noConversion"/>
  </si>
  <si>
    <t>东南西</t>
    <phoneticPr fontId="3" type="noConversion"/>
  </si>
  <si>
    <t>大红门西后街</t>
    <phoneticPr fontId="3" type="noConversion"/>
  </si>
  <si>
    <t>顶/6</t>
    <phoneticPr fontId="3" type="noConversion"/>
  </si>
  <si>
    <t>大红门东后街</t>
    <phoneticPr fontId="3" type="noConversion"/>
  </si>
  <si>
    <t>大红门南里</t>
    <phoneticPr fontId="3" type="noConversion"/>
  </si>
  <si>
    <t>西南</t>
    <phoneticPr fontId="3" type="noConversion"/>
  </si>
  <si>
    <t>郑燚</t>
  </si>
  <si>
    <t>宁小鳗</t>
  </si>
  <si>
    <t>建欣苑一里</t>
    <phoneticPr fontId="3" type="noConversion"/>
  </si>
  <si>
    <t>建欣苑一里</t>
    <phoneticPr fontId="3" type="noConversion"/>
  </si>
  <si>
    <t>2022年10月至今</t>
    <phoneticPr fontId="3" type="noConversion"/>
  </si>
  <si>
    <t>建欣苑三里</t>
    <phoneticPr fontId="3" type="noConversion"/>
  </si>
  <si>
    <t>建欣苑四里</t>
    <phoneticPr fontId="3" type="noConversion"/>
  </si>
  <si>
    <t>南顶村</t>
    <phoneticPr fontId="3" type="noConversion"/>
  </si>
  <si>
    <t>南顶村</t>
    <phoneticPr fontId="3" type="noConversion"/>
  </si>
  <si>
    <t>大红门西后街</t>
    <phoneticPr fontId="3" type="noConversion"/>
  </si>
  <si>
    <t>剔除原因</t>
    <phoneticPr fontId="3" type="noConversion"/>
  </si>
  <si>
    <t>面积</t>
    <phoneticPr fontId="3" type="noConversion"/>
  </si>
  <si>
    <t>2023年5月单位：%</t>
  </si>
  <si>
    <t>2023年6月单位：%</t>
  </si>
  <si>
    <r>
      <t>2</t>
    </r>
    <r>
      <rPr>
        <sz val="11"/>
        <color theme="1"/>
        <rFont val="宋体"/>
        <family val="3"/>
        <charset val="134"/>
        <scheme val="minor"/>
      </rPr>
      <t>3.10</t>
    </r>
    <phoneticPr fontId="134" type="noConversion"/>
  </si>
  <si>
    <t>2023-6-15标房</t>
    <phoneticPr fontId="134" type="noConversion"/>
  </si>
  <si>
    <t>指数</t>
    <phoneticPr fontId="134" type="noConversion"/>
  </si>
  <si>
    <t>本项目标房趋势</t>
    <phoneticPr fontId="134" type="noConversion"/>
  </si>
  <si>
    <t>时间修正系数</t>
    <phoneticPr fontId="134" type="noConversion"/>
  </si>
  <si>
    <t>链家8月挂牌价</t>
    <phoneticPr fontId="3" type="noConversion"/>
  </si>
  <si>
    <t>链家4月挂牌价</t>
    <phoneticPr fontId="3" type="noConversion"/>
  </si>
  <si>
    <t>当前比较均价</t>
    <phoneticPr fontId="3" type="noConversion"/>
  </si>
  <si>
    <t>6月比较均价</t>
    <phoneticPr fontId="3" type="noConversion"/>
  </si>
  <si>
    <t>东西</t>
    <phoneticPr fontId="3" type="noConversion"/>
  </si>
  <si>
    <t>链家5月挂牌价</t>
    <phoneticPr fontId="3" type="noConversion"/>
  </si>
  <si>
    <t>底层</t>
    <phoneticPr fontId="3" type="noConversion"/>
  </si>
  <si>
    <t>南北</t>
    <phoneticPr fontId="3" type="noConversion"/>
  </si>
  <si>
    <t>简装</t>
    <phoneticPr fontId="3" type="noConversion"/>
  </si>
  <si>
    <t>中层</t>
    <phoneticPr fontId="3" type="noConversion"/>
  </si>
  <si>
    <t>东</t>
    <phoneticPr fontId="3" type="noConversion"/>
  </si>
  <si>
    <t>精装</t>
    <phoneticPr fontId="3" type="noConversion"/>
  </si>
  <si>
    <t>未知</t>
    <phoneticPr fontId="3" type="noConversion"/>
  </si>
  <si>
    <t>交易权属</t>
    <phoneticPr fontId="3" type="noConversion"/>
  </si>
  <si>
    <t>商品房</t>
    <phoneticPr fontId="3" type="noConversion"/>
  </si>
  <si>
    <t>一类经济适用房</t>
    <phoneticPr fontId="3" type="noConversion"/>
  </si>
  <si>
    <t>交易权属、建成年代</t>
    <phoneticPr fontId="3" type="noConversion"/>
  </si>
  <si>
    <t>一类经济适用房</t>
    <phoneticPr fontId="3" type="noConversion"/>
  </si>
  <si>
    <t>交易权属</t>
    <phoneticPr fontId="3" type="noConversion"/>
  </si>
  <si>
    <t>低层</t>
    <phoneticPr fontId="3" type="noConversion"/>
  </si>
  <si>
    <t>东西</t>
    <phoneticPr fontId="3" type="noConversion"/>
  </si>
  <si>
    <t>低层</t>
    <phoneticPr fontId="24" type="noConversion"/>
  </si>
  <si>
    <t>中层</t>
    <phoneticPr fontId="24" type="noConversion"/>
  </si>
  <si>
    <t>高层</t>
    <phoneticPr fontId="134" type="noConversion"/>
  </si>
  <si>
    <t>顶层</t>
    <phoneticPr fontId="134" type="noConversion"/>
  </si>
  <si>
    <t>标准层</t>
    <phoneticPr fontId="134" type="noConversion"/>
  </si>
  <si>
    <t>比较单价</t>
    <phoneticPr fontId="3" type="noConversion"/>
  </si>
  <si>
    <t>成交时间</t>
    <phoneticPr fontId="3" type="noConversion"/>
  </si>
  <si>
    <t>成交时间</t>
    <phoneticPr fontId="3" type="noConversion"/>
  </si>
  <si>
    <t>楼层</t>
    <phoneticPr fontId="3" type="noConversion"/>
  </si>
  <si>
    <t>建欣苑三里</t>
    <phoneticPr fontId="3" type="noConversion"/>
  </si>
  <si>
    <t>低/6</t>
    <phoneticPr fontId="3" type="noConversion"/>
  </si>
  <si>
    <t>南北</t>
    <phoneticPr fontId="3" type="noConversion"/>
  </si>
  <si>
    <t>中/6</t>
    <phoneticPr fontId="3" type="noConversion"/>
  </si>
  <si>
    <t>顶层</t>
    <phoneticPr fontId="3" type="noConversion"/>
  </si>
  <si>
    <t>南北</t>
    <phoneticPr fontId="3" type="noConversion"/>
  </si>
  <si>
    <t>精装</t>
    <phoneticPr fontId="3" type="noConversion"/>
  </si>
  <si>
    <t>商品房</t>
    <phoneticPr fontId="3" type="noConversion"/>
  </si>
  <si>
    <t>东西</t>
    <phoneticPr fontId="3" type="noConversion"/>
  </si>
  <si>
    <t>简装</t>
    <phoneticPr fontId="3" type="noConversion"/>
  </si>
  <si>
    <t>中层</t>
    <phoneticPr fontId="3" type="noConversion"/>
  </si>
  <si>
    <t>底层</t>
    <phoneticPr fontId="3" type="noConversion"/>
  </si>
  <si>
    <t>低层</t>
    <phoneticPr fontId="3" type="noConversion"/>
  </si>
  <si>
    <t>高层</t>
    <phoneticPr fontId="3" type="noConversion"/>
  </si>
  <si>
    <t>中层</t>
    <phoneticPr fontId="3" type="noConversion"/>
  </si>
  <si>
    <t>4F</t>
    <phoneticPr fontId="24" type="noConversion"/>
  </si>
  <si>
    <t>1F</t>
    <phoneticPr fontId="24" type="noConversion"/>
  </si>
  <si>
    <t>2F</t>
    <phoneticPr fontId="24" type="noConversion"/>
  </si>
  <si>
    <t>7F</t>
    <phoneticPr fontId="24" type="noConversion"/>
  </si>
  <si>
    <t>5F</t>
    <phoneticPr fontId="24" type="noConversion"/>
  </si>
  <si>
    <t>1F</t>
    <phoneticPr fontId="134" type="noConversion"/>
  </si>
  <si>
    <t>2F</t>
    <phoneticPr fontId="134" type="noConversion"/>
  </si>
  <si>
    <t>3F</t>
    <phoneticPr fontId="134" type="noConversion"/>
  </si>
  <si>
    <t>5F</t>
    <phoneticPr fontId="134" type="noConversion"/>
  </si>
  <si>
    <t>6F</t>
    <phoneticPr fontId="134" type="noConversion"/>
  </si>
  <si>
    <t>西北</t>
    <phoneticPr fontId="3" type="noConversion"/>
  </si>
  <si>
    <t>装修</t>
    <phoneticPr fontId="3" type="noConversion"/>
  </si>
  <si>
    <t>建成年代</t>
    <phoneticPr fontId="3" type="noConversion"/>
  </si>
  <si>
    <t>建成年代</t>
    <phoneticPr fontId="3" type="noConversion"/>
  </si>
  <si>
    <t>综合成新</t>
    <phoneticPr fontId="3" type="noConversion"/>
  </si>
  <si>
    <t>直线成新</t>
    <phoneticPr fontId="3" type="noConversion"/>
  </si>
  <si>
    <t>观察成新</t>
    <phoneticPr fontId="3" type="noConversion"/>
  </si>
  <si>
    <t>变化</t>
    <phoneticPr fontId="3" type="noConversion"/>
  </si>
  <si>
    <t>——</t>
    <phoneticPr fontId="3" type="noConversion"/>
  </si>
  <si>
    <t>丰台区大红门春泽路</t>
    <phoneticPr fontId="134" type="noConversion"/>
  </si>
  <si>
    <t xml:space="preserve">  2023年8月 　　　　　　　　　　　　　　　　单位：%</t>
  </si>
  <si>
    <t>项 目</t>
  </si>
  <si>
    <t xml:space="preserve"> 90平方米及以下</t>
  </si>
  <si>
    <t xml:space="preserve"> 90-144平方米</t>
  </si>
  <si>
    <t xml:space="preserve"> 144平方米以上</t>
  </si>
  <si>
    <t>链家8月挂牌价</t>
  </si>
  <si>
    <t>链家9月挂牌价</t>
    <phoneticPr fontId="3" type="noConversion"/>
  </si>
  <si>
    <t>建欣苑三里</t>
    <phoneticPr fontId="3" type="noConversion"/>
  </si>
  <si>
    <t>高/12</t>
    <phoneticPr fontId="3" type="noConversion"/>
  </si>
  <si>
    <t>南北东</t>
    <phoneticPr fontId="3" type="noConversion"/>
  </si>
  <si>
    <t>高/6</t>
    <phoneticPr fontId="3" type="noConversion"/>
  </si>
  <si>
    <t>南北</t>
    <phoneticPr fontId="3" type="noConversion"/>
  </si>
  <si>
    <t>建欣苑四里</t>
    <phoneticPr fontId="3" type="noConversion"/>
  </si>
  <si>
    <t>低/6</t>
    <phoneticPr fontId="3" type="noConversion"/>
  </si>
  <si>
    <t>南顶村</t>
    <phoneticPr fontId="3" type="noConversion"/>
  </si>
  <si>
    <t>高层</t>
    <phoneticPr fontId="3" type="noConversion"/>
  </si>
  <si>
    <t>南北</t>
    <phoneticPr fontId="3" type="noConversion"/>
  </si>
  <si>
    <t>简装</t>
    <phoneticPr fontId="3" type="noConversion"/>
  </si>
  <si>
    <t>一类经济适用房</t>
    <phoneticPr fontId="3" type="noConversion"/>
  </si>
  <si>
    <t>高/6</t>
    <phoneticPr fontId="3" type="noConversion"/>
  </si>
  <si>
    <t>南北</t>
    <phoneticPr fontId="3" type="noConversion"/>
  </si>
  <si>
    <t>交易权属</t>
    <phoneticPr fontId="3" type="noConversion"/>
  </si>
  <si>
    <t>已购公房</t>
    <phoneticPr fontId="3" type="noConversion"/>
  </si>
  <si>
    <t xml:space="preserve"> </t>
    <phoneticPr fontId="3" type="noConversion"/>
  </si>
  <si>
    <t xml:space="preserve">   </t>
    <phoneticPr fontId="3" type="noConversion"/>
  </si>
  <si>
    <t>建欣苑四里</t>
    <phoneticPr fontId="3" type="noConversion"/>
  </si>
  <si>
    <t>高/6</t>
    <phoneticPr fontId="3" type="noConversion"/>
  </si>
  <si>
    <t>南北</t>
    <phoneticPr fontId="3" type="noConversion"/>
  </si>
  <si>
    <t>链家网无截图</t>
    <phoneticPr fontId="3" type="noConversion"/>
  </si>
  <si>
    <t>中/6</t>
    <phoneticPr fontId="3" type="noConversion"/>
  </si>
  <si>
    <t>东西</t>
    <phoneticPr fontId="3" type="noConversion"/>
  </si>
  <si>
    <r>
      <rPr>
        <sz val="10"/>
        <color theme="9" tint="-0.249977111117893"/>
        <rFont val="宋体"/>
        <family val="3"/>
        <charset val="134"/>
      </rPr>
      <t>丰台区大红门一期</t>
    </r>
    <r>
      <rPr>
        <sz val="10"/>
        <color theme="9" tint="-0.249977111117893"/>
        <rFont val="Arial"/>
        <family val="2"/>
      </rPr>
      <t>A</t>
    </r>
    <r>
      <rPr>
        <sz val="10"/>
        <color theme="9" tint="-0.249977111117893"/>
        <rFont val="宋体"/>
        <family val="3"/>
        <charset val="134"/>
      </rPr>
      <t>区棚户区改造项目</t>
    </r>
    <phoneticPr fontId="6" type="noConversion"/>
  </si>
  <si>
    <t>北京市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</si>
</sst>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404040"/>
      <name val="微软雅黑"/>
      <family val="2"/>
      <charset val="134"/>
    </font>
    <font>
      <sz val="10"/>
      <color rgb="FF404040"/>
      <name val="宋体"/>
      <family val="3"/>
      <charset val="134"/>
    </font>
    <font>
      <sz val="10"/>
      <color rgb="FF000000"/>
      <name val="宋体"/>
      <family val="3"/>
      <charset val="134"/>
      <scheme val="minor"/>
    </font>
    <font>
      <u/>
      <sz val="11"/>
      <color theme="10"/>
      <name val="宋体"/>
      <family val="3"/>
      <charset val="134"/>
      <scheme val="minor"/>
    </font>
    <font>
      <sz val="10"/>
      <name val="微软雅黑"/>
      <family val="2"/>
      <charset val="134"/>
    </font>
    <font>
      <b/>
      <sz val="10.5"/>
      <name val="华文细黑"/>
      <family val="3"/>
      <charset val="134"/>
    </font>
    <font>
      <sz val="10.5"/>
      <name val="华文细黑"/>
      <family val="3"/>
      <charset val="134"/>
    </font>
    <font>
      <sz val="10"/>
      <color rgb="FF000000"/>
      <name val="微软雅黑"/>
      <family val="2"/>
      <charset val="134"/>
    </font>
    <font>
      <sz val="11"/>
      <name val="宋体"/>
      <family val="3"/>
      <charset val="134"/>
      <scheme val="minor"/>
    </font>
    <font>
      <sz val="10"/>
      <name val="宋体"/>
      <family val="3"/>
      <charset val="134"/>
      <scheme val="minor"/>
    </font>
    <font>
      <b/>
      <sz val="12"/>
      <name val="SimSun"/>
      <family val="3"/>
      <charset val="134"/>
    </font>
    <font>
      <sz val="11"/>
      <name val="SimSun"/>
      <family val="3"/>
      <charset val="134"/>
    </font>
    <font>
      <sz val="10"/>
      <name val="华文细黑"/>
      <family val="3"/>
      <charset val="134"/>
    </font>
    <font>
      <u/>
      <sz val="10"/>
      <name val="华文细黑"/>
      <family val="3"/>
      <charset val="134"/>
    </font>
    <font>
      <u/>
      <sz val="10.5"/>
      <name val="华文细黑"/>
      <family val="3"/>
      <charset val="134"/>
    </font>
    <font>
      <i/>
      <sz val="11"/>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bgColor indexed="64"/>
      </patternFill>
    </fill>
    <fill>
      <patternFill patternType="solid">
        <fgColor theme="4" tint="0.39997558519241921"/>
        <bgColor indexed="64"/>
      </patternFill>
    </fill>
    <fill>
      <patternFill patternType="solid">
        <fgColor theme="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2" fillId="0" borderId="0" applyNumberFormat="0" applyFill="0" applyBorder="0" applyAlignment="0" applyProtection="0">
      <alignment vertical="center"/>
    </xf>
  </cellStyleXfs>
  <cellXfs count="36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9" fillId="22" borderId="43" xfId="0" applyFont="1" applyFill="1" applyBorder="1" applyAlignment="1">
      <alignment horizontal="left" vertical="center"/>
    </xf>
    <xf numFmtId="0" fontId="278" fillId="22" borderId="43" xfId="0" applyFont="1" applyFill="1" applyBorder="1" applyAlignment="1">
      <alignment horizontal="left" vertical="center"/>
    </xf>
    <xf numFmtId="0" fontId="163" fillId="7" borderId="43" xfId="0" applyFont="1" applyFill="1" applyBorder="1" applyAlignment="1">
      <alignment horizontal="left" vertical="center"/>
    </xf>
    <xf numFmtId="0" fontId="271" fillId="7" borderId="43" xfId="0" applyFont="1" applyFill="1" applyBorder="1" applyAlignment="1">
      <alignment horizontal="left" vertical="center"/>
    </xf>
    <xf numFmtId="0" fontId="272" fillId="7" borderId="0" xfId="20" applyFill="1" applyAlignment="1">
      <alignment horizontal="left" vertical="center"/>
    </xf>
    <xf numFmtId="0" fontId="0" fillId="7" borderId="0" xfId="0" applyFill="1" applyAlignment="1">
      <alignment horizontal="left" vertical="center"/>
    </xf>
    <xf numFmtId="0" fontId="163" fillId="7" borderId="47" xfId="0" applyFont="1" applyFill="1" applyBorder="1" applyAlignment="1">
      <alignment horizontal="left" vertical="center"/>
    </xf>
    <xf numFmtId="0" fontId="271" fillId="7" borderId="47" xfId="0" applyFont="1" applyFill="1" applyBorder="1" applyAlignment="1">
      <alignment horizontal="left" vertical="center"/>
    </xf>
    <xf numFmtId="0" fontId="276" fillId="7" borderId="43" xfId="0" applyFont="1" applyFill="1" applyBorder="1" applyAlignment="1">
      <alignment horizontal="left" vertical="center"/>
    </xf>
    <xf numFmtId="0" fontId="276" fillId="7" borderId="47" xfId="0" applyFont="1" applyFill="1" applyBorder="1" applyAlignment="1">
      <alignment horizontal="left" vertical="center"/>
    </xf>
    <xf numFmtId="0" fontId="19" fillId="22" borderId="47" xfId="0" applyFont="1" applyFill="1" applyBorder="1" applyAlignment="1">
      <alignment horizontal="left" vertical="center"/>
    </xf>
    <xf numFmtId="0" fontId="277" fillId="22" borderId="0" xfId="0" applyFont="1" applyFill="1" applyAlignment="1">
      <alignment horizontal="left" vertical="center"/>
    </xf>
    <xf numFmtId="0" fontId="273" fillId="22" borderId="43" xfId="0" applyFont="1" applyFill="1" applyBorder="1" applyAlignment="1">
      <alignment horizontal="left" vertical="center"/>
    </xf>
    <xf numFmtId="0" fontId="273" fillId="22" borderId="47" xfId="0" applyFont="1" applyFill="1" applyBorder="1" applyAlignment="1">
      <alignment horizontal="left" vertical="center"/>
    </xf>
    <xf numFmtId="0" fontId="278" fillId="22" borderId="47" xfId="0" applyFont="1" applyFill="1" applyBorder="1" applyAlignment="1">
      <alignment horizontal="left" vertical="center"/>
    </xf>
    <xf numFmtId="0" fontId="95" fillId="7" borderId="0" xfId="0" applyFont="1" applyFill="1" applyAlignment="1">
      <alignment horizontal="left" vertical="center"/>
    </xf>
    <xf numFmtId="0" fontId="0" fillId="8" borderId="0" xfId="0" applyFill="1" applyAlignment="1">
      <alignment horizontal="left" vertical="center"/>
    </xf>
    <xf numFmtId="49" fontId="95" fillId="7" borderId="0" xfId="0" applyNumberFormat="1" applyFont="1" applyFill="1" applyAlignment="1">
      <alignment horizontal="left" vertical="center"/>
    </xf>
    <xf numFmtId="1" fontId="0" fillId="7" borderId="0" xfId="0" applyNumberFormat="1" applyFill="1" applyAlignment="1">
      <alignment horizontal="left" vertical="center"/>
    </xf>
    <xf numFmtId="0" fontId="128" fillId="0" borderId="41" xfId="0" applyFont="1" applyBorder="1" applyAlignment="1" applyProtection="1">
      <alignment horizontal="center" vertical="center" wrapText="1"/>
      <protection locked="0"/>
    </xf>
    <xf numFmtId="0" fontId="128" fillId="12" borderId="5" xfId="0" applyFont="1" applyFill="1" applyBorder="1" applyAlignment="1" applyProtection="1">
      <alignment horizontal="center" vertical="center" wrapText="1"/>
      <protection locked="0"/>
    </xf>
    <xf numFmtId="0" fontId="128" fillId="12" borderId="41" xfId="0" applyFont="1" applyFill="1" applyBorder="1" applyAlignment="1" applyProtection="1">
      <alignment horizontal="center" vertical="center" wrapText="1"/>
      <protection locked="0"/>
    </xf>
    <xf numFmtId="0" fontId="128" fillId="12" borderId="44" xfId="0" applyFont="1" applyFill="1" applyBorder="1" applyAlignment="1" applyProtection="1">
      <alignment horizontal="center" vertical="center" wrapText="1"/>
      <protection locked="0"/>
    </xf>
    <xf numFmtId="0" fontId="44" fillId="12" borderId="78" xfId="0" applyFont="1" applyFill="1" applyBorder="1" applyAlignment="1" applyProtection="1">
      <alignment horizontal="center" vertical="center" wrapText="1"/>
      <protection locked="0"/>
    </xf>
    <xf numFmtId="49" fontId="51" fillId="5" borderId="23" xfId="0" applyNumberFormat="1"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35" fillId="6" borderId="0" xfId="0" applyFont="1" applyFill="1" applyProtection="1">
      <alignment vertical="center"/>
      <protection locked="0"/>
    </xf>
    <xf numFmtId="10" fontId="57" fillId="6" borderId="0" xfId="0" applyNumberFormat="1" applyFont="1" applyFill="1" applyProtection="1">
      <alignment vertical="center"/>
      <protection locked="0"/>
    </xf>
    <xf numFmtId="0" fontId="128" fillId="7" borderId="5" xfId="0" applyFont="1" applyFill="1" applyBorder="1" applyAlignment="1" applyProtection="1">
      <alignment horizontal="center" vertical="center" wrapText="1"/>
      <protection locked="0"/>
    </xf>
    <xf numFmtId="0" fontId="128" fillId="7" borderId="41"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31" fillId="6" borderId="0" xfId="0" applyFont="1" applyFill="1" applyProtection="1">
      <alignment vertical="center"/>
      <protection locked="0"/>
    </xf>
    <xf numFmtId="0" fontId="163" fillId="12" borderId="43" xfId="0" applyFont="1" applyFill="1" applyBorder="1" applyAlignment="1">
      <alignment horizontal="center" vertical="center" wrapText="1"/>
    </xf>
    <xf numFmtId="0" fontId="163" fillId="12" borderId="47" xfId="0" applyFont="1" applyFill="1" applyBorder="1" applyAlignment="1">
      <alignment horizontal="center" vertical="center" wrapText="1"/>
    </xf>
    <xf numFmtId="0" fontId="163" fillId="12" borderId="43" xfId="0" applyFont="1" applyFill="1" applyBorder="1" applyAlignment="1">
      <alignment horizontal="left" vertical="center" wrapText="1"/>
    </xf>
    <xf numFmtId="0" fontId="163" fillId="22" borderId="43" xfId="0" applyFont="1" applyFill="1" applyBorder="1" applyAlignment="1">
      <alignment horizontal="left" vertical="center" wrapText="1"/>
    </xf>
    <xf numFmtId="0" fontId="163" fillId="22" borderId="43" xfId="0" applyFont="1" applyFill="1" applyBorder="1" applyAlignment="1">
      <alignment horizontal="center" vertical="center" wrapText="1"/>
    </xf>
    <xf numFmtId="0" fontId="163" fillId="22" borderId="47" xfId="0" applyFont="1" applyFill="1" applyBorder="1" applyAlignment="1">
      <alignment horizontal="center" vertical="center" wrapText="1"/>
    </xf>
    <xf numFmtId="0" fontId="44" fillId="7" borderId="78" xfId="0" applyFont="1" applyFill="1" applyBorder="1" applyAlignment="1" applyProtection="1">
      <alignment horizontal="center" vertical="center" wrapText="1"/>
      <protection locked="0"/>
    </xf>
    <xf numFmtId="0" fontId="57" fillId="12" borderId="0" xfId="0" applyFont="1" applyFill="1" applyProtection="1">
      <alignment vertical="center"/>
      <protection locked="0"/>
    </xf>
    <xf numFmtId="0" fontId="135" fillId="12" borderId="0" xfId="0" applyFont="1" applyFill="1" applyAlignment="1" applyProtection="1">
      <alignment horizontal="center" vertical="center"/>
      <protection locked="0"/>
    </xf>
    <xf numFmtId="10" fontId="57" fillId="12" borderId="0" xfId="0" applyNumberFormat="1" applyFont="1" applyFill="1" applyAlignment="1" applyProtection="1">
      <alignment horizontal="center" vertical="center"/>
      <protection locked="0"/>
    </xf>
    <xf numFmtId="10" fontId="57" fillId="6" borderId="0" xfId="0" applyNumberFormat="1" applyFont="1" applyFill="1" applyAlignment="1" applyProtection="1">
      <alignment horizontal="center" vertical="center"/>
      <protection locked="0"/>
    </xf>
    <xf numFmtId="181" fontId="44" fillId="0" borderId="37" xfId="0" applyNumberFormat="1" applyFont="1" applyBorder="1" applyAlignment="1" applyProtection="1">
      <alignment horizontal="center" vertical="center" wrapText="1"/>
      <protection locked="0"/>
    </xf>
    <xf numFmtId="181" fontId="44" fillId="0" borderId="3" xfId="0" applyNumberFormat="1" applyFont="1" applyBorder="1" applyAlignment="1" applyProtection="1">
      <alignment horizontal="center" vertical="center" wrapText="1"/>
      <protection locked="0"/>
    </xf>
    <xf numFmtId="181" fontId="44" fillId="0" borderId="23" xfId="0" applyNumberFormat="1" applyFont="1" applyBorder="1" applyAlignment="1" applyProtection="1">
      <alignment horizontal="center" vertical="center" wrapText="1"/>
      <protection locked="0"/>
    </xf>
    <xf numFmtId="9" fontId="51" fillId="0" borderId="2" xfId="0" applyNumberFormat="1" applyFont="1" applyBorder="1" applyAlignment="1" applyProtection="1">
      <alignment horizontal="center" vertical="center" wrapText="1"/>
      <protection locked="0"/>
    </xf>
    <xf numFmtId="9" fontId="51" fillId="0" borderId="38" xfId="0" applyNumberFormat="1" applyFont="1" applyBorder="1" applyAlignment="1" applyProtection="1">
      <alignment horizontal="center" vertical="center" wrapText="1"/>
      <protection locked="0"/>
    </xf>
    <xf numFmtId="10" fontId="51" fillId="0" borderId="38" xfId="0" applyNumberFormat="1" applyFont="1" applyBorder="1" applyAlignment="1" applyProtection="1">
      <alignment horizontal="center" vertical="center" wrapText="1"/>
      <protection locked="0"/>
    </xf>
    <xf numFmtId="188" fontId="279" fillId="6" borderId="0" xfId="0" applyNumberFormat="1" applyFont="1" applyFill="1" applyAlignment="1" applyProtection="1">
      <alignment horizontal="left" vertical="center"/>
      <protection locked="0"/>
    </xf>
    <xf numFmtId="0" fontId="0" fillId="24" borderId="0" xfId="0" applyFill="1" applyAlignment="1">
      <alignment horizontal="left" vertical="center"/>
    </xf>
    <xf numFmtId="49" fontId="280" fillId="2" borderId="7" xfId="0" applyNumberFormat="1" applyFont="1" applyFill="1" applyBorder="1" applyAlignment="1" applyProtection="1">
      <alignment horizontal="center" vertical="center" wrapText="1"/>
      <protection locked="0"/>
    </xf>
    <xf numFmtId="0" fontId="94" fillId="0" borderId="52" xfId="0" applyFont="1" applyFill="1" applyBorder="1" applyAlignment="1" applyProtection="1">
      <alignment horizontal="center" vertical="center" wrapText="1"/>
      <protection locked="0"/>
    </xf>
    <xf numFmtId="0" fontId="163" fillId="12" borderId="43" xfId="0" applyFont="1" applyFill="1" applyBorder="1" applyAlignment="1">
      <alignment horizontal="center" vertical="center" wrapText="1"/>
    </xf>
    <xf numFmtId="0" fontId="0" fillId="15" borderId="0" xfId="0" applyFill="1" applyAlignment="1">
      <alignment horizontal="left" vertical="center"/>
    </xf>
    <xf numFmtId="0" fontId="276" fillId="12" borderId="43" xfId="0" applyFont="1" applyFill="1" applyBorder="1" applyAlignment="1">
      <alignment horizontal="center" vertical="center" wrapText="1"/>
    </xf>
    <xf numFmtId="0" fontId="276" fillId="12" borderId="47" xfId="0" applyFont="1" applyFill="1" applyBorder="1" applyAlignment="1">
      <alignment horizontal="center" vertical="center" wrapText="1"/>
    </xf>
    <xf numFmtId="0" fontId="276" fillId="22" borderId="43" xfId="0" applyFont="1" applyFill="1" applyBorder="1" applyAlignment="1">
      <alignment horizontal="center" vertical="center" wrapText="1"/>
    </xf>
    <xf numFmtId="0" fontId="276" fillId="22" borderId="47" xfId="0" applyFont="1" applyFill="1" applyBorder="1" applyAlignment="1">
      <alignment horizontal="center" vertical="center" wrapText="1"/>
    </xf>
    <xf numFmtId="0" fontId="95" fillId="14" borderId="0" xfId="0" applyFont="1" applyFill="1" applyAlignment="1">
      <alignment horizontal="left" vertical="center"/>
    </xf>
    <xf numFmtId="0" fontId="0" fillId="14" borderId="0" xfId="0" applyFill="1" applyAlignment="1">
      <alignment horizontal="left" vertical="center"/>
    </xf>
    <xf numFmtId="1" fontId="0" fillId="14" borderId="0" xfId="0" applyNumberFormat="1" applyFill="1" applyAlignment="1">
      <alignment horizontal="left" vertical="center"/>
    </xf>
    <xf numFmtId="0" fontId="224" fillId="0" borderId="44" xfId="0" applyFont="1" applyBorder="1" applyAlignment="1" applyProtection="1">
      <alignment horizontal="center" vertical="center" wrapText="1"/>
      <protection locked="0"/>
    </xf>
    <xf numFmtId="0" fontId="163" fillId="12" borderId="43" xfId="0" applyFont="1" applyFill="1" applyBorder="1" applyAlignment="1">
      <alignment horizontal="center" vertical="center" wrapText="1"/>
    </xf>
    <xf numFmtId="0" fontId="274" fillId="25" borderId="0" xfId="19" applyFont="1" applyFill="1" applyBorder="1" applyAlignment="1">
      <alignment horizontal="left" vertical="center"/>
    </xf>
    <xf numFmtId="183" fontId="274" fillId="25" borderId="0" xfId="19" applyNumberFormat="1" applyFont="1" applyFill="1" applyBorder="1" applyAlignment="1">
      <alignment horizontal="left" vertical="center"/>
    </xf>
    <xf numFmtId="0" fontId="274" fillId="25" borderId="0" xfId="19" applyNumberFormat="1" applyFont="1" applyFill="1" applyBorder="1" applyAlignment="1">
      <alignment horizontal="left" vertical="center"/>
    </xf>
    <xf numFmtId="0" fontId="275" fillId="25" borderId="0" xfId="19" applyFont="1" applyFill="1" applyBorder="1" applyAlignment="1">
      <alignment horizontal="left" vertical="center"/>
    </xf>
    <xf numFmtId="0" fontId="274" fillId="23" borderId="0" xfId="19" applyFont="1" applyFill="1" applyBorder="1" applyAlignment="1">
      <alignment horizontal="left" vertical="center"/>
    </xf>
    <xf numFmtId="183" fontId="274" fillId="23" borderId="0" xfId="19" applyNumberFormat="1" applyFont="1" applyFill="1" applyBorder="1" applyAlignment="1">
      <alignment horizontal="left" vertical="center"/>
    </xf>
    <xf numFmtId="0" fontId="274" fillId="23" borderId="0" xfId="19" applyNumberFormat="1" applyFont="1" applyFill="1" applyBorder="1" applyAlignment="1">
      <alignment horizontal="left" vertical="center"/>
    </xf>
    <xf numFmtId="10" fontId="274" fillId="23" borderId="0" xfId="19" applyNumberFormat="1" applyFont="1" applyFill="1" applyBorder="1" applyAlignment="1">
      <alignment horizontal="left" vertical="center"/>
    </xf>
    <xf numFmtId="183" fontId="281" fillId="19" borderId="0" xfId="0" applyNumberFormat="1" applyFont="1" applyFill="1" applyBorder="1" applyAlignment="1">
      <alignment horizontal="left" vertical="center"/>
    </xf>
    <xf numFmtId="0" fontId="275" fillId="19" borderId="0" xfId="19" applyNumberFormat="1" applyFont="1" applyFill="1" applyBorder="1" applyAlignment="1">
      <alignment horizontal="left" vertical="center"/>
    </xf>
    <xf numFmtId="183" fontId="275" fillId="19" borderId="0" xfId="19" applyNumberFormat="1" applyFont="1" applyFill="1" applyBorder="1" applyAlignment="1">
      <alignment horizontal="left" vertical="center"/>
    </xf>
    <xf numFmtId="0" fontId="275" fillId="19" borderId="0" xfId="19" applyFont="1" applyFill="1" applyBorder="1" applyAlignment="1">
      <alignment horizontal="left" vertical="center"/>
    </xf>
    <xf numFmtId="183" fontId="281" fillId="0" borderId="0" xfId="0" applyNumberFormat="1" applyFont="1" applyFill="1" applyBorder="1" applyAlignment="1">
      <alignment horizontal="left" vertical="center"/>
    </xf>
    <xf numFmtId="0" fontId="275" fillId="0" borderId="0" xfId="19" applyNumberFormat="1" applyFont="1" applyFill="1" applyBorder="1" applyAlignment="1">
      <alignment horizontal="left" vertical="center"/>
    </xf>
    <xf numFmtId="183" fontId="275" fillId="0" borderId="0" xfId="19" applyNumberFormat="1" applyFont="1" applyFill="1" applyBorder="1" applyAlignment="1">
      <alignment horizontal="left" vertical="center"/>
    </xf>
    <xf numFmtId="0" fontId="275" fillId="0" borderId="0" xfId="19" applyFont="1" applyFill="1" applyBorder="1" applyAlignment="1">
      <alignment horizontal="left" vertical="center"/>
    </xf>
    <xf numFmtId="183" fontId="281" fillId="0" borderId="0" xfId="0" applyNumberFormat="1" applyFont="1" applyBorder="1" applyAlignment="1">
      <alignment horizontal="left" vertical="center"/>
    </xf>
    <xf numFmtId="0" fontId="275" fillId="0" borderId="0" xfId="19" applyNumberFormat="1" applyFont="1" applyBorder="1" applyAlignment="1">
      <alignment horizontal="left" vertical="center"/>
    </xf>
    <xf numFmtId="183" fontId="275" fillId="0" borderId="0" xfId="19" applyNumberFormat="1" applyFont="1" applyBorder="1" applyAlignment="1">
      <alignment horizontal="left" vertical="center"/>
    </xf>
    <xf numFmtId="0" fontId="275" fillId="0" borderId="0" xfId="19" applyFont="1" applyBorder="1" applyAlignment="1">
      <alignment horizontal="left" vertical="center"/>
    </xf>
    <xf numFmtId="183" fontId="281" fillId="26" borderId="0" xfId="0" applyNumberFormat="1" applyFont="1" applyFill="1" applyBorder="1" applyAlignment="1">
      <alignment horizontal="left" vertical="center"/>
    </xf>
    <xf numFmtId="0" fontId="275" fillId="26" borderId="0" xfId="19" applyNumberFormat="1" applyFont="1" applyFill="1" applyBorder="1" applyAlignment="1">
      <alignment horizontal="left" vertical="center"/>
    </xf>
    <xf numFmtId="183" fontId="275" fillId="26" borderId="0" xfId="19" applyNumberFormat="1" applyFont="1" applyFill="1" applyBorder="1" applyAlignment="1">
      <alignment horizontal="left" vertical="center"/>
    </xf>
    <xf numFmtId="0" fontId="275" fillId="26" borderId="0" xfId="19" applyFont="1" applyFill="1" applyBorder="1" applyAlignment="1">
      <alignment horizontal="left" vertical="center"/>
    </xf>
    <xf numFmtId="183" fontId="281" fillId="19" borderId="47" xfId="0" applyNumberFormat="1" applyFont="1" applyFill="1" applyBorder="1" applyAlignment="1">
      <alignment horizontal="left" vertical="center"/>
    </xf>
    <xf numFmtId="0" fontId="275" fillId="19" borderId="47" xfId="19" applyNumberFormat="1" applyFont="1" applyFill="1" applyBorder="1" applyAlignment="1">
      <alignment horizontal="left" vertical="center"/>
    </xf>
    <xf numFmtId="183" fontId="275" fillId="19" borderId="47" xfId="19" applyNumberFormat="1" applyFont="1" applyFill="1" applyBorder="1" applyAlignment="1">
      <alignment horizontal="left" vertical="center"/>
    </xf>
    <xf numFmtId="0" fontId="275" fillId="19" borderId="47" xfId="19" applyFont="1" applyFill="1" applyBorder="1" applyAlignment="1">
      <alignment horizontal="left" vertical="center"/>
    </xf>
    <xf numFmtId="183" fontId="281" fillId="0" borderId="47" xfId="0" applyNumberFormat="1" applyFont="1" applyBorder="1" applyAlignment="1">
      <alignment horizontal="left" vertical="center"/>
    </xf>
    <xf numFmtId="0" fontId="275" fillId="0" borderId="47" xfId="19" applyNumberFormat="1" applyFont="1" applyBorder="1" applyAlignment="1">
      <alignment horizontal="left" vertical="center"/>
    </xf>
    <xf numFmtId="183" fontId="275" fillId="0" borderId="47" xfId="19" applyNumberFormat="1" applyFont="1" applyBorder="1" applyAlignment="1">
      <alignment horizontal="left" vertical="center"/>
    </xf>
    <xf numFmtId="0" fontId="275" fillId="0" borderId="47" xfId="19" applyFont="1" applyBorder="1" applyAlignment="1">
      <alignment horizontal="left" vertical="center"/>
    </xf>
    <xf numFmtId="0" fontId="274" fillId="23" borderId="0" xfId="19" applyNumberFormat="1" applyFont="1" applyFill="1" applyBorder="1" applyAlignment="1">
      <alignment horizontal="right" vertical="center"/>
    </xf>
    <xf numFmtId="0" fontId="274" fillId="25" borderId="0" xfId="19" applyNumberFormat="1" applyFont="1" applyFill="1" applyBorder="1" applyAlignment="1">
      <alignment horizontal="left" vertical="center" wrapText="1"/>
    </xf>
    <xf numFmtId="0" fontId="281" fillId="19" borderId="0" xfId="0" applyNumberFormat="1" applyFont="1" applyFill="1" applyBorder="1" applyAlignment="1">
      <alignment horizontal="left" vertical="center"/>
    </xf>
    <xf numFmtId="0" fontId="281" fillId="0" borderId="0" xfId="0" applyNumberFormat="1" applyFont="1" applyFill="1" applyBorder="1" applyAlignment="1">
      <alignment horizontal="left" vertical="center"/>
    </xf>
    <xf numFmtId="0" fontId="281" fillId="0" borderId="0" xfId="0" applyNumberFormat="1" applyFont="1" applyBorder="1" applyAlignment="1">
      <alignment horizontal="left" vertical="center"/>
    </xf>
    <xf numFmtId="0" fontId="281" fillId="26" borderId="0" xfId="0" applyNumberFormat="1" applyFont="1" applyFill="1" applyBorder="1" applyAlignment="1">
      <alignment horizontal="left" vertical="center"/>
    </xf>
    <xf numFmtId="0" fontId="281" fillId="19" borderId="47" xfId="0" applyNumberFormat="1" applyFont="1" applyFill="1" applyBorder="1" applyAlignment="1">
      <alignment horizontal="left" vertical="center"/>
    </xf>
    <xf numFmtId="0" fontId="281" fillId="0" borderId="47" xfId="0" applyNumberFormat="1" applyFont="1" applyBorder="1" applyAlignment="1">
      <alignment horizontal="left" vertical="center"/>
    </xf>
    <xf numFmtId="0" fontId="275" fillId="23" borderId="0" xfId="19" applyNumberFormat="1" applyFont="1" applyFill="1" applyBorder="1" applyAlignment="1">
      <alignment horizontal="left" vertical="center"/>
    </xf>
    <xf numFmtId="10" fontId="275" fillId="23" borderId="0" xfId="19" applyNumberFormat="1" applyFont="1" applyFill="1" applyBorder="1" applyAlignment="1">
      <alignment horizontal="left" vertical="center"/>
    </xf>
    <xf numFmtId="183" fontId="275" fillId="23" borderId="0" xfId="19" applyNumberFormat="1" applyFont="1" applyFill="1" applyBorder="1" applyAlignment="1">
      <alignment horizontal="left" vertical="center"/>
    </xf>
    <xf numFmtId="0" fontId="275" fillId="23" borderId="0" xfId="19" applyFont="1" applyFill="1" applyBorder="1" applyAlignment="1">
      <alignment horizontal="left" vertical="center"/>
    </xf>
    <xf numFmtId="0" fontId="282" fillId="0" borderId="0" xfId="0" applyNumberFormat="1" applyFont="1" applyFill="1" applyBorder="1" applyAlignment="1">
      <alignment horizontal="left" vertical="center"/>
    </xf>
    <xf numFmtId="183" fontId="282" fillId="0" borderId="0" xfId="0" applyNumberFormat="1" applyFont="1" applyFill="1" applyBorder="1" applyAlignment="1">
      <alignment horizontal="left" vertical="center"/>
    </xf>
    <xf numFmtId="0" fontId="283" fillId="0" borderId="0" xfId="19" applyNumberFormat="1" applyFont="1" applyFill="1" applyBorder="1" applyAlignment="1">
      <alignment horizontal="left" vertical="center"/>
    </xf>
    <xf numFmtId="183" fontId="283" fillId="0" borderId="0" xfId="19" applyNumberFormat="1" applyFont="1" applyFill="1" applyBorder="1" applyAlignment="1">
      <alignment horizontal="left" vertical="center"/>
    </xf>
    <xf numFmtId="0" fontId="283" fillId="0" borderId="0" xfId="19" applyFont="1" applyFill="1" applyBorder="1" applyAlignment="1">
      <alignment horizontal="left" vertical="center"/>
    </xf>
    <xf numFmtId="0" fontId="282" fillId="26" borderId="0" xfId="0" applyNumberFormat="1" applyFont="1" applyFill="1" applyBorder="1" applyAlignment="1">
      <alignment horizontal="left" vertical="center"/>
    </xf>
    <xf numFmtId="183" fontId="282" fillId="26" borderId="0" xfId="0" applyNumberFormat="1" applyFont="1" applyFill="1" applyBorder="1" applyAlignment="1">
      <alignment horizontal="left" vertical="center"/>
    </xf>
    <xf numFmtId="0" fontId="283" fillId="26" borderId="0" xfId="19" applyNumberFormat="1" applyFont="1" applyFill="1" applyBorder="1" applyAlignment="1">
      <alignment horizontal="left" vertical="center"/>
    </xf>
    <xf numFmtId="183" fontId="283" fillId="26" borderId="0" xfId="19" applyNumberFormat="1" applyFont="1" applyFill="1" applyBorder="1" applyAlignment="1">
      <alignment horizontal="left" vertical="center"/>
    </xf>
    <xf numFmtId="0" fontId="283" fillId="26" borderId="0" xfId="19" applyFont="1" applyFill="1" applyBorder="1" applyAlignment="1">
      <alignment horizontal="left" vertical="center"/>
    </xf>
    <xf numFmtId="49" fontId="185" fillId="0" borderId="42" xfId="0" applyNumberFormat="1" applyFont="1" applyBorder="1" applyProtection="1">
      <alignment vertical="center"/>
      <protection locked="0"/>
    </xf>
    <xf numFmtId="0" fontId="77" fillId="7" borderId="60" xfId="0" applyFont="1" applyFill="1" applyBorder="1" applyAlignment="1" applyProtection="1">
      <alignment vertical="center" wrapText="1"/>
      <protection locked="0"/>
    </xf>
    <xf numFmtId="0" fontId="70" fillId="27" borderId="20" xfId="0" applyFont="1" applyFill="1" applyBorder="1" applyAlignment="1" applyProtection="1">
      <alignment vertical="center" wrapText="1"/>
      <protection locked="0"/>
    </xf>
    <xf numFmtId="0" fontId="281" fillId="27" borderId="0" xfId="0" applyNumberFormat="1" applyFont="1" applyFill="1" applyBorder="1" applyAlignment="1">
      <alignment horizontal="left" vertical="center"/>
    </xf>
    <xf numFmtId="183" fontId="281" fillId="27" borderId="0" xfId="0" applyNumberFormat="1" applyFont="1" applyFill="1" applyBorder="1" applyAlignment="1">
      <alignment horizontal="left" vertical="center"/>
    </xf>
    <xf numFmtId="0" fontId="275" fillId="27" borderId="0" xfId="19" applyNumberFormat="1" applyFont="1" applyFill="1" applyBorder="1" applyAlignment="1">
      <alignment horizontal="left" vertical="center"/>
    </xf>
    <xf numFmtId="183" fontId="275" fillId="27" borderId="0" xfId="19" applyNumberFormat="1" applyFont="1" applyFill="1" applyBorder="1" applyAlignment="1">
      <alignment horizontal="left" vertical="center"/>
    </xf>
    <xf numFmtId="0" fontId="275" fillId="27" borderId="0" xfId="19" applyFont="1" applyFill="1" applyBorder="1" applyAlignment="1">
      <alignment horizontal="left" vertical="center"/>
    </xf>
    <xf numFmtId="0" fontId="282" fillId="27" borderId="0" xfId="0" applyNumberFormat="1" applyFont="1" applyFill="1" applyBorder="1" applyAlignment="1">
      <alignment horizontal="left" vertical="center"/>
    </xf>
    <xf numFmtId="183" fontId="282" fillId="27" borderId="0" xfId="0" applyNumberFormat="1" applyFont="1" applyFill="1" applyBorder="1" applyAlignment="1">
      <alignment horizontal="left" vertical="center"/>
    </xf>
    <xf numFmtId="0" fontId="283" fillId="27" borderId="0" xfId="19" applyNumberFormat="1" applyFont="1" applyFill="1" applyBorder="1" applyAlignment="1">
      <alignment horizontal="left" vertical="center"/>
    </xf>
    <xf numFmtId="183" fontId="283" fillId="27" borderId="0" xfId="19" applyNumberFormat="1" applyFont="1" applyFill="1" applyBorder="1" applyAlignment="1">
      <alignment horizontal="left" vertical="center"/>
    </xf>
    <xf numFmtId="0" fontId="283" fillId="27" borderId="0" xfId="19"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9" fillId="7" borderId="19" xfId="0" applyFont="1" applyFill="1" applyBorder="1" applyAlignment="1">
      <alignment horizontal="left" vertical="center"/>
    </xf>
    <xf numFmtId="0" fontId="163" fillId="7" borderId="31" xfId="0" applyFont="1" applyFill="1" applyBorder="1" applyAlignment="1">
      <alignment horizontal="left" vertical="center"/>
    </xf>
    <xf numFmtId="0" fontId="163" fillId="7" borderId="43" xfId="0" applyFont="1" applyFill="1" applyBorder="1" applyAlignment="1">
      <alignment horizontal="left" vertical="center"/>
    </xf>
    <xf numFmtId="57" fontId="163" fillId="7" borderId="63" xfId="0" applyNumberFormat="1" applyFont="1" applyFill="1" applyBorder="1" applyAlignment="1">
      <alignment horizontal="left" vertical="center"/>
    </xf>
    <xf numFmtId="57" fontId="163" fillId="7" borderId="64" xfId="0" applyNumberFormat="1" applyFont="1" applyFill="1" applyBorder="1" applyAlignment="1">
      <alignment horizontal="left" vertical="center"/>
    </xf>
    <xf numFmtId="0" fontId="271" fillId="7" borderId="31" xfId="0" applyFont="1" applyFill="1" applyBorder="1" applyAlignment="1">
      <alignment horizontal="left" vertical="center"/>
    </xf>
    <xf numFmtId="0" fontId="271" fillId="7" borderId="43" xfId="0" applyFont="1" applyFill="1" applyBorder="1" applyAlignment="1">
      <alignment horizontal="left" vertical="center"/>
    </xf>
    <xf numFmtId="57" fontId="271" fillId="7" borderId="63" xfId="0" applyNumberFormat="1" applyFont="1" applyFill="1" applyBorder="1" applyAlignment="1">
      <alignment horizontal="left" vertical="center"/>
    </xf>
    <xf numFmtId="57" fontId="271" fillId="7" borderId="64" xfId="0" applyNumberFormat="1" applyFont="1" applyFill="1" applyBorder="1" applyAlignment="1">
      <alignment horizontal="left" vertical="center"/>
    </xf>
    <xf numFmtId="0" fontId="270" fillId="7" borderId="19" xfId="0" applyFont="1" applyFill="1" applyBorder="1" applyAlignment="1">
      <alignment horizontal="left" vertical="center"/>
    </xf>
    <xf numFmtId="0" fontId="163" fillId="12" borderId="47" xfId="0" applyFont="1" applyFill="1" applyBorder="1" applyAlignment="1">
      <alignment horizontal="right" vertical="center" wrapText="1"/>
    </xf>
    <xf numFmtId="0" fontId="163" fillId="12" borderId="31" xfId="0" applyFont="1" applyFill="1" applyBorder="1" applyAlignment="1">
      <alignment horizontal="center" vertical="center" wrapText="1"/>
    </xf>
    <xf numFmtId="0" fontId="163" fillId="12" borderId="43" xfId="0" applyFont="1" applyFill="1" applyBorder="1" applyAlignment="1">
      <alignment horizontal="center" vertical="center" wrapText="1"/>
    </xf>
    <xf numFmtId="57" fontId="163" fillId="12" borderId="63" xfId="0" applyNumberFormat="1" applyFont="1" applyFill="1" applyBorder="1" applyAlignment="1">
      <alignment horizontal="center" vertical="center" wrapText="1"/>
    </xf>
    <xf numFmtId="57" fontId="163" fillId="12" borderId="64" xfId="0" applyNumberFormat="1" applyFont="1" applyFill="1" applyBorder="1" applyAlignment="1">
      <alignment horizontal="center" vertical="center" wrapText="1"/>
    </xf>
    <xf numFmtId="0" fontId="128" fillId="12" borderId="7" xfId="0" applyNumberFormat="1" applyFont="1" applyFill="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284" fillId="0" borderId="54" xfId="0" applyFont="1" applyBorder="1" applyAlignment="1" applyProtection="1">
      <alignment horizontal="center" vertical="center" wrapText="1"/>
      <protection locked="0"/>
    </xf>
    <xf numFmtId="0" fontId="70" fillId="0" borderId="51" xfId="0" applyFont="1" applyFill="1" applyBorder="1" applyAlignment="1" applyProtection="1">
      <alignment vertical="center" wrapText="1"/>
      <protection locked="0"/>
    </xf>
    <xf numFmtId="0" fontId="128" fillId="7" borderId="41" xfId="0" applyNumberFormat="1" applyFont="1" applyFill="1" applyBorder="1" applyAlignment="1" applyProtection="1">
      <alignment horizontal="center" vertical="center" wrapText="1"/>
      <protection locked="0"/>
    </xf>
    <xf numFmtId="0" fontId="284" fillId="0" borderId="37" xfId="0" applyNumberFormat="1" applyFont="1" applyBorder="1" applyAlignment="1" applyProtection="1">
      <alignment horizontal="center" vertical="center" wrapText="1"/>
      <protection locked="0"/>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8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59</xdr:col>
      <xdr:colOff>862854</xdr:colOff>
      <xdr:row>0</xdr:row>
      <xdr:rowOff>56028</xdr:rowOff>
    </xdr:from>
    <xdr:to>
      <xdr:col>65</xdr:col>
      <xdr:colOff>11301</xdr:colOff>
      <xdr:row>12</xdr:row>
      <xdr:rowOff>224117</xdr:rowOff>
    </xdr:to>
    <xdr:pic>
      <xdr:nvPicPr>
        <xdr:cNvPr id="2" name="图片 1" descr="捕获.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44442" y="56028"/>
          <a:ext cx="6275388" cy="3182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Users\KZ\Downloads\&#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hyperlink" Target="http://tjj.beijing.gov.cn/tjsj_31433/yjdsj_31440/fj/2023/202303/t20230317_2938717.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北京市丰台区大红门一期A区棚户区改造项目预评估</v>
      </c>
    </row>
    <row r="3" spans="1:2">
      <c r="A3" s="1119" t="s">
        <v>523</v>
      </c>
      <c r="B3" s="1120">
        <f>'预评函-封皮'!B40</f>
        <v>0</v>
      </c>
    </row>
    <row r="4" spans="1:2">
      <c r="A4" s="1119" t="s">
        <v>524</v>
      </c>
      <c r="B4" s="1120" t="str">
        <f ca="1">'预评函-封皮'!B46</f>
        <v>郑燚（注册号：1120070131)、宁小鳗（注册号：1120210056)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受贵公司委托，我公司对北京市丰台区大红门一期A区棚户区改造项目进行了预评估。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2023年10月22日</v>
      </c>
    </row>
    <row r="13" spans="1:2">
      <c r="A13" s="1119" t="s">
        <v>529</v>
      </c>
      <c r="B13" s="1120" t="str">
        <f>'预评函-1'!A18</f>
        <v>本次估价的“房地产价值”是指在正常市场情况下，在价值时点2023年10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北京市丰台区大红门一期A区棚户区改造项目房地产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宁小鳗</v>
      </c>
    </row>
    <row r="73" spans="1:2" s="1115" customFormat="1" ht="15" thickBot="1">
      <c r="A73" s="1122" t="s">
        <v>565</v>
      </c>
      <c r="B73" s="1123">
        <f>'预评函-4'!B5</f>
        <v>1120210056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125" style="1405" customWidth="1"/>
    <col min="3" max="3" width="13" style="1445" customWidth="1"/>
    <col min="4" max="4" width="5.62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2574</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2575</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2286</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大红门一期A区棚户区改造项目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2"/>
      <c r="B54" s="1447" t="s">
        <v>385</v>
      </c>
      <c r="C54" s="1445" t="s">
        <v>583</v>
      </c>
    </row>
    <row r="55" spans="1:4">
      <c r="A55" s="3322"/>
      <c r="B55" s="1447" t="s">
        <v>386</v>
      </c>
      <c r="C55" s="1445" t="s">
        <v>584</v>
      </c>
    </row>
    <row r="56" spans="1:4">
      <c r="A56" s="3322"/>
      <c r="B56" s="1447" t="s">
        <v>387</v>
      </c>
      <c r="C56" s="1445" t="s">
        <v>588</v>
      </c>
    </row>
    <row r="57" spans="1:4">
      <c r="A57" s="33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3.5"/>
  <cols>
    <col min="1" max="7" width="15.125" style="2756"/>
    <col min="8" max="8" width="5.5" style="2756" customWidth="1"/>
    <col min="9" max="13" width="9.5" style="2797" customWidth="1"/>
    <col min="14" max="18" width="9.5" style="2756" customWidth="1"/>
    <col min="19" max="16384" width="15.1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323" t="s">
        <v>2577</v>
      </c>
      <c r="J2" s="3323"/>
      <c r="K2" s="3323"/>
      <c r="L2" s="3323"/>
      <c r="M2" s="3323"/>
      <c r="N2" s="3323"/>
      <c r="O2" s="3323"/>
      <c r="P2" s="3323"/>
      <c r="Q2" s="3323"/>
      <c r="R2" s="3323"/>
    </row>
    <row r="3" spans="1:18">
      <c r="A3" s="2760" t="s">
        <v>2498</v>
      </c>
      <c r="B3" s="2761">
        <f>项目基本情况!D3</f>
        <v>45221</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3.16</v>
      </c>
      <c r="D5" s="2765">
        <f>IF(ISERROR(ROUND(POWER(1+E5,A5-C5)*(POWER(1+E5,C5)-1)/(POWER(1+E5,A5)-1),3)),0,ROUND(POWER(1+E5,A5-C5)*(POWER(1+E5,C5)-1)/(POWER(1+E5,A5)-1),4))</f>
        <v>0.1472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13.16</v>
      </c>
      <c r="D6" s="2765">
        <f>IF(ISERROR(ROUND(POWER(1+E6,A6-C6)*(POWER(1+E6,C6)-1)/(POWER(1+E6,A6)-1),3)),0,ROUND(POWER(1+E6,A6-C6)*(POWER(1+E6,C6)-1)/(POWER(1+E6,A6)-1),4))</f>
        <v>0.46920000000000001</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33.18</v>
      </c>
      <c r="D7" s="2765">
        <f>IF(ISERROR(ROUND(POWER(1+E7,A7-C7)*(POWER(1+E7,C7)-1)/(POWER(1+E7,A7)-1),3)),0,ROUND(POWER(1+E7,A7-C7)*(POWER(1+E7,C7)-1)/(POWER(1+E7,A7)-1),4))</f>
        <v>0.77780000000000005</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3">
      <c r="A17" s="2760" t="s">
        <v>2514</v>
      </c>
      <c r="B17" s="2768">
        <v>4810</v>
      </c>
      <c r="C17" s="2762"/>
      <c r="D17" s="2758"/>
      <c r="E17" s="2758"/>
      <c r="F17" s="2759"/>
    </row>
    <row r="18" spans="1:13" ht="14.25" thickBot="1">
      <c r="A18" s="2770" t="s">
        <v>2513</v>
      </c>
      <c r="B18" s="2771">
        <f>ROUND(B17*F11/F12,2)</f>
        <v>5541.87</v>
      </c>
      <c r="C18" s="2771">
        <f>ROUND(F11/F12,4)</f>
        <v>1.1521999999999999</v>
      </c>
      <c r="D18" s="2772"/>
      <c r="E18" s="2772"/>
      <c r="F18" s="2773"/>
    </row>
    <row r="19" spans="1:13" ht="14.25" thickBot="1"/>
    <row r="20" spans="1:13" s="2806" customFormat="1" ht="14.25" thickTop="1">
      <c r="A20" s="2803" t="s">
        <v>2516</v>
      </c>
      <c r="B20" s="2804"/>
      <c r="C20" s="2804"/>
      <c r="D20" s="2804"/>
      <c r="E20" s="2804"/>
      <c r="F20" s="2804"/>
      <c r="G20" s="2805"/>
      <c r="I20" s="2807" t="s">
        <v>2561</v>
      </c>
      <c r="J20" s="2807" t="s">
        <v>2566</v>
      </c>
      <c r="K20" s="2807"/>
      <c r="L20" s="2807"/>
      <c r="M20" s="2807"/>
    </row>
    <row r="21" spans="1:13">
      <c r="A21" s="2774"/>
      <c r="B21" s="2775" t="s">
        <v>2517</v>
      </c>
      <c r="C21" s="2775" t="s">
        <v>2518</v>
      </c>
      <c r="D21" s="2775" t="s">
        <v>2519</v>
      </c>
      <c r="E21" s="2775" t="s">
        <v>2520</v>
      </c>
      <c r="F21" s="2775" t="s">
        <v>2521</v>
      </c>
      <c r="G21" s="2776" t="s">
        <v>2522</v>
      </c>
      <c r="I21" s="2797">
        <v>5</v>
      </c>
      <c r="J21" s="2797">
        <v>54.2</v>
      </c>
    </row>
    <row r="22" spans="1:13">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M23" s="2797" t="s">
        <v>2565</v>
      </c>
    </row>
    <row r="24" spans="1:13">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M24" s="2797">
        <v>10</v>
      </c>
    </row>
    <row r="25" spans="1:13">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M25" s="2797">
        <v>8</v>
      </c>
    </row>
    <row r="26" spans="1:13">
      <c r="A26" s="2779"/>
      <c r="B26" s="2780"/>
      <c r="C26" s="2780"/>
      <c r="D26" s="2780"/>
      <c r="E26" s="2780"/>
      <c r="F26" s="2780"/>
      <c r="G26" s="2781"/>
      <c r="I26" s="2797">
        <v>30</v>
      </c>
      <c r="J26" s="2797">
        <v>90.5</v>
      </c>
      <c r="K26" s="2797">
        <f t="shared" si="2"/>
        <v>4.2000000000000028</v>
      </c>
      <c r="L26" s="2797" t="s">
        <v>2568</v>
      </c>
      <c r="M26" s="2797">
        <v>5</v>
      </c>
    </row>
    <row r="27" spans="1:13">
      <c r="A27" s="2779" t="s">
        <v>2527</v>
      </c>
      <c r="B27" s="2780"/>
      <c r="C27" s="2780"/>
      <c r="D27" s="2780"/>
      <c r="E27" s="2780"/>
      <c r="F27" s="2780"/>
      <c r="G27" s="2781"/>
      <c r="I27" s="2797">
        <v>35</v>
      </c>
      <c r="J27" s="2797">
        <v>93.8</v>
      </c>
      <c r="K27" s="2797">
        <f t="shared" si="2"/>
        <v>3.2999999999999972</v>
      </c>
      <c r="L27" s="2797" t="s">
        <v>2569</v>
      </c>
      <c r="M27" s="2797">
        <v>3</v>
      </c>
    </row>
    <row r="28" spans="1:13">
      <c r="A28" s="2779" t="s">
        <v>2528</v>
      </c>
      <c r="B28" s="2780"/>
      <c r="C28" s="2780"/>
      <c r="D28" s="2780"/>
      <c r="E28" s="2780"/>
      <c r="F28" s="2780"/>
      <c r="G28" s="2781"/>
      <c r="I28" s="2797">
        <v>40</v>
      </c>
      <c r="J28" s="2797">
        <v>96.4</v>
      </c>
      <c r="K28" s="2797">
        <f t="shared" si="2"/>
        <v>2.6000000000000085</v>
      </c>
      <c r="L28" s="2797" t="s">
        <v>2570</v>
      </c>
      <c r="M28" s="2797">
        <v>2</v>
      </c>
    </row>
    <row r="29" spans="1:13">
      <c r="A29" s="2779" t="s">
        <v>2529</v>
      </c>
      <c r="B29" s="2780"/>
      <c r="C29" s="2780"/>
      <c r="D29" s="2780"/>
      <c r="E29" s="2780"/>
      <c r="F29" s="2780"/>
      <c r="G29" s="2781"/>
      <c r="I29" s="2797">
        <v>45</v>
      </c>
      <c r="J29" s="2797">
        <v>98.4</v>
      </c>
      <c r="K29" s="2797">
        <f t="shared" si="2"/>
        <v>2</v>
      </c>
    </row>
    <row r="30" spans="1:13">
      <c r="A30" s="2779" t="s">
        <v>2530</v>
      </c>
      <c r="B30" s="2780"/>
      <c r="C30" s="2780"/>
      <c r="D30" s="2780"/>
      <c r="E30" s="2780"/>
      <c r="F30" s="2780"/>
      <c r="G30" s="2781"/>
      <c r="I30" s="2797">
        <v>50</v>
      </c>
      <c r="J30" s="2797">
        <v>100</v>
      </c>
      <c r="K30" s="2797">
        <f t="shared" si="2"/>
        <v>1.5999999999999943</v>
      </c>
    </row>
    <row r="31" spans="1:13">
      <c r="A31" s="2779" t="s">
        <v>2531</v>
      </c>
      <c r="B31" s="2780"/>
      <c r="C31" s="2780"/>
      <c r="D31" s="2780"/>
      <c r="E31" s="2780"/>
      <c r="F31" s="2780"/>
      <c r="G31" s="2781"/>
      <c r="I31" s="2797" t="s">
        <v>2562</v>
      </c>
    </row>
    <row r="32" spans="1:13">
      <c r="A32" s="2779" t="s">
        <v>2532</v>
      </c>
      <c r="B32" s="2780"/>
      <c r="C32" s="2780"/>
      <c r="D32" s="2780"/>
      <c r="E32" s="2780"/>
      <c r="F32" s="2780"/>
      <c r="G32" s="2781"/>
    </row>
    <row r="33" spans="1:13">
      <c r="A33" s="2779" t="s">
        <v>2533</v>
      </c>
      <c r="B33" s="2780"/>
      <c r="C33" s="2780"/>
      <c r="D33" s="2780"/>
      <c r="E33" s="2780"/>
      <c r="F33" s="2780"/>
      <c r="G33" s="2781"/>
      <c r="I33" s="2797" t="s">
        <v>2561</v>
      </c>
      <c r="J33" s="2797" t="s">
        <v>2571</v>
      </c>
    </row>
    <row r="34" spans="1:13">
      <c r="A34" s="2779" t="s">
        <v>2534</v>
      </c>
      <c r="B34" s="2780"/>
      <c r="C34" s="2780"/>
      <c r="D34" s="2780"/>
      <c r="E34" s="2780"/>
      <c r="F34" s="2780"/>
      <c r="G34" s="2781"/>
      <c r="I34" s="2797">
        <v>5</v>
      </c>
      <c r="J34" s="2797">
        <v>55.1</v>
      </c>
    </row>
    <row r="35" spans="1:13">
      <c r="A35" s="2779" t="s">
        <v>2535</v>
      </c>
      <c r="B35" s="2780"/>
      <c r="C35" s="2780"/>
      <c r="D35" s="2780"/>
      <c r="E35" s="2780"/>
      <c r="F35" s="2780"/>
      <c r="G35" s="2781"/>
      <c r="I35" s="2797">
        <v>10</v>
      </c>
      <c r="J35" s="2797">
        <v>67</v>
      </c>
      <c r="K35" s="2797">
        <f>J35-J34</f>
        <v>11.899999999999999</v>
      </c>
    </row>
    <row r="36" spans="1:13">
      <c r="A36" s="2779" t="s">
        <v>2536</v>
      </c>
      <c r="B36" s="2780"/>
      <c r="C36" s="2780"/>
      <c r="D36" s="2780"/>
      <c r="E36" s="2780"/>
      <c r="F36" s="2780"/>
      <c r="G36" s="2781"/>
      <c r="I36" s="2797">
        <v>15</v>
      </c>
      <c r="J36" s="2797">
        <v>76.3</v>
      </c>
      <c r="K36" s="2797">
        <f t="shared" ref="K36:K41" si="3">J36-J35</f>
        <v>9.2999999999999972</v>
      </c>
      <c r="L36" s="2797" t="s">
        <v>2564</v>
      </c>
      <c r="M36" s="2797" t="s">
        <v>2565</v>
      </c>
    </row>
    <row r="37" spans="1:13">
      <c r="A37" s="2779" t="s">
        <v>2537</v>
      </c>
      <c r="B37" s="2780"/>
      <c r="C37" s="2780"/>
      <c r="D37" s="2780"/>
      <c r="E37" s="2780"/>
      <c r="F37" s="2780"/>
      <c r="G37" s="2781"/>
      <c r="I37" s="2797">
        <v>20</v>
      </c>
      <c r="J37" s="2797">
        <v>83.6</v>
      </c>
      <c r="K37" s="2797">
        <f t="shared" si="3"/>
        <v>7.2999999999999972</v>
      </c>
      <c r="L37" s="2797" t="s">
        <v>2563</v>
      </c>
      <c r="M37" s="2797">
        <v>10</v>
      </c>
    </row>
    <row r="38" spans="1:13">
      <c r="A38" s="2779" t="s">
        <v>2538</v>
      </c>
      <c r="B38" s="2780"/>
      <c r="C38" s="2780"/>
      <c r="D38" s="2780"/>
      <c r="E38" s="2780"/>
      <c r="F38" s="2780"/>
      <c r="G38" s="2781"/>
      <c r="I38" s="2797">
        <v>25</v>
      </c>
      <c r="J38" s="2797">
        <v>89.3</v>
      </c>
      <c r="K38" s="2797">
        <f t="shared" si="3"/>
        <v>5.7000000000000028</v>
      </c>
      <c r="L38" s="2797" t="s">
        <v>2567</v>
      </c>
      <c r="M38" s="2797">
        <v>8</v>
      </c>
    </row>
    <row r="39" spans="1:13">
      <c r="A39" s="2779"/>
      <c r="B39" s="2780"/>
      <c r="C39" s="2780"/>
      <c r="D39" s="2780"/>
      <c r="E39" s="2780"/>
      <c r="F39" s="2780"/>
      <c r="G39" s="2781"/>
      <c r="I39" s="2797">
        <v>30</v>
      </c>
      <c r="J39" s="2797">
        <v>93.8</v>
      </c>
      <c r="K39" s="2797">
        <f t="shared" si="3"/>
        <v>4.5</v>
      </c>
      <c r="L39" s="2797" t="s">
        <v>2568</v>
      </c>
      <c r="M39" s="2797">
        <v>6</v>
      </c>
    </row>
    <row r="40" spans="1:13">
      <c r="A40" s="2782" t="s">
        <v>2539</v>
      </c>
      <c r="B40" s="2783"/>
      <c r="C40" s="2783"/>
      <c r="D40" s="2783"/>
      <c r="E40" s="2783"/>
      <c r="F40" s="2783"/>
      <c r="G40" s="2784"/>
      <c r="I40" s="2797">
        <v>35</v>
      </c>
      <c r="J40" s="2797">
        <v>97.2</v>
      </c>
      <c r="K40" s="2797">
        <f t="shared" si="3"/>
        <v>3.4000000000000057</v>
      </c>
      <c r="L40" s="2797" t="s">
        <v>2569</v>
      </c>
      <c r="M40" s="2797">
        <v>3</v>
      </c>
    </row>
    <row r="41" spans="1:13">
      <c r="A41" s="2785" t="s">
        <v>2540</v>
      </c>
      <c r="B41" s="2786" t="s">
        <v>2541</v>
      </c>
      <c r="C41" s="2787" t="s">
        <v>2542</v>
      </c>
      <c r="D41" s="2787" t="s">
        <v>2543</v>
      </c>
      <c r="E41" s="2788"/>
      <c r="F41" s="2789"/>
      <c r="G41" s="2790"/>
      <c r="I41" s="2797">
        <v>40</v>
      </c>
      <c r="J41" s="2797">
        <v>100</v>
      </c>
      <c r="K41" s="2797">
        <f t="shared" si="3"/>
        <v>2.7999999999999972</v>
      </c>
    </row>
    <row r="42" spans="1:13">
      <c r="A42" s="2785" t="s">
        <v>2544</v>
      </c>
      <c r="B42" s="2786" t="s">
        <v>2545</v>
      </c>
      <c r="C42" s="2787" t="s">
        <v>2546</v>
      </c>
      <c r="D42" s="2791" t="s">
        <v>2547</v>
      </c>
      <c r="E42" s="2783" t="s">
        <v>2548</v>
      </c>
      <c r="F42" s="2783"/>
      <c r="G42" s="2784"/>
    </row>
    <row r="43" spans="1:13">
      <c r="A43" s="2785" t="s">
        <v>2549</v>
      </c>
      <c r="B43" s="2786" t="s">
        <v>2550</v>
      </c>
      <c r="C43" s="2787" t="s">
        <v>2551</v>
      </c>
      <c r="D43" s="2787" t="s">
        <v>2552</v>
      </c>
      <c r="E43" s="2788" t="s">
        <v>2553</v>
      </c>
      <c r="F43" s="2789"/>
      <c r="G43" s="2790"/>
      <c r="I43" s="2797" t="s">
        <v>2561</v>
      </c>
      <c r="J43" s="2797" t="s">
        <v>2572</v>
      </c>
    </row>
    <row r="44" spans="1:13">
      <c r="A44" s="2785" t="s">
        <v>2554</v>
      </c>
      <c r="B44" s="2786" t="s">
        <v>2555</v>
      </c>
      <c r="C44" s="2787" t="s">
        <v>2556</v>
      </c>
      <c r="D44" s="2791">
        <v>0.5</v>
      </c>
      <c r="E44" s="2788" t="s">
        <v>2557</v>
      </c>
      <c r="F44" s="2789"/>
      <c r="G44" s="2790"/>
      <c r="I44" s="2797">
        <v>30</v>
      </c>
      <c r="J44" s="2797">
        <v>81.7</v>
      </c>
    </row>
    <row r="45" spans="1:13" ht="14.25" thickBot="1">
      <c r="A45" s="2792" t="s">
        <v>2558</v>
      </c>
      <c r="B45" s="2793" t="s">
        <v>2545</v>
      </c>
      <c r="C45" s="2794" t="s">
        <v>2545</v>
      </c>
      <c r="D45" s="2794" t="s">
        <v>2559</v>
      </c>
      <c r="E45" s="2795" t="s">
        <v>2560</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0" sqref="E1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62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2166</v>
      </c>
      <c r="B1" s="3331" t="str">
        <f>IF(B10="北京市","北京市",C10)&amp;F10&amp;IF(结果表!G1="在建","出让国有建设用地使用权及在建建筑物",IF(结果表!G1="土地","出让国有建设用地使用权",))&amp;B9&amp;"预评估"</f>
        <v>北京市丰台区大红门一期A区棚户区改造项目预评估</v>
      </c>
      <c r="C1" s="3332"/>
      <c r="D1" s="3332"/>
      <c r="E1" s="3332"/>
      <c r="F1" s="3332"/>
      <c r="G1" s="3332"/>
      <c r="H1" s="3332"/>
      <c r="I1" s="3333"/>
      <c r="J1" s="2242"/>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北京市丰台区大红门一期A区棚户区改造项目</v>
      </c>
      <c r="T1" s="1618"/>
      <c r="U1" s="1618"/>
      <c r="V1" s="1618"/>
      <c r="W1" s="1618"/>
      <c r="X1" s="1618"/>
      <c r="Y1" s="1618"/>
      <c r="Z1" s="1618"/>
      <c r="AA1" s="1618"/>
      <c r="AB1" s="1618"/>
    </row>
    <row r="2" spans="1:30">
      <c r="A2" s="2180" t="s">
        <v>2167</v>
      </c>
      <c r="B2" s="122"/>
      <c r="D2" s="2445"/>
      <c r="E2" s="2438"/>
      <c r="F2" s="2438"/>
      <c r="G2" s="2439"/>
      <c r="H2" s="2439"/>
      <c r="I2" s="2439"/>
      <c r="J2" s="2242"/>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北京市丰台区大红门一期A区棚户区改造项目房地产</v>
      </c>
      <c r="T2" s="1618"/>
      <c r="U2" s="1618"/>
      <c r="V2" s="1618"/>
      <c r="W2" s="1618"/>
      <c r="X2" s="1618"/>
      <c r="Y2" s="1618"/>
      <c r="Z2" s="1618"/>
      <c r="AA2" s="1618"/>
      <c r="AB2" s="1618"/>
    </row>
    <row r="3" spans="1:30">
      <c r="A3" s="294" t="s">
        <v>2168</v>
      </c>
      <c r="B3" s="2183">
        <v>45177</v>
      </c>
      <c r="C3" s="2184" t="s">
        <v>2169</v>
      </c>
      <c r="D3" s="2183">
        <v>45221</v>
      </c>
      <c r="E3" s="2439"/>
      <c r="F3" s="2439"/>
      <c r="G3" s="2439"/>
      <c r="H3" s="2439"/>
      <c r="I3" s="2439"/>
      <c r="J3" s="2242"/>
      <c r="K3" s="2181"/>
      <c r="L3" s="2182"/>
      <c r="M3" s="2182"/>
      <c r="N3" s="2180"/>
      <c r="O3" s="1466"/>
      <c r="P3" s="2180"/>
      <c r="Q3" s="2180"/>
      <c r="R3" s="2180"/>
      <c r="S3" s="1561"/>
      <c r="T3" s="1618"/>
      <c r="U3" s="1618"/>
      <c r="V3" s="1618"/>
      <c r="W3" s="1618"/>
      <c r="X3" s="1618"/>
      <c r="Y3" s="1618"/>
      <c r="Z3" s="1618"/>
      <c r="AA3" s="1618"/>
      <c r="AB3" s="1618"/>
    </row>
    <row r="4" spans="1:30" ht="13.5" thickBot="1">
      <c r="A4" s="1027" t="s">
        <v>2170</v>
      </c>
      <c r="B4" s="2185" t="s">
        <v>3519</v>
      </c>
      <c r="C4" s="2186">
        <f ca="1">SUMIF(注册房地产估价师,B4,估价师及机构信息!B3:B24)</f>
        <v>1120070131</v>
      </c>
      <c r="D4" s="2185" t="s">
        <v>3520</v>
      </c>
      <c r="E4" s="2186">
        <f>SUMIF(注册房地产估价师,D4,估价师及机构信息!B3:B24)</f>
        <v>1120210056</v>
      </c>
      <c r="F4" s="2185"/>
      <c r="G4" s="2186">
        <f>SUMIF(注册房地产估价师,F4,估价师及机构信息!B3:B24)</f>
        <v>0</v>
      </c>
      <c r="H4" s="2185"/>
      <c r="I4" s="2186">
        <f>SUMIF(注册房地产估价师,H4,估价师及机构信息!B3:B24)</f>
        <v>0</v>
      </c>
      <c r="J4" s="2242"/>
      <c r="K4" s="2187" t="str">
        <f ca="1">CONCATENATE(B4,"（注册号：",C4,")、",D4,"（注册号：",E4,")")</f>
        <v>郑燚（注册号：1120070131)、宁小鳗（注册号：1120210056)</v>
      </c>
      <c r="L4" s="2182"/>
      <c r="M4" s="2182"/>
      <c r="N4" s="2180"/>
      <c r="O4" s="1466"/>
      <c r="P4" s="2180"/>
      <c r="Q4" s="2180"/>
      <c r="R4" s="2180"/>
      <c r="S4" s="1561"/>
      <c r="T4" s="1618"/>
      <c r="U4" s="1618"/>
      <c r="V4" s="1618"/>
      <c r="W4" s="1618"/>
      <c r="X4" s="1618"/>
      <c r="Y4" s="1618"/>
      <c r="Z4" s="1618"/>
      <c r="AA4" s="1618"/>
      <c r="AB4" s="1618"/>
    </row>
    <row r="5" spans="1:30" ht="13.5" thickTop="1">
      <c r="A5" s="2188" t="s">
        <v>2171</v>
      </c>
      <c r="B5" s="2189"/>
      <c r="C5" s="2190"/>
      <c r="D5" s="2191"/>
      <c r="E5" s="2439"/>
      <c r="F5" s="2439"/>
      <c r="G5" s="2439"/>
      <c r="H5" s="2439"/>
      <c r="I5" s="2439"/>
      <c r="J5" s="2242"/>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2172</v>
      </c>
      <c r="B6" s="2193"/>
      <c r="C6" s="2194"/>
      <c r="D6" s="2195"/>
      <c r="E6" s="2438"/>
      <c r="F6" s="2439"/>
      <c r="G6" s="2439"/>
      <c r="H6" s="2439"/>
      <c r="I6" s="2439"/>
      <c r="J6" s="2242"/>
      <c r="K6" s="2398" t="str">
        <f>IF(COUNTIF(B6,"*上海银行*"),"上海银行","")</f>
        <v/>
      </c>
      <c r="L6" s="2396"/>
      <c r="M6" s="2396"/>
      <c r="N6" s="2242"/>
      <c r="O6" s="1670"/>
      <c r="P6" s="2242"/>
      <c r="Q6" s="2242"/>
      <c r="R6" s="2242"/>
    </row>
    <row r="7" spans="1:30">
      <c r="A7" s="2192" t="s">
        <v>2173</v>
      </c>
      <c r="B7" s="2196"/>
      <c r="C7" s="2194"/>
      <c r="D7" s="2195"/>
      <c r="E7" s="2438"/>
      <c r="F7" s="2439"/>
      <c r="G7" s="2439"/>
      <c r="H7" s="2439"/>
      <c r="I7" s="2439"/>
      <c r="J7" s="2242"/>
      <c r="K7" s="2399"/>
      <c r="L7" s="2396"/>
      <c r="M7" s="2396"/>
      <c r="N7" s="2242"/>
      <c r="O7" s="1670"/>
      <c r="P7" s="2242"/>
      <c r="Q7" s="2242"/>
      <c r="R7" s="2242"/>
    </row>
    <row r="8" spans="1:30">
      <c r="A8" s="2197" t="s">
        <v>2174</v>
      </c>
      <c r="B8" s="2198"/>
      <c r="C8" s="2199"/>
      <c r="D8" s="3334" t="s">
        <v>2175</v>
      </c>
      <c r="E8" s="2200"/>
      <c r="F8" s="2201"/>
      <c r="G8" s="2439"/>
      <c r="H8" s="2439"/>
      <c r="I8" s="2439"/>
      <c r="J8" s="2242"/>
      <c r="K8" s="2397"/>
      <c r="L8" s="2396"/>
      <c r="M8" s="2396"/>
      <c r="N8" s="2242"/>
      <c r="O8" s="1670"/>
      <c r="P8" s="2242"/>
      <c r="Q8" s="2242"/>
      <c r="R8" s="2242"/>
    </row>
    <row r="9" spans="1:30" ht="13.5" thickBot="1">
      <c r="A9" s="2202" t="s">
        <v>2176</v>
      </c>
      <c r="B9" s="2203"/>
      <c r="C9" s="2204"/>
      <c r="D9" s="3335"/>
      <c r="E9" s="2203"/>
      <c r="F9" s="2205"/>
      <c r="G9" s="2440"/>
      <c r="H9" s="2440"/>
      <c r="I9" s="2440"/>
      <c r="J9" s="2242"/>
      <c r="K9" s="2399"/>
      <c r="L9" s="2396"/>
      <c r="M9" s="2396"/>
      <c r="N9" s="2242"/>
      <c r="O9" s="1670"/>
      <c r="P9" s="2242"/>
      <c r="Q9" s="2242"/>
      <c r="R9" s="2242"/>
    </row>
    <row r="10" spans="1:30" ht="13.5" thickTop="1">
      <c r="A10" s="2206" t="s">
        <v>2177</v>
      </c>
      <c r="B10" s="2207" t="s">
        <v>3635</v>
      </c>
      <c r="C10" s="3270"/>
      <c r="D10" s="2191"/>
      <c r="E10" s="2208" t="s">
        <v>2178</v>
      </c>
      <c r="F10" s="2441" t="s">
        <v>3634</v>
      </c>
      <c r="G10" s="2442"/>
      <c r="H10" s="2443"/>
      <c r="I10" s="2444"/>
      <c r="J10" s="2242"/>
      <c r="K10" s="2399"/>
      <c r="L10" s="2396"/>
      <c r="M10" s="2396"/>
      <c r="N10" s="2242"/>
      <c r="O10" s="1670"/>
      <c r="P10" s="2242"/>
      <c r="Q10" s="2242"/>
      <c r="R10" s="2242"/>
    </row>
    <row r="11" spans="1:30">
      <c r="A11" s="2209" t="s">
        <v>2179</v>
      </c>
      <c r="B11" s="2210"/>
      <c r="C11" s="2211"/>
      <c r="D11" s="2212"/>
      <c r="E11" s="2180"/>
      <c r="F11" s="2180"/>
      <c r="G11" s="2180"/>
      <c r="H11" s="2180"/>
      <c r="I11" s="2180"/>
      <c r="J11" s="2799"/>
      <c r="K11" s="2396"/>
      <c r="L11" s="2396"/>
      <c r="M11" s="2396"/>
      <c r="N11" s="2242"/>
      <c r="O11" s="1670"/>
      <c r="P11" s="2242"/>
      <c r="Q11" s="2242"/>
      <c r="R11" s="2242"/>
    </row>
    <row r="12" spans="1:30">
      <c r="A12" s="2213" t="s">
        <v>2180</v>
      </c>
      <c r="B12" s="315" t="s">
        <v>2181</v>
      </c>
      <c r="C12" s="2214" t="s">
        <v>2182</v>
      </c>
      <c r="D12" s="2214" t="s">
        <v>2183</v>
      </c>
      <c r="E12" s="2214" t="s">
        <v>2184</v>
      </c>
      <c r="F12" s="2214" t="s">
        <v>2185</v>
      </c>
      <c r="G12" s="2214" t="s">
        <v>2186</v>
      </c>
      <c r="H12" s="2214" t="s">
        <v>2187</v>
      </c>
      <c r="I12" s="2798" t="s">
        <v>2573</v>
      </c>
      <c r="J12" s="2800"/>
      <c r="K12" s="2396"/>
      <c r="L12" s="2396"/>
      <c r="M12" s="2242"/>
      <c r="N12" s="1670"/>
      <c r="O12" s="2242"/>
      <c r="P12" s="2242"/>
      <c r="Q12" s="2242"/>
      <c r="AD12" s="1618"/>
    </row>
    <row r="13" spans="1:30">
      <c r="A13" s="3119" t="s">
        <v>3333</v>
      </c>
      <c r="B13" s="2215" t="s">
        <v>2188</v>
      </c>
      <c r="C13" s="803"/>
      <c r="D13" s="803"/>
      <c r="E13" s="803"/>
      <c r="F13" s="803"/>
      <c r="G13" s="803"/>
      <c r="H13" s="803"/>
      <c r="I13" s="803"/>
      <c r="J13" s="2800"/>
      <c r="K13" s="2396"/>
      <c r="L13" s="2396"/>
      <c r="M13" s="2242"/>
      <c r="N13" s="1670"/>
      <c r="O13" s="2242"/>
      <c r="P13" s="2242"/>
      <c r="Q13" s="2242"/>
      <c r="AD13" s="1618"/>
    </row>
    <row r="14" spans="1:30">
      <c r="A14" s="1018"/>
      <c r="B14" s="2215" t="s">
        <v>2189</v>
      </c>
      <c r="C14" s="2216">
        <v>70</v>
      </c>
      <c r="D14" s="2216"/>
      <c r="E14" s="2216"/>
      <c r="F14" s="2216"/>
      <c r="G14" s="2216"/>
      <c r="H14" s="2216"/>
      <c r="I14" s="2216"/>
      <c r="J14" s="2801"/>
      <c r="K14" s="2396"/>
      <c r="L14" s="2396"/>
      <c r="M14" s="2242"/>
      <c r="N14" s="1670"/>
      <c r="O14" s="2242"/>
      <c r="P14" s="2242"/>
      <c r="Q14" s="2242"/>
      <c r="AD14" s="1618"/>
    </row>
    <row r="15" spans="1:30">
      <c r="A15" s="312"/>
      <c r="B15" s="2217" t="s">
        <v>2190</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2191</v>
      </c>
      <c r="B16" s="3341"/>
      <c r="C16" s="3342"/>
      <c r="D16" s="3343"/>
      <c r="E16" s="2219" t="s">
        <v>2192</v>
      </c>
      <c r="F16" s="3344"/>
      <c r="G16" s="3345"/>
      <c r="H16" s="3345"/>
      <c r="I16" s="3346"/>
      <c r="J16" s="2242"/>
      <c r="K16" s="2400"/>
      <c r="L16" s="1670"/>
      <c r="M16" s="1670"/>
      <c r="N16" s="2242"/>
      <c r="O16" s="1670"/>
      <c r="P16" s="2242"/>
      <c r="Q16" s="2242"/>
      <c r="R16" s="2242"/>
    </row>
    <row r="17" spans="1:28">
      <c r="A17" s="305" t="s">
        <v>2193</v>
      </c>
      <c r="B17" s="294" t="s">
        <v>2194</v>
      </c>
      <c r="C17" s="8">
        <f>'数据-汇总表'!E3</f>
        <v>0</v>
      </c>
      <c r="D17" s="1256" t="s">
        <v>2195</v>
      </c>
      <c r="E17" s="3347"/>
      <c r="F17" s="3348"/>
      <c r="G17" s="3348"/>
      <c r="H17" s="3348"/>
      <c r="I17" s="3349"/>
      <c r="J17" s="2242"/>
      <c r="K17" s="2401"/>
      <c r="L17" s="1670"/>
      <c r="M17" s="1670"/>
      <c r="N17" s="2242"/>
      <c r="O17" s="1670"/>
      <c r="P17" s="2242"/>
      <c r="Q17" s="2242"/>
      <c r="R17" s="2242"/>
      <c r="S17" s="2242"/>
      <c r="T17" s="2242"/>
      <c r="U17" s="2242"/>
      <c r="V17" s="2242"/>
    </row>
    <row r="18" spans="1:28" ht="24.75" thickBot="1">
      <c r="A18" s="2220" t="s">
        <v>2196</v>
      </c>
      <c r="B18" s="1027" t="s">
        <v>2197</v>
      </c>
      <c r="C18" s="2221" t="e">
        <f>'数据-汇总表'!D3</f>
        <v>#DIV/0!</v>
      </c>
      <c r="D18" s="1029" t="s">
        <v>2198</v>
      </c>
      <c r="E18" s="3350"/>
      <c r="F18" s="3351"/>
      <c r="G18" s="3351"/>
      <c r="H18" s="3351"/>
      <c r="I18" s="3352"/>
      <c r="J18" s="2242"/>
      <c r="K18" s="2401"/>
      <c r="L18" s="1670"/>
      <c r="M18" s="1670"/>
      <c r="N18" s="2242"/>
      <c r="O18" s="1670"/>
      <c r="P18" s="2242"/>
      <c r="Q18" s="2242"/>
      <c r="R18" s="2242"/>
      <c r="S18" s="2242"/>
      <c r="T18" s="2242"/>
      <c r="U18" s="2242"/>
      <c r="V18" s="2242"/>
    </row>
    <row r="19" spans="1:28" ht="37.5" thickTop="1" thickBot="1">
      <c r="A19" s="319" t="s">
        <v>1055</v>
      </c>
      <c r="B19" s="299" t="s">
        <v>2199</v>
      </c>
      <c r="C19" s="1455"/>
      <c r="D19" s="1456" t="s">
        <v>2200</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2201</v>
      </c>
      <c r="B20" s="3337" t="s">
        <v>2202</v>
      </c>
      <c r="C20" s="3338"/>
      <c r="D20" s="3339" t="s">
        <v>2203</v>
      </c>
      <c r="E20" s="3340"/>
      <c r="F20" s="2427" t="s">
        <v>1056</v>
      </c>
      <c r="G20" s="2439"/>
      <c r="H20" s="2439"/>
      <c r="I20" s="2439"/>
      <c r="J20" s="2242"/>
      <c r="K20" s="3336" t="s">
        <v>2204</v>
      </c>
      <c r="L20" s="646" t="str">
        <f>"根据估价对象"&amp;IF(B22="——",B21&amp;C21,B21&amp;C21&amp;"、"&amp;B22&amp;C22)&amp;"，"&amp;IF(C19="是","截至价值时点，估价对象已设定抵押。","截至价值时点，估价对象抵押权未见登记。")</f>
        <v>根据估价对象————，截至价值时点，估价对象抵押权未见登记。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13.5" thickBot="1">
      <c r="A21" s="2414"/>
      <c r="B21" s="2415" t="s">
        <v>43</v>
      </c>
      <c r="C21" s="2293" t="s">
        <v>43</v>
      </c>
      <c r="D21" s="1460"/>
      <c r="E21" s="2416" t="s">
        <v>43</v>
      </c>
      <c r="F21" s="2428"/>
      <c r="G21" s="2439"/>
      <c r="H21" s="2439"/>
      <c r="I21" s="2439"/>
      <c r="J21" s="2242"/>
      <c r="K21" s="33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13.5" thickBot="1">
      <c r="A22" s="2414"/>
      <c r="B22" s="2417" t="s">
        <v>43</v>
      </c>
      <c r="C22" s="2293" t="s">
        <v>43</v>
      </c>
      <c r="D22" s="2439"/>
      <c r="E22" s="2439"/>
      <c r="F22" s="2439"/>
      <c r="G22" s="2439"/>
      <c r="H22" s="2439"/>
      <c r="I22" s="2439"/>
      <c r="J22" s="2242"/>
      <c r="K22" s="33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8" t="s">
        <v>2205</v>
      </c>
      <c r="B23" s="2290" t="s">
        <v>2206</v>
      </c>
      <c r="C23" s="2419"/>
      <c r="D23" s="2420" t="s">
        <v>2206</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1057</v>
      </c>
      <c r="C24" s="2268"/>
      <c r="D24" s="2418" t="s">
        <v>1057</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1058</v>
      </c>
      <c r="C25" s="2268"/>
      <c r="D25" s="2418" t="s">
        <v>1058</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1059</v>
      </c>
      <c r="C26" s="2425"/>
      <c r="D26" s="2423" t="s">
        <v>1059</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325" t="s">
        <v>2207</v>
      </c>
      <c r="B27" s="312" t="s">
        <v>2208</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325"/>
      <c r="B28" s="294" t="s">
        <v>2209</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325"/>
      <c r="B29" s="294" t="s">
        <v>2210</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326"/>
      <c r="B30" s="294" t="s">
        <v>2211</v>
      </c>
      <c r="C30" s="3327"/>
      <c r="D30" s="3328"/>
      <c r="E30" s="2439"/>
      <c r="F30" s="2439"/>
      <c r="G30" s="2439"/>
      <c r="H30" s="2439"/>
      <c r="I30" s="2439"/>
      <c r="J30" s="2242"/>
      <c r="K30" s="2399"/>
      <c r="L30" s="2396"/>
      <c r="M30" s="2396"/>
      <c r="N30" s="2242"/>
      <c r="O30" s="1670"/>
      <c r="P30" s="2242"/>
      <c r="Q30" s="2242"/>
      <c r="R30" s="2242"/>
      <c r="S30" s="2242"/>
      <c r="T30" s="2242"/>
      <c r="U30" s="2242"/>
      <c r="V30" s="2242"/>
    </row>
    <row r="31" spans="1:28">
      <c r="A31" s="3329" t="s">
        <v>2212</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330"/>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330"/>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2213</v>
      </c>
      <c r="B34" s="1868"/>
      <c r="C34" s="1868"/>
      <c r="D34" s="1868"/>
      <c r="E34" s="1868"/>
      <c r="F34" s="1868"/>
      <c r="G34" s="1868"/>
      <c r="H34" s="1868"/>
      <c r="I34" s="2439"/>
      <c r="J34" s="2242"/>
      <c r="K34" s="8">
        <f>COUNTIF(B34:H34,"——")</f>
        <v>0</v>
      </c>
      <c r="L34" s="315" t="s">
        <v>2214</v>
      </c>
      <c r="M34" s="315" t="s">
        <v>2215</v>
      </c>
      <c r="N34" s="315" t="s">
        <v>2216</v>
      </c>
      <c r="O34" s="315" t="s">
        <v>2217</v>
      </c>
      <c r="P34" s="315" t="s">
        <v>2218</v>
      </c>
      <c r="Q34" s="315" t="s">
        <v>2219</v>
      </c>
      <c r="R34" s="315" t="s">
        <v>2220</v>
      </c>
      <c r="S34" s="3324" t="s">
        <v>2221</v>
      </c>
      <c r="T34" s="315" t="str">
        <f>NUMBERSTRING(7-K34,1)&amp;"通"</f>
        <v>七通</v>
      </c>
      <c r="U34" s="2242"/>
      <c r="V34" s="2242"/>
    </row>
    <row r="35" spans="1:30">
      <c r="A35" s="2233"/>
      <c r="B35" s="3324" t="s">
        <v>2222</v>
      </c>
      <c r="C35" s="3324"/>
      <c r="D35" s="3324"/>
      <c r="E35" s="3324"/>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4"/>
      <c r="T35" s="138" t="str">
        <f>IF(T34="一通",L35,IF(T34="二通",M35,IF(T34="三通",N35,IF(T34="四通",O35,IF(T34="五通",P35,IF(T34="六通",Q35,R35))))))</f>
        <v>、、、、、、</v>
      </c>
      <c r="U35" s="2242"/>
      <c r="V35" s="2242"/>
    </row>
    <row r="36" spans="1:30">
      <c r="A36" s="2181"/>
      <c r="B36" s="8" t="s">
        <v>2183</v>
      </c>
      <c r="C36" s="8" t="s">
        <v>2184</v>
      </c>
      <c r="D36" s="8" t="s">
        <v>2182</v>
      </c>
      <c r="E36" s="8" t="s">
        <v>2187</v>
      </c>
      <c r="F36" s="2798" t="s">
        <v>2576</v>
      </c>
      <c r="G36" s="2439"/>
      <c r="H36" s="2439"/>
      <c r="I36" s="2439"/>
      <c r="J36" s="2242"/>
      <c r="K36" s="2399"/>
      <c r="L36" s="2396"/>
      <c r="M36" s="2396"/>
      <c r="N36" s="2242"/>
      <c r="O36" s="1670"/>
      <c r="P36" s="2242"/>
      <c r="Q36" s="2242"/>
      <c r="R36" s="2242"/>
      <c r="S36" s="2242"/>
      <c r="T36" s="2242"/>
      <c r="U36" s="2242"/>
      <c r="V36" s="2242"/>
    </row>
    <row r="37" spans="1:30">
      <c r="A37" s="2412" t="s">
        <v>2223</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2224</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2225</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6"/>
      <c r="J40" s="2242"/>
      <c r="K40" s="2398"/>
      <c r="L40" s="1670"/>
      <c r="M40" s="1670"/>
      <c r="N40" s="2242"/>
      <c r="O40" s="1670"/>
      <c r="P40" s="2242"/>
      <c r="Q40" s="2242"/>
      <c r="R40" s="2242"/>
      <c r="S40" s="2242"/>
      <c r="T40" s="2242"/>
      <c r="U40" s="2242"/>
      <c r="V40" s="2242"/>
    </row>
    <row r="41" spans="1:30">
      <c r="A41" s="2239" t="s">
        <v>2226</v>
      </c>
      <c r="B41" s="1627"/>
      <c r="C41" s="1281"/>
      <c r="D41" s="2180"/>
      <c r="E41" s="2180"/>
      <c r="F41" s="2180"/>
      <c r="G41" s="2180"/>
      <c r="H41" s="2180"/>
      <c r="I41" s="1466"/>
      <c r="J41" s="2242"/>
      <c r="K41" s="2399"/>
      <c r="L41" s="2396"/>
      <c r="M41" s="2396"/>
      <c r="N41" s="2242"/>
      <c r="O41" s="1670"/>
      <c r="P41" s="2242"/>
      <c r="Q41" s="2242"/>
      <c r="R41" s="2242"/>
      <c r="S41" s="2242"/>
      <c r="T41" s="2242"/>
      <c r="U41" s="2242"/>
      <c r="V41" s="2242"/>
    </row>
    <row r="42" spans="1:30" ht="25.5">
      <c r="A42" s="315" t="s">
        <v>2227</v>
      </c>
      <c r="B42" s="8" t="s">
        <v>2228</v>
      </c>
      <c r="C42" s="8" t="s">
        <v>2229</v>
      </c>
      <c r="D42" s="8" t="s">
        <v>2230</v>
      </c>
      <c r="E42" s="8" t="s">
        <v>2231</v>
      </c>
      <c r="F42" s="8" t="s">
        <v>2232</v>
      </c>
      <c r="G42" s="8" t="s">
        <v>2233</v>
      </c>
      <c r="H42" s="8" t="s">
        <v>2234</v>
      </c>
      <c r="I42" s="8" t="s">
        <v>2235</v>
      </c>
      <c r="J42" s="2408" t="s">
        <v>2236</v>
      </c>
      <c r="K42" s="2409" t="s">
        <v>2237</v>
      </c>
      <c r="L42" s="2409" t="s">
        <v>2238</v>
      </c>
      <c r="M42" s="2409" t="s">
        <v>2239</v>
      </c>
      <c r="N42" s="2402" t="s">
        <v>2240</v>
      </c>
      <c r="O42" s="2402" t="s">
        <v>2241</v>
      </c>
      <c r="P42" s="2402" t="s">
        <v>2242</v>
      </c>
      <c r="Q42" s="2403" t="s">
        <v>2243</v>
      </c>
      <c r="R42" s="2403" t="s">
        <v>2244</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17" sqref="I17"/>
      <selection pane="topRight" activeCell="I17" sqref="I17"/>
      <selection pane="bottomLeft" activeCell="I17" sqref="I17"/>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625" style="1463" customWidth="1"/>
    <col min="17" max="17" width="9.375" style="1463" customWidth="1"/>
    <col min="18" max="18" width="9.125" style="1463" customWidth="1"/>
    <col min="19" max="19" width="10.875" style="1463" customWidth="1"/>
    <col min="20" max="21" width="10.625" style="1463" customWidth="1"/>
    <col min="22" max="22" width="10.875" style="1463" customWidth="1"/>
    <col min="23" max="27" width="10.625" style="1463" customWidth="1"/>
    <col min="28" max="28" width="10.875" style="1463" customWidth="1"/>
    <col min="29" max="29" width="11" style="1463" bestFit="1" customWidth="1"/>
    <col min="30" max="30" width="10" style="1463" bestFit="1" customWidth="1"/>
    <col min="31" max="31" width="9.625" style="1463" customWidth="1"/>
    <col min="32" max="46" width="9.5" style="1463" customWidth="1"/>
    <col min="47" max="47" width="18.125" style="1463" customWidth="1"/>
    <col min="48" max="50" width="9.62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1070</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f>I9</f>
        <v>0</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7" sqref="I17"/>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362" t="s">
        <v>1129</v>
      </c>
      <c r="B2" s="3362"/>
      <c r="C2" s="3362"/>
      <c r="D2" s="748" t="s">
        <v>1105</v>
      </c>
      <c r="E2" s="1523" t="s">
        <v>1106</v>
      </c>
      <c r="F2" s="2436"/>
      <c r="G2" s="2429"/>
      <c r="H2" s="2430"/>
      <c r="I2" s="2144" t="s">
        <v>1130</v>
      </c>
      <c r="J2" s="2436"/>
      <c r="K2" s="2436"/>
      <c r="L2" s="2436"/>
      <c r="M2" s="2436"/>
      <c r="N2" s="2437"/>
      <c r="O2" s="2436"/>
      <c r="P2" s="2436"/>
    </row>
    <row r="3" spans="1:16" ht="15.75" thickBot="1">
      <c r="A3" s="3363" t="s">
        <v>1103</v>
      </c>
      <c r="B3" s="3363"/>
      <c r="C3" s="3363"/>
      <c r="D3" s="41" t="e">
        <f>'数据-基础表'!AY6</f>
        <v>#DIV/0!</v>
      </c>
      <c r="E3" s="41">
        <f>'数据-基础表'!AZ5</f>
        <v>0</v>
      </c>
      <c r="F3" s="2436"/>
      <c r="G3" s="42"/>
      <c r="H3" s="43" t="s">
        <v>1104</v>
      </c>
      <c r="I3" s="802" t="e">
        <f>ROUND('数据-基础表'!B3/'数据-基础表'!A3,2)</f>
        <v>#DIV/0!</v>
      </c>
      <c r="J3" s="2436"/>
      <c r="K3" s="2436"/>
      <c r="L3" s="2436"/>
      <c r="M3" s="2436"/>
      <c r="N3" s="2437"/>
      <c r="O3" s="2436"/>
      <c r="P3" s="2436"/>
    </row>
    <row r="4" spans="1:16" ht="15">
      <c r="A4" s="3364"/>
      <c r="B4" s="3365"/>
      <c r="C4" s="3366"/>
      <c r="D4" s="1524" t="s">
        <v>1105</v>
      </c>
      <c r="E4" s="1525" t="s">
        <v>1106</v>
      </c>
      <c r="F4" s="2436"/>
      <c r="G4" s="2431" t="s">
        <v>1131</v>
      </c>
      <c r="H4" s="43" t="s">
        <v>1111</v>
      </c>
      <c r="I4" s="802" t="e">
        <f>ROUND(SUMIF('数据-基础表'!I9:AS9,"地上",'数据-基础表'!I5:AS5)/'数据-基础表'!A3,2)</f>
        <v>#DIV/0!</v>
      </c>
      <c r="J4" s="2436"/>
      <c r="K4" s="2436"/>
      <c r="L4" s="2436"/>
      <c r="M4" s="2436"/>
      <c r="N4" s="2437"/>
      <c r="O4" s="2436"/>
      <c r="P4" s="2436"/>
    </row>
    <row r="5" spans="1:16">
      <c r="A5" s="42" t="s">
        <v>1107</v>
      </c>
      <c r="B5" s="3367" t="s">
        <v>1108</v>
      </c>
      <c r="C5" s="3367"/>
      <c r="D5" s="43" t="e">
        <f>ROUND($D$3*E5/$E$3,2)</f>
        <v>#DIV/0!</v>
      </c>
      <c r="E5" s="44">
        <f>SUMIF('数据-基础表'!$11:$11,"住宅",'数据-基础表'!$5:$5)</f>
        <v>0</v>
      </c>
      <c r="F5" s="2436"/>
      <c r="G5" s="42"/>
      <c r="H5" s="43" t="s">
        <v>1104</v>
      </c>
      <c r="I5" s="802" t="e">
        <f>ROUND(E31/D31,2)</f>
        <v>#DIV/0!</v>
      </c>
      <c r="J5" s="2436"/>
      <c r="K5" s="2436"/>
      <c r="L5" s="2436"/>
      <c r="M5" s="2436"/>
      <c r="N5" s="2436"/>
      <c r="O5" s="2436"/>
      <c r="P5" s="2436"/>
    </row>
    <row r="6" spans="1:16" ht="15" thickBot="1">
      <c r="A6" s="1527"/>
      <c r="B6" s="3367" t="s">
        <v>1109</v>
      </c>
      <c r="C6" s="3367"/>
      <c r="D6" s="43" t="e">
        <f>ROUND($D$3*E6/$E$3,2)</f>
        <v>#DIV/0!</v>
      </c>
      <c r="E6" s="44">
        <f>E3-E5</f>
        <v>0</v>
      </c>
      <c r="F6" s="2436"/>
      <c r="G6" s="1529" t="s">
        <v>1110</v>
      </c>
      <c r="H6" s="45" t="s">
        <v>1111</v>
      </c>
      <c r="I6" s="2432" t="e">
        <f>ROUND(F31/D31,2)</f>
        <v>#DIV/0!</v>
      </c>
      <c r="J6" s="2436"/>
      <c r="K6" s="2436"/>
      <c r="L6" s="2436"/>
      <c r="M6" s="2436"/>
      <c r="N6" s="2436"/>
      <c r="O6" s="2436"/>
      <c r="P6" s="2436"/>
    </row>
    <row r="7" spans="1:16" ht="15.75" thickBot="1">
      <c r="A7" s="3359"/>
      <c r="B7" s="3360"/>
      <c r="C7" s="3361"/>
      <c r="D7" s="1524" t="s">
        <v>1105</v>
      </c>
      <c r="E7" s="1528" t="s">
        <v>1112</v>
      </c>
      <c r="F7" s="2436"/>
      <c r="G7" s="2433" t="s">
        <v>1113</v>
      </c>
      <c r="H7" s="95"/>
      <c r="I7" s="2434"/>
      <c r="J7" s="2436"/>
      <c r="K7" s="2436"/>
      <c r="L7" s="2436"/>
      <c r="M7" s="2436"/>
      <c r="N7" s="2436"/>
      <c r="O7" s="2436"/>
      <c r="P7" s="2436"/>
    </row>
    <row r="8" spans="1:16">
      <c r="A8" s="42" t="s">
        <v>1114</v>
      </c>
      <c r="B8" s="45" t="s">
        <v>1115</v>
      </c>
      <c r="C8" s="43" t="s">
        <v>1116</v>
      </c>
      <c r="D8" s="43" t="e">
        <f t="shared" ref="D8:D15" si="0">ROUND($D$3*E8/$E$3,2)</f>
        <v>#DIV/0!</v>
      </c>
      <c r="E8" s="46">
        <f>SUMIF('数据-基础表'!BB10:BK10,"地上",'数据-基础表'!BB5:BK5)</f>
        <v>0</v>
      </c>
      <c r="F8" s="2436"/>
      <c r="G8" s="2436"/>
      <c r="H8" s="2436"/>
      <c r="I8" s="2436"/>
      <c r="J8" s="2436"/>
      <c r="K8" s="2436"/>
      <c r="L8" s="2436"/>
      <c r="M8" s="2436"/>
      <c r="N8" s="2436"/>
      <c r="O8" s="2436"/>
      <c r="P8" s="2436"/>
    </row>
    <row r="9" spans="1:16">
      <c r="A9" s="1529"/>
      <c r="B9" s="1530"/>
      <c r="C9" s="43" t="s">
        <v>1117</v>
      </c>
      <c r="D9" s="43" t="e">
        <f t="shared" si="0"/>
        <v>#DIV/0!</v>
      </c>
      <c r="E9" s="47">
        <v>0</v>
      </c>
      <c r="F9" s="2436"/>
      <c r="G9" s="2436"/>
      <c r="H9" s="2436"/>
      <c r="I9" s="2436"/>
      <c r="J9" s="2436"/>
      <c r="K9" s="2436"/>
      <c r="L9" s="2436"/>
      <c r="M9" s="2436"/>
      <c r="N9" s="2436"/>
      <c r="O9" s="2436"/>
      <c r="P9" s="2436"/>
    </row>
    <row r="10" spans="1:16">
      <c r="A10" s="1529"/>
      <c r="B10" s="1530"/>
      <c r="C10" s="43" t="s">
        <v>1126</v>
      </c>
      <c r="D10" s="43" t="e">
        <f t="shared" si="0"/>
        <v>#DIV/0!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1118</v>
      </c>
      <c r="D11" s="43" t="e">
        <f t="shared" si="0"/>
        <v>#DIV/0!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1119</v>
      </c>
      <c r="D12" s="43" t="e">
        <f t="shared" si="0"/>
        <v>#DIV/0!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1120</v>
      </c>
      <c r="D13" s="43" t="e">
        <f t="shared" si="0"/>
        <v>#DIV/0!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1132</v>
      </c>
      <c r="D14" s="43" t="e">
        <f t="shared" si="0"/>
        <v>#DIV/0!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1127</v>
      </c>
      <c r="D15" s="43" t="e">
        <f t="shared" si="0"/>
        <v>#DIV/0!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1121</v>
      </c>
      <c r="D16" s="45" t="e">
        <f>SUM(D8:D15)</f>
        <v>#DIV/0!</v>
      </c>
      <c r="E16" s="48">
        <f>SUM(E8:E15)</f>
        <v>0</v>
      </c>
      <c r="F16" s="2436"/>
      <c r="G16" s="2436"/>
      <c r="H16" s="1531" t="s">
        <v>1133</v>
      </c>
      <c r="I16" s="1532"/>
      <c r="J16" s="1071"/>
      <c r="K16" s="3356" t="s">
        <v>1133</v>
      </c>
      <c r="L16" s="3357"/>
      <c r="M16" s="3357"/>
      <c r="N16" s="3357"/>
      <c r="O16" s="3357"/>
      <c r="P16" s="3358"/>
    </row>
    <row r="17" spans="1:19" ht="15">
      <c r="A17" s="1533" t="s">
        <v>1134</v>
      </c>
      <c r="B17" s="1534" t="s">
        <v>1135</v>
      </c>
      <c r="C17" s="1535" t="s">
        <v>1136</v>
      </c>
      <c r="D17" s="1536" t="s">
        <v>1124</v>
      </c>
      <c r="E17" s="1537" t="s">
        <v>1125</v>
      </c>
      <c r="F17" s="1538"/>
      <c r="G17" s="1539"/>
      <c r="H17" s="1540" t="s">
        <v>1137</v>
      </c>
      <c r="I17" s="1541" t="s">
        <v>1122</v>
      </c>
      <c r="J17" s="1071"/>
      <c r="K17" s="3353" t="s">
        <v>1138</v>
      </c>
      <c r="L17" s="3354"/>
      <c r="M17" s="3355"/>
      <c r="N17" s="3353" t="s">
        <v>1139</v>
      </c>
      <c r="O17" s="3354"/>
      <c r="P17" s="3355"/>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3"/>
      <c r="D19" s="43" t="e">
        <f>ROUND($D$3*E19/$E$3,2)</f>
        <v>#DIV/0!</v>
      </c>
      <c r="E19" s="51">
        <f t="shared" ref="E19:E26" si="1">SUM(F19:G19)</f>
        <v>0</v>
      </c>
      <c r="F19" s="2555"/>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1151</v>
      </c>
      <c r="C20" s="3113"/>
      <c r="D20" s="43" t="e">
        <f t="shared" ref="D20:D26" si="6">ROUND($D$3*E20/$E$3,2)</f>
        <v>#DIV/0!</v>
      </c>
      <c r="E20" s="51">
        <f t="shared" si="1"/>
        <v>0</v>
      </c>
      <c r="F20" s="2555"/>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1151</v>
      </c>
      <c r="C21" s="3113"/>
      <c r="D21" s="43" t="e">
        <f t="shared" si="6"/>
        <v>#DIV/0!</v>
      </c>
      <c r="E21" s="51">
        <f t="shared" si="1"/>
        <v>0</v>
      </c>
      <c r="F21" s="2555"/>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1151</v>
      </c>
      <c r="C22" s="3114"/>
      <c r="D22" s="43" t="e">
        <f t="shared" si="6"/>
        <v>#DIV/0!</v>
      </c>
      <c r="E22" s="51">
        <f t="shared" si="1"/>
        <v>0</v>
      </c>
      <c r="F22" s="2556"/>
      <c r="G22" s="2557"/>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1151</v>
      </c>
      <c r="C23" s="3114"/>
      <c r="D23" s="43" t="e">
        <f>ROUND($D$3*E23/$E$3,2)</f>
        <v>#DIV/0!</v>
      </c>
      <c r="E23" s="51">
        <f>SUM(F23:G23)</f>
        <v>0</v>
      </c>
      <c r="F23" s="2556"/>
      <c r="G23" s="2557"/>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1151</v>
      </c>
      <c r="C24" s="3114"/>
      <c r="D24" s="43" t="e">
        <f>ROUND($D$3*E24/$E$3,2)</f>
        <v>#DIV/0!</v>
      </c>
      <c r="E24" s="51">
        <f>SUM(F24:G24)</f>
        <v>0</v>
      </c>
      <c r="F24" s="2556"/>
      <c r="G24" s="2557"/>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1151</v>
      </c>
      <c r="C25" s="3114"/>
      <c r="D25" s="43" t="e">
        <f t="shared" si="6"/>
        <v>#DIV/0!</v>
      </c>
      <c r="E25" s="51">
        <f t="shared" si="1"/>
        <v>0</v>
      </c>
      <c r="F25" s="2556"/>
      <c r="G25" s="2557"/>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1151</v>
      </c>
      <c r="C26" s="53"/>
      <c r="D26" s="43" t="e">
        <f t="shared" si="6"/>
        <v>#DIV/0!</v>
      </c>
      <c r="E26" s="51">
        <f t="shared" si="1"/>
        <v>0</v>
      </c>
      <c r="F26" s="2556"/>
      <c r="G26" s="2557"/>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1152</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1153</v>
      </c>
      <c r="C28" s="54" t="s">
        <v>1154</v>
      </c>
      <c r="D28" s="43" t="e">
        <f>ROUND($D$3*E28/$E$3,2)</f>
        <v>#DIV/0!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1153</v>
      </c>
      <c r="C29" s="1555" t="s">
        <v>1155</v>
      </c>
      <c r="D29" s="43" t="e">
        <f>ROUND($D$3*E29/$E$3,2)</f>
        <v>#DIV/0!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1152</v>
      </c>
      <c r="D30" s="1072" t="e">
        <f>SUM(D28:D29)</f>
        <v>#DIV/0!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1156</v>
      </c>
      <c r="D31" s="643" t="e">
        <f>D27+D30</f>
        <v>#DIV/0!</v>
      </c>
      <c r="E31" s="643">
        <f>E27+E30</f>
        <v>0</v>
      </c>
      <c r="F31" s="644">
        <f>F27+F30</f>
        <v>0</v>
      </c>
      <c r="G31" s="645">
        <f>G27+G30</f>
        <v>0</v>
      </c>
      <c r="H31" s="2436"/>
      <c r="I31" s="2436"/>
      <c r="J31" s="2436"/>
      <c r="K31" s="2436"/>
      <c r="L31" s="2436"/>
      <c r="M31" s="2436"/>
      <c r="N31" s="2436"/>
      <c r="O31" s="2436"/>
      <c r="P31" s="2436"/>
    </row>
    <row r="32" spans="1:19">
      <c r="A32" s="1526"/>
      <c r="B32" s="1526" t="s">
        <v>1157</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I17" sqref="I17"/>
      <selection pane="topRight" activeCell="I17" sqref="I17"/>
      <selection pane="bottomLeft" activeCell="I17" sqref="I17"/>
      <selection pane="bottomRight" activeCell="I17" sqref="I17"/>
    </sheetView>
  </sheetViews>
  <sheetFormatPr defaultColWidth="13.625" defaultRowHeight="12.75"/>
  <cols>
    <col min="1" max="1" width="20.875" style="1618" customWidth="1"/>
    <col min="2" max="2" width="12" style="1561" customWidth="1"/>
    <col min="3" max="3" width="12.62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625" style="1561" customWidth="1"/>
    <col min="31" max="31" width="8" style="1561" customWidth="1"/>
    <col min="32" max="34" width="7.125" style="1561" customWidth="1"/>
    <col min="35" max="39" width="8" style="1561" customWidth="1"/>
    <col min="40" max="40" width="13.625" style="122"/>
    <col min="41" max="41" width="11.625" style="122" customWidth="1"/>
    <col min="42" max="42" width="9.625" style="122" customWidth="1"/>
    <col min="43" max="67" width="13.625" style="122"/>
    <col min="68" max="16384" width="13.62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1159</v>
      </c>
      <c r="B2" s="984">
        <f>项目基本情况!D3</f>
        <v>45221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5"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1208</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1209</v>
      </c>
      <c r="B19" s="97"/>
      <c r="C19" s="2558" t="s">
        <v>2298</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1210</v>
      </c>
      <c r="B20" s="98"/>
      <c r="C20" s="2559" t="s">
        <v>2296</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1211</v>
      </c>
      <c r="B21" s="98"/>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1212</v>
      </c>
      <c r="B22" s="99">
        <f>B19+B20</f>
        <v>0</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1213</v>
      </c>
      <c r="B23" s="99">
        <f>B19+B21</f>
        <v>0</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1214</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1215</v>
      </c>
      <c r="B26" s="1600" t="s">
        <v>1216</v>
      </c>
      <c r="C26" s="2450" t="s">
        <v>1217</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1218</v>
      </c>
      <c r="B27" s="101"/>
      <c r="C27" s="2560" t="s">
        <v>2300</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1219</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1220</v>
      </c>
      <c r="B29" s="105"/>
      <c r="C29" s="2561" t="s">
        <v>2287</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1221</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1222</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1223</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1224</v>
      </c>
      <c r="B33" s="640"/>
      <c r="C33" s="2562" t="s">
        <v>2288</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1225</v>
      </c>
      <c r="B34" s="106"/>
      <c r="C34" s="2562" t="s">
        <v>2289</v>
      </c>
      <c r="D34" s="2457" t="s">
        <v>2297</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1226</v>
      </c>
      <c r="B35" s="103"/>
      <c r="C35" s="2562" t="s">
        <v>2290</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1227</v>
      </c>
      <c r="B36" s="107"/>
      <c r="C36" s="2562" t="s">
        <v>2291</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1228</v>
      </c>
      <c r="B37" s="108"/>
      <c r="C37" s="2562" t="s">
        <v>2292</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1229</v>
      </c>
      <c r="B38" s="106"/>
      <c r="C38" s="2562" t="s">
        <v>2292</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1230</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2307</v>
      </c>
      <c r="B40" s="1015" t="e">
        <f ca="1">IF(A40="利息：取LPR",存贷款利率!G1,存贷款利率!G1+C40)</f>
        <v>#VALUE!</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1231</v>
      </c>
      <c r="B41" s="109">
        <f>B42+B43</f>
        <v>0</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1232</v>
      </c>
      <c r="B42" s="110"/>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1233</v>
      </c>
      <c r="B43" s="111">
        <f>B42*(B44+B45+B46)+B47</f>
        <v>0</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1234</v>
      </c>
      <c r="B44" s="112"/>
      <c r="C44" s="2562" t="s">
        <v>2301</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1235</v>
      </c>
      <c r="B45" s="110"/>
      <c r="C45" s="2561" t="s">
        <v>2293</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1236</v>
      </c>
      <c r="B46" s="110"/>
      <c r="C46" s="2561" t="s">
        <v>2294</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1237</v>
      </c>
      <c r="B47" s="113"/>
      <c r="C47" s="2564" t="s">
        <v>2302</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1238</v>
      </c>
      <c r="B48" s="114"/>
      <c r="C48" s="2561" t="s">
        <v>2293</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1239</v>
      </c>
      <c r="B49" s="110"/>
      <c r="C49" s="2561" t="s">
        <v>2295</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1240</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1241</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1242</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1243</v>
      </c>
      <c r="B53" s="1611"/>
      <c r="C53" s="2437" t="s">
        <v>1244</v>
      </c>
      <c r="D53" s="2563" t="s">
        <v>2299</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1245</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1246</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1247</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1248</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1249</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1250</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1251</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1252</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1253</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1254</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625" style="2274" customWidth="1"/>
    <col min="10" max="10" width="2.625" style="2274" customWidth="1"/>
    <col min="11" max="11" width="11.875" style="2274" customWidth="1"/>
    <col min="12" max="12" width="16.625" style="2274" customWidth="1"/>
    <col min="13" max="13" width="2.625" style="2274" customWidth="1"/>
    <col min="14" max="14" width="11.875" style="2274" customWidth="1"/>
    <col min="15" max="15" width="16.625" style="2274" customWidth="1"/>
    <col min="16" max="16" width="2.625" style="2274" customWidth="1"/>
    <col min="17" max="17" width="11.875" style="2274" customWidth="1"/>
    <col min="18" max="18" width="16.625" style="751" customWidth="1"/>
    <col min="19" max="29" width="9" style="751"/>
    <col min="30" max="16384" width="9" style="1522"/>
  </cols>
  <sheetData>
    <row r="1" spans="1:29" s="2256" customFormat="1" ht="18.75" thickBot="1">
      <c r="A1" s="3368" t="s">
        <v>2279</v>
      </c>
      <c r="B1" s="3369"/>
      <c r="C1" s="3369"/>
      <c r="D1" s="3369"/>
      <c r="E1" s="3369"/>
      <c r="F1" s="3369"/>
      <c r="G1" s="336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2274</v>
      </c>
      <c r="D2" s="1595"/>
      <c r="E2" s="2257"/>
      <c r="F2" s="2260"/>
      <c r="G2" s="2259" t="s">
        <v>2275</v>
      </c>
      <c r="H2" s="751"/>
      <c r="I2" s="751"/>
      <c r="J2" s="751"/>
      <c r="K2" s="751"/>
      <c r="L2" s="751"/>
      <c r="M2" s="751"/>
      <c r="N2" s="751"/>
      <c r="O2" s="751"/>
      <c r="P2" s="751"/>
      <c r="Q2" s="751"/>
    </row>
    <row r="3" spans="1:29" ht="48">
      <c r="A3" s="2244" t="s">
        <v>2276</v>
      </c>
      <c r="B3" s="2261" t="s">
        <v>2245</v>
      </c>
      <c r="C3" s="2262" t="s">
        <v>2277</v>
      </c>
      <c r="D3" s="2263"/>
      <c r="E3" s="2245" t="s">
        <v>2276</v>
      </c>
      <c r="F3" s="2264" t="s">
        <v>2246</v>
      </c>
      <c r="G3" s="2265" t="s">
        <v>2278</v>
      </c>
      <c r="H3" s="751"/>
      <c r="I3" s="751"/>
      <c r="J3" s="751"/>
      <c r="K3" s="751"/>
      <c r="L3" s="751"/>
      <c r="M3" s="751"/>
      <c r="N3" s="751"/>
      <c r="O3" s="751"/>
      <c r="P3" s="751"/>
      <c r="Q3" s="751"/>
    </row>
    <row r="4" spans="1:29" ht="36.75">
      <c r="A4" s="2245"/>
      <c r="B4" s="315" t="s">
        <v>2247</v>
      </c>
      <c r="C4" s="2266" t="s">
        <v>2248</v>
      </c>
      <c r="D4" s="2263"/>
      <c r="E4" s="2267"/>
      <c r="F4" s="1281" t="s">
        <v>2249</v>
      </c>
      <c r="G4" s="2268" t="s">
        <v>2250</v>
      </c>
      <c r="H4" s="751"/>
      <c r="I4" s="751"/>
      <c r="J4" s="751"/>
      <c r="K4" s="751"/>
      <c r="L4" s="751"/>
      <c r="M4" s="751"/>
      <c r="N4" s="751"/>
      <c r="O4" s="751"/>
      <c r="P4" s="751"/>
      <c r="Q4" s="751"/>
    </row>
    <row r="5" spans="1:29" ht="36.75">
      <c r="A5" s="2245"/>
      <c r="B5" s="315" t="s">
        <v>2251</v>
      </c>
      <c r="C5" s="2266" t="s">
        <v>2252</v>
      </c>
      <c r="D5" s="2263"/>
      <c r="E5" s="2267"/>
      <c r="F5" s="315" t="s">
        <v>2253</v>
      </c>
      <c r="G5" s="2268" t="s">
        <v>2254</v>
      </c>
      <c r="H5" s="751"/>
      <c r="I5" s="751"/>
      <c r="J5" s="751"/>
      <c r="K5" s="751"/>
      <c r="L5" s="751"/>
      <c r="M5" s="751"/>
      <c r="N5" s="751"/>
      <c r="O5" s="751"/>
      <c r="P5" s="751"/>
      <c r="Q5" s="751"/>
    </row>
    <row r="6" spans="1:29" ht="36">
      <c r="A6" s="2245"/>
      <c r="B6" s="315" t="s">
        <v>2255</v>
      </c>
      <c r="C6" s="2268" t="s">
        <v>2250</v>
      </c>
      <c r="D6" s="2263"/>
      <c r="E6" s="2267"/>
      <c r="F6" s="315" t="s">
        <v>2256</v>
      </c>
      <c r="G6" s="2268" t="s">
        <v>2257</v>
      </c>
      <c r="H6" s="751"/>
      <c r="I6" s="751"/>
      <c r="J6" s="751"/>
      <c r="K6" s="751"/>
      <c r="L6" s="751"/>
      <c r="M6" s="751"/>
      <c r="N6" s="751"/>
      <c r="O6" s="751"/>
      <c r="P6" s="751"/>
      <c r="Q6" s="751"/>
    </row>
    <row r="7" spans="1:29" ht="24.75" thickBot="1">
      <c r="A7" s="2245"/>
      <c r="B7" s="315" t="s">
        <v>2253</v>
      </c>
      <c r="C7" s="2268" t="s">
        <v>2254</v>
      </c>
      <c r="D7" s="2242"/>
      <c r="E7" s="2269"/>
      <c r="F7" s="2270" t="s">
        <v>2258</v>
      </c>
      <c r="G7" s="2271" t="s">
        <v>2259</v>
      </c>
      <c r="H7" s="751"/>
      <c r="I7" s="751"/>
      <c r="J7" s="751"/>
      <c r="K7" s="751"/>
      <c r="L7" s="751"/>
      <c r="M7" s="751"/>
      <c r="N7" s="751"/>
      <c r="O7" s="751"/>
      <c r="P7" s="751"/>
      <c r="Q7" s="751"/>
    </row>
    <row r="8" spans="1:29">
      <c r="A8" s="2245"/>
      <c r="B8" s="315" t="s">
        <v>2256</v>
      </c>
      <c r="C8" s="2268" t="s">
        <v>2257</v>
      </c>
      <c r="D8" s="2242"/>
      <c r="E8" s="2242"/>
      <c r="F8" s="121"/>
      <c r="G8" s="121"/>
      <c r="H8" s="751"/>
      <c r="I8" s="751"/>
      <c r="J8" s="751"/>
      <c r="K8" s="751"/>
      <c r="L8" s="751"/>
      <c r="M8" s="751"/>
      <c r="N8" s="751"/>
      <c r="O8" s="751"/>
      <c r="P8" s="751"/>
      <c r="Q8" s="751"/>
    </row>
    <row r="9" spans="1:29" ht="24">
      <c r="A9" s="2245"/>
      <c r="B9" s="315" t="s">
        <v>2260</v>
      </c>
      <c r="C9" s="2266" t="s">
        <v>2261</v>
      </c>
      <c r="D9" s="2263"/>
      <c r="E9" s="2242"/>
      <c r="F9" s="121"/>
      <c r="G9" s="121"/>
      <c r="H9" s="751"/>
      <c r="I9" s="751"/>
      <c r="J9" s="751"/>
      <c r="K9" s="751"/>
      <c r="L9" s="751"/>
      <c r="M9" s="751"/>
      <c r="N9" s="751"/>
      <c r="O9" s="751"/>
      <c r="P9" s="751"/>
      <c r="Q9" s="751"/>
    </row>
    <row r="10" spans="1:29" ht="15" thickBot="1">
      <c r="A10" s="2246"/>
      <c r="B10" s="2272" t="s">
        <v>2262</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2280</v>
      </c>
      <c r="B13" s="2277"/>
      <c r="C13" s="2277"/>
      <c r="D13" s="2276"/>
      <c r="E13" s="2277"/>
      <c r="F13" s="2277"/>
      <c r="G13" s="2277"/>
    </row>
    <row r="14" spans="1:29" ht="15" thickBot="1">
      <c r="A14" s="2282"/>
      <c r="B14" s="2282"/>
      <c r="C14" s="2283" t="s">
        <v>2263</v>
      </c>
      <c r="D14" s="2263"/>
      <c r="E14" s="2284"/>
      <c r="F14" s="2284"/>
      <c r="G14" s="2259" t="s">
        <v>2264</v>
      </c>
    </row>
    <row r="15" spans="1:29" ht="51">
      <c r="A15" s="2247" t="s">
        <v>2265</v>
      </c>
      <c r="B15" s="2285" t="s">
        <v>2245</v>
      </c>
      <c r="C15" s="2286" t="str">
        <f>C3</f>
        <v>估价对象周边居住用地比例、居住小区规模和社区发展完善程度，综合评价居住社区成熟度一般</v>
      </c>
      <c r="D15" s="2263"/>
      <c r="E15" s="2248" t="s">
        <v>2266</v>
      </c>
      <c r="F15" s="2285" t="s">
        <v>2267</v>
      </c>
      <c r="G15" s="2287" t="str">
        <f>G3</f>
        <v>估价对象位于XX开发区，园区建设成熟度XX，产业集聚程度XX</v>
      </c>
    </row>
    <row r="16" spans="1:29" ht="38.25">
      <c r="A16" s="2249"/>
      <c r="B16" s="2288" t="s">
        <v>2247</v>
      </c>
      <c r="C16" s="2289" t="str">
        <f>C4</f>
        <v>估价对象位于XX商圈，周边商业氛围成熟，人流量大，商业繁华度好</v>
      </c>
      <c r="D16" s="2263"/>
      <c r="E16" s="2250"/>
      <c r="F16" s="2290" t="s">
        <v>2249</v>
      </c>
      <c r="G16" s="2291" t="str">
        <f>G4</f>
        <v>估价对象周边道路状况、公共交通通达情况、停车便捷程度，综合评价交通便捷度较好</v>
      </c>
    </row>
    <row r="17" spans="1:17" ht="38.25">
      <c r="A17" s="2249"/>
      <c r="B17" s="2288" t="s">
        <v>2251</v>
      </c>
      <c r="C17" s="2289" t="str">
        <f>C5</f>
        <v>估价对象位于XX商圈，周边办公楼项目较多，入驻率高，办公集聚程度较好</v>
      </c>
      <c r="D17" s="2242"/>
      <c r="E17" s="2250"/>
      <c r="F17" s="2290" t="s">
        <v>2268</v>
      </c>
      <c r="G17" s="2292"/>
    </row>
    <row r="18" spans="1:17" ht="38.25">
      <c r="A18" s="2249"/>
      <c r="B18" s="2290" t="s">
        <v>2255</v>
      </c>
      <c r="C18" s="2291" t="str">
        <f>C6</f>
        <v>估价对象周边道路状况、公共交通通达情况、停车便捷程度，综合评价交通便捷度较好</v>
      </c>
      <c r="D18" s="2242"/>
      <c r="E18" s="2250"/>
      <c r="F18" s="2290" t="s">
        <v>2258</v>
      </c>
      <c r="G18" s="2291" t="str">
        <f>G7</f>
        <v>该园区内是否有污染型企业，绿化情况，卫生条件，整体环境状况判断</v>
      </c>
    </row>
    <row r="19" spans="1:17" ht="25.5">
      <c r="A19" s="2249"/>
      <c r="B19" s="2290" t="s">
        <v>2269</v>
      </c>
      <c r="C19" s="2292"/>
      <c r="D19" s="2263"/>
      <c r="E19" s="2250"/>
      <c r="F19" s="315" t="s">
        <v>2253</v>
      </c>
      <c r="G19" s="2291" t="str">
        <f>G5</f>
        <v>估价对象所在区域公共配套设施齐备情况</v>
      </c>
    </row>
    <row r="20" spans="1:17" ht="25.5">
      <c r="A20" s="2249"/>
      <c r="B20" s="2290" t="s">
        <v>2270</v>
      </c>
      <c r="C20" s="2289" t="str">
        <f>C9</f>
        <v>区域自然环境：；人文环境；综合评价环境状况一般</v>
      </c>
      <c r="D20" s="2242"/>
      <c r="E20" s="2250"/>
      <c r="F20" s="315" t="s">
        <v>2256</v>
      </c>
      <c r="G20" s="2291" t="str">
        <f>G6</f>
        <v>估价对象所在区域基础设施水平</v>
      </c>
    </row>
    <row r="21" spans="1:17" ht="25.5">
      <c r="A21" s="2249"/>
      <c r="B21" s="315" t="s">
        <v>2253</v>
      </c>
      <c r="C21" s="2291" t="str">
        <f>C7</f>
        <v>估价对象所在区域公共配套设施齐备情况</v>
      </c>
      <c r="D21" s="2263"/>
      <c r="E21" s="2250"/>
      <c r="F21" s="2290" t="s">
        <v>2271</v>
      </c>
      <c r="G21" s="2293"/>
    </row>
    <row r="22" spans="1:17" ht="13.5" customHeight="1">
      <c r="A22" s="2249"/>
      <c r="B22" s="315" t="s">
        <v>2256</v>
      </c>
      <c r="C22" s="2291" t="str">
        <f>C8</f>
        <v>估价对象所在区域基础设施水平</v>
      </c>
      <c r="D22" s="2263"/>
      <c r="E22" s="2250"/>
      <c r="F22" s="2290" t="s">
        <v>2262</v>
      </c>
      <c r="G22" s="2292"/>
    </row>
    <row r="23" spans="1:17" s="751" customFormat="1" ht="15" thickBot="1">
      <c r="A23" s="2249"/>
      <c r="B23" s="2290" t="s">
        <v>2271</v>
      </c>
      <c r="C23" s="2293"/>
      <c r="D23" s="1614"/>
      <c r="E23" s="2251"/>
      <c r="F23" s="2294" t="s">
        <v>2272</v>
      </c>
      <c r="G23" s="2295"/>
      <c r="H23" s="2274"/>
      <c r="I23" s="2274"/>
      <c r="J23" s="2274"/>
      <c r="K23" s="2274"/>
      <c r="L23" s="2274"/>
      <c r="M23" s="2274"/>
      <c r="N23" s="2274"/>
      <c r="O23" s="2274"/>
      <c r="P23" s="2274"/>
      <c r="Q23" s="2274"/>
    </row>
    <row r="24" spans="1:17" s="751" customFormat="1" ht="15" thickBot="1">
      <c r="A24" s="2252"/>
      <c r="B24" s="2294" t="s">
        <v>2273</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3" sqref="I13"/>
    </sheetView>
  </sheetViews>
  <sheetFormatPr defaultColWidth="9" defaultRowHeight="13.5"/>
  <cols>
    <col min="1" max="1" width="25" style="2298" customWidth="1"/>
    <col min="2" max="9" width="15.625" style="2298" customWidth="1"/>
    <col min="10" max="16384" width="9" style="2298"/>
  </cols>
  <sheetData>
    <row r="1" spans="1:11" ht="16.5">
      <c r="A1" s="2297" t="s">
        <v>665</v>
      </c>
      <c r="B1" s="2297">
        <f>SUM(B14:B23)</f>
        <v>0</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45221</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0</v>
      </c>
      <c r="C5" s="2297">
        <f ca="1">IF(B5=D14,结果表!H102,ROUND(B5*10000/$B$1,0))</f>
        <v>0</v>
      </c>
      <c r="D5" s="2297" t="e">
        <f>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3357</v>
      </c>
      <c r="D10" s="2297" t="s">
        <v>3358</v>
      </c>
      <c r="E10" s="3134"/>
      <c r="F10" s="3138" t="s">
        <v>3359</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c r="C14" s="2303"/>
      <c r="D14" s="2303"/>
      <c r="E14" s="2303" t="e">
        <f>ROUND(D14*10000/B14,0)</f>
        <v>#DIV/0!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49" sqref="A1:I5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04" t="str">
        <f>项目基本情况!S2</f>
        <v>北京市丰台区大红门一期A区棚户区改造项目房地产</v>
      </c>
      <c r="B2" s="3405"/>
      <c r="C2" s="3405"/>
      <c r="D2" s="3405"/>
      <c r="E2" s="3405"/>
      <c r="F2" s="3405"/>
      <c r="G2" s="3405"/>
      <c r="H2" s="3405"/>
      <c r="I2" s="3406"/>
    </row>
    <row r="3" spans="1:12" ht="12.75">
      <c r="A3" s="3408" t="s">
        <v>1262</v>
      </c>
      <c r="B3" s="3409"/>
      <c r="C3" s="3409"/>
      <c r="D3" s="3409"/>
      <c r="E3" s="3409"/>
      <c r="F3" s="3409"/>
      <c r="G3" s="3409"/>
      <c r="H3" s="3409"/>
      <c r="I3" s="3409"/>
    </row>
    <row r="4" spans="1:12" ht="14.25">
      <c r="A4" s="1624" t="s">
        <v>1263</v>
      </c>
      <c r="B4" s="1625" t="s">
        <v>1264</v>
      </c>
      <c r="C4" s="1626"/>
      <c r="D4" s="1626"/>
      <c r="E4" s="3410" t="s">
        <v>1265</v>
      </c>
      <c r="F4" s="3411"/>
      <c r="G4" s="3411"/>
      <c r="H4" s="3411"/>
      <c r="I4" s="34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4" t="s">
        <v>1266</v>
      </c>
      <c r="B5" s="3371">
        <v>25</v>
      </c>
      <c r="C5" s="3387"/>
      <c r="D5" s="3407"/>
      <c r="E5" s="123" t="s">
        <v>1267</v>
      </c>
      <c r="F5" s="1627"/>
      <c r="G5" s="1627"/>
      <c r="H5" s="1627"/>
      <c r="I5" s="1281"/>
    </row>
    <row r="6" spans="1:12" ht="12.75">
      <c r="A6" s="3384"/>
      <c r="B6" s="3371"/>
      <c r="C6" s="3388"/>
      <c r="D6" s="3407"/>
      <c r="E6" s="123" t="s">
        <v>1268</v>
      </c>
      <c r="F6" s="1627"/>
      <c r="G6" s="1627"/>
      <c r="H6" s="1627"/>
      <c r="I6" s="1281"/>
    </row>
    <row r="7" spans="1:12" ht="12.75">
      <c r="A7" s="3384"/>
      <c r="B7" s="3371"/>
      <c r="C7" s="3389"/>
      <c r="D7" s="3407"/>
      <c r="E7" s="123" t="s">
        <v>1269</v>
      </c>
      <c r="F7" s="1627"/>
      <c r="G7" s="1627"/>
      <c r="H7" s="1627"/>
      <c r="I7" s="1281"/>
    </row>
    <row r="8" spans="1:12" ht="12.75">
      <c r="A8" s="3384" t="s">
        <v>1270</v>
      </c>
      <c r="B8" s="3371">
        <v>15</v>
      </c>
      <c r="C8" s="3387"/>
      <c r="D8" s="3407"/>
      <c r="E8" s="123" t="s">
        <v>1271</v>
      </c>
      <c r="F8" s="1627"/>
      <c r="G8" s="1627"/>
      <c r="H8" s="1627"/>
      <c r="I8" s="1281"/>
    </row>
    <row r="9" spans="1:12" ht="12.75">
      <c r="A9" s="3384"/>
      <c r="B9" s="3371"/>
      <c r="C9" s="3389"/>
      <c r="D9" s="3407"/>
      <c r="E9" s="123" t="s">
        <v>1272</v>
      </c>
      <c r="F9" s="1627"/>
      <c r="G9" s="1627"/>
      <c r="H9" s="1627"/>
      <c r="I9" s="1281"/>
    </row>
    <row r="10" spans="1:12" ht="12.75">
      <c r="A10" s="3384" t="s">
        <v>1273</v>
      </c>
      <c r="B10" s="3371">
        <v>15</v>
      </c>
      <c r="C10" s="3387"/>
      <c r="D10" s="3407"/>
      <c r="E10" s="123" t="s">
        <v>1274</v>
      </c>
      <c r="F10" s="1627"/>
      <c r="G10" s="1627"/>
      <c r="H10" s="1627"/>
      <c r="I10" s="1281"/>
    </row>
    <row r="11" spans="1:12" ht="12.75">
      <c r="A11" s="3384"/>
      <c r="B11" s="3371"/>
      <c r="C11" s="3389"/>
      <c r="D11" s="3407"/>
      <c r="E11" s="123" t="s">
        <v>1275</v>
      </c>
      <c r="F11" s="1627"/>
      <c r="G11" s="1627"/>
      <c r="H11" s="1627"/>
      <c r="I11" s="1281"/>
    </row>
    <row r="12" spans="1:12" ht="12.75">
      <c r="A12" s="3384" t="s">
        <v>1276</v>
      </c>
      <c r="B12" s="3371">
        <v>15</v>
      </c>
      <c r="C12" s="3387"/>
      <c r="D12" s="3407"/>
      <c r="E12" s="123" t="s">
        <v>1277</v>
      </c>
      <c r="F12" s="1627"/>
      <c r="G12" s="1627"/>
      <c r="H12" s="1627"/>
      <c r="I12" s="1281"/>
    </row>
    <row r="13" spans="1:12" ht="12.75">
      <c r="A13" s="3384"/>
      <c r="B13" s="3371"/>
      <c r="C13" s="3389"/>
      <c r="D13" s="3407"/>
      <c r="E13" s="123" t="s">
        <v>1278</v>
      </c>
      <c r="F13" s="1627"/>
      <c r="G13" s="1627"/>
      <c r="H13" s="1627"/>
      <c r="I13" s="1281"/>
    </row>
    <row r="14" spans="1:12" ht="12.75">
      <c r="A14" s="3384" t="s">
        <v>1279</v>
      </c>
      <c r="B14" s="3371">
        <v>30</v>
      </c>
      <c r="C14" s="3387"/>
      <c r="D14" s="3407"/>
      <c r="E14" s="123" t="s">
        <v>1280</v>
      </c>
      <c r="F14" s="1627"/>
      <c r="G14" s="1627"/>
      <c r="H14" s="1627"/>
      <c r="I14" s="1281"/>
    </row>
    <row r="15" spans="1:12" ht="12.75">
      <c r="A15" s="3384"/>
      <c r="B15" s="3371"/>
      <c r="C15" s="3388"/>
      <c r="D15" s="3407"/>
      <c r="E15" s="123" t="s">
        <v>1281</v>
      </c>
      <c r="F15" s="1627"/>
      <c r="G15" s="1627"/>
      <c r="H15" s="1627"/>
      <c r="I15" s="1281"/>
    </row>
    <row r="16" spans="1:12" ht="12.75">
      <c r="A16" s="3384"/>
      <c r="B16" s="3371"/>
      <c r="C16" s="3389"/>
      <c r="D16" s="34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2.1" customHeight="1" thickBot="1">
      <c r="A18" s="1629" t="s">
        <v>1286</v>
      </c>
      <c r="B18" s="1542"/>
      <c r="C18" s="125" t="e">
        <f>ROUND(C17/SUM(C17:D17),2)</f>
        <v>#DIV/0!</v>
      </c>
      <c r="D18" s="125" t="e">
        <f>1-C18</f>
        <v>#DIV/0!</v>
      </c>
      <c r="E18" s="3394" t="s">
        <v>2129</v>
      </c>
      <c r="F18" s="3395"/>
      <c r="G18" s="3395"/>
      <c r="H18" s="3395"/>
      <c r="I18" s="3395"/>
      <c r="K18" s="294" t="s">
        <v>1287</v>
      </c>
      <c r="L18" s="294">
        <f>IF(C1="",'数据-汇总表'!E3,SUMIF(项目类型,C1,'数据-汇总表'!E17:E26)+SUMIF(项目类型,C1,'数据-汇总表'!I17:I26))</f>
        <v>0</v>
      </c>
      <c r="M18" s="294">
        <f>IF(C1="",'数据-汇总表'!E3,SUMIF(项目类型,C1,'数据-汇总表'!E17:E26))</f>
        <v>0</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t="e">
        <f>IF(C1="",'数据-汇总表'!D3,SUMIF(项目类型,C1,'数据-汇总表'!D17:D26)+SUMIF(项目类型,C1,'数据-汇总表'!H17:H27))</f>
        <v>#DIV/0!</v>
      </c>
      <c r="M19" s="294" t="e">
        <f>IF(C1="",'数据-汇总表'!D3,SUMIF(项目类型,C1,'数据-汇总表'!D17:D26))</f>
        <v>#DIV/0!</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78" t="s">
        <v>1297</v>
      </c>
      <c r="B24" s="1631" t="s">
        <v>1289</v>
      </c>
      <c r="C24" s="128">
        <f>IF(B30=0,0,D30)</f>
        <v>0</v>
      </c>
      <c r="D24" s="1637"/>
      <c r="E24" s="121"/>
      <c r="F24" s="121"/>
      <c r="G24" s="121"/>
      <c r="H24" s="121"/>
      <c r="I24" s="121"/>
    </row>
    <row r="25" spans="1:36" ht="14.25">
      <c r="A25" s="33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5" t="s">
        <v>2130</v>
      </c>
      <c r="F30" s="121"/>
      <c r="G30" s="121"/>
      <c r="H30" s="121"/>
      <c r="I30" s="121"/>
    </row>
    <row r="31" spans="1:36" s="2131" customFormat="1" ht="26.45" customHeight="1" thickTop="1" thickBot="1">
      <c r="A31" s="2126"/>
      <c r="B31" s="2127"/>
      <c r="C31" s="2127"/>
      <c r="D31" s="2127"/>
      <c r="E31" s="2127"/>
      <c r="F31" s="2127"/>
      <c r="G31" s="2127"/>
      <c r="H31" s="2127"/>
      <c r="I31" s="2128" t="s">
        <v>2131</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98" t="s">
        <v>1310</v>
      </c>
      <c r="B36" s="1652" t="s">
        <v>1311</v>
      </c>
      <c r="C36" s="137"/>
      <c r="D36" s="1653"/>
      <c r="E36" s="1567"/>
      <c r="F36" s="1654"/>
      <c r="G36" s="121"/>
      <c r="H36" s="121"/>
      <c r="I36" s="121"/>
    </row>
    <row r="37" spans="1:15" ht="15.75" thickBot="1">
      <c r="A37" s="3399"/>
      <c r="B37" s="1555" t="s">
        <v>1312</v>
      </c>
      <c r="C37" s="139"/>
      <c r="D37" s="1071"/>
      <c r="E37" s="1071"/>
      <c r="F37" s="1654"/>
      <c r="G37" s="121"/>
      <c r="H37" s="121"/>
      <c r="I37" s="121"/>
    </row>
    <row r="38" spans="1:15" ht="15.75" thickBot="1">
      <c r="A38" s="34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75" t="s">
        <v>1324</v>
      </c>
      <c r="B45" s="3376"/>
      <c r="C45" s="3377"/>
      <c r="D45" s="147" t="e">
        <f ca="1">ROUND(H101*F45,0)</f>
        <v>#REF!</v>
      </c>
      <c r="E45" s="148" t="s">
        <v>1325</v>
      </c>
      <c r="F45" s="149">
        <v>1</v>
      </c>
      <c r="G45" s="150" t="s">
        <v>1326</v>
      </c>
      <c r="H45" s="121"/>
      <c r="I45" s="121"/>
      <c r="J45" s="3453" t="s">
        <v>1327</v>
      </c>
      <c r="K45" s="3453"/>
      <c r="L45" s="3453"/>
      <c r="M45" s="3453"/>
      <c r="N45" s="3453"/>
      <c r="O45" s="3453"/>
    </row>
    <row r="46" spans="1:15" ht="14.25" customHeight="1">
      <c r="A46" s="3372" t="s">
        <v>1328</v>
      </c>
      <c r="B46" s="3373"/>
      <c r="C46" s="3373"/>
      <c r="D46" s="3373"/>
      <c r="E46" s="3373"/>
      <c r="F46" s="3373"/>
      <c r="G46" s="3374"/>
      <c r="H46" s="1668"/>
      <c r="I46" s="151"/>
      <c r="J46" s="2307">
        <v>1</v>
      </c>
      <c r="K46" s="3434" t="s">
        <v>1329</v>
      </c>
      <c r="L46" s="3434"/>
      <c r="M46" s="3454"/>
      <c r="N46" s="3454"/>
      <c r="O46" s="3454"/>
    </row>
    <row r="47" spans="1:15" ht="12" customHeight="1">
      <c r="A47" s="152" t="s">
        <v>1330</v>
      </c>
      <c r="B47" s="153"/>
      <c r="C47" s="154"/>
      <c r="D47" s="1024" t="s">
        <v>1331</v>
      </c>
      <c r="E47" s="294" t="s">
        <v>1332</v>
      </c>
      <c r="F47" s="155" t="s">
        <v>1333</v>
      </c>
      <c r="G47" s="2330" t="s">
        <v>1334</v>
      </c>
      <c r="H47" s="2331"/>
      <c r="I47" s="151"/>
      <c r="J47" s="2307">
        <v>2</v>
      </c>
      <c r="K47" s="3434" t="s">
        <v>1335</v>
      </c>
      <c r="L47" s="3434"/>
      <c r="M47" s="3455">
        <f>'数据-取费表'!B2</f>
        <v>45221</v>
      </c>
      <c r="N47" s="3455"/>
      <c r="O47" s="3455"/>
    </row>
    <row r="48" spans="1:15" ht="25.5">
      <c r="A48" s="3403" t="s">
        <v>1336</v>
      </c>
      <c r="B48" s="3386"/>
      <c r="C48" s="3386"/>
      <c r="D48" s="12" t="b">
        <f>IF(H48="情况1",0,IF(H48="情况2",D52,IF(H48="情况3",D53,IF(H48="情况4",D54))))</f>
        <v>0</v>
      </c>
      <c r="E48" s="1256" t="str">
        <f>IF(H48="情况4","(销售额-原购置价)×税（费）率","销售额×税（费）率")</f>
        <v>销售额×税（费）率</v>
      </c>
      <c r="F48" s="2332">
        <f>IF(H48="情况1","免征",'数据-取费表'!B41)</f>
        <v>0</v>
      </c>
      <c r="G48" s="2333" t="s">
        <v>1337</v>
      </c>
      <c r="H48" s="2334"/>
      <c r="I48" s="1668"/>
      <c r="J48" s="2307">
        <v>3</v>
      </c>
      <c r="K48" s="3434" t="s">
        <v>1338</v>
      </c>
      <c r="L48" s="3434"/>
      <c r="M48" s="3456" t="e">
        <f ca="1">H101</f>
        <v>#REF!</v>
      </c>
      <c r="N48" s="3456"/>
      <c r="O48" s="3456"/>
    </row>
    <row r="49" spans="1:35" ht="25.5" customHeight="1">
      <c r="A49" s="2150" t="s">
        <v>1339</v>
      </c>
      <c r="B49" s="3370" t="s">
        <v>1340</v>
      </c>
      <c r="C49" s="3370"/>
      <c r="D49" s="1478">
        <v>0</v>
      </c>
      <c r="E49" s="316" t="s">
        <v>1341</v>
      </c>
      <c r="F49" s="2230" t="s">
        <v>28</v>
      </c>
      <c r="G49" s="3440"/>
      <c r="H49" s="2132" t="s">
        <v>2132</v>
      </c>
      <c r="I49" s="2133"/>
      <c r="J49" s="2307">
        <v>4</v>
      </c>
      <c r="K49" s="3434" t="str">
        <f>IF(项目基本情况!E8="房地产抵押价值","房地产抵押价值","抵押担保权已注销时的房地产抵押价值")</f>
        <v>抵押担保权已注销时的房地产抵押价值</v>
      </c>
      <c r="L49" s="3434"/>
      <c r="M49" s="3456" t="str">
        <f>IF(项目基本情况!E8="房地产抵押价值",H107,H109)</f>
        <v>——</v>
      </c>
      <c r="N49" s="3456"/>
      <c r="O49" s="3456"/>
    </row>
    <row r="50" spans="1:35" ht="25.5" customHeight="1">
      <c r="A50" s="2335"/>
      <c r="B50" s="3370" t="s">
        <v>1342</v>
      </c>
      <c r="C50" s="3370"/>
      <c r="D50" s="2187"/>
      <c r="E50" s="323"/>
      <c r="F50" s="2230"/>
      <c r="G50" s="3441"/>
      <c r="H50" s="2134" t="s">
        <v>2133</v>
      </c>
      <c r="I50" s="2133"/>
      <c r="J50" s="3453" t="s">
        <v>1343</v>
      </c>
      <c r="K50" s="3453"/>
      <c r="L50" s="3453"/>
      <c r="M50" s="3453"/>
      <c r="N50" s="3453"/>
      <c r="O50" s="3453"/>
    </row>
    <row r="51" spans="1:35" ht="20.45" customHeight="1">
      <c r="A51" s="2336"/>
      <c r="B51" s="3370" t="s">
        <v>1344</v>
      </c>
      <c r="C51" s="3370"/>
      <c r="D51" s="1024"/>
      <c r="E51" s="319"/>
      <c r="F51" s="2230"/>
      <c r="G51" s="3442"/>
      <c r="H51" s="2134" t="s">
        <v>2134</v>
      </c>
      <c r="I51" s="2133"/>
      <c r="J51" s="2308" t="s">
        <v>1345</v>
      </c>
      <c r="K51" s="3434" t="s">
        <v>1346</v>
      </c>
      <c r="L51" s="3434"/>
      <c r="M51" s="2308" t="s">
        <v>1347</v>
      </c>
      <c r="N51" s="2308" t="s">
        <v>1348</v>
      </c>
      <c r="O51" s="2308" t="s">
        <v>1349</v>
      </c>
    </row>
    <row r="52" spans="1:35" ht="24" customHeight="1">
      <c r="A52" s="2151" t="s">
        <v>1350</v>
      </c>
      <c r="B52" s="3370" t="s">
        <v>1351</v>
      </c>
      <c r="C52" s="3370"/>
      <c r="D52" s="1024" t="e">
        <f ca="1">ROUND(D45*'数据-取费表'!B41/(1+'数据-取费表'!C42),0)</f>
        <v>#REF!</v>
      </c>
      <c r="E52" s="1256" t="s">
        <v>1352</v>
      </c>
      <c r="F52" s="2337">
        <f>'数据-取费表'!B41</f>
        <v>0</v>
      </c>
      <c r="G52" s="2338"/>
      <c r="H52" s="2328"/>
      <c r="I52" s="1669"/>
      <c r="J52" s="2307">
        <v>1</v>
      </c>
      <c r="K52" s="3435" t="s">
        <v>1353</v>
      </c>
      <c r="L52" s="3435"/>
      <c r="M52" s="2309" t="b">
        <f>D48</f>
        <v>0</v>
      </c>
      <c r="N52" s="2307" t="str">
        <f>E48</f>
        <v>销售额×税（费）率</v>
      </c>
      <c r="O52" s="2310">
        <f>F48</f>
        <v>0</v>
      </c>
    </row>
    <row r="53" spans="1:35" ht="12" customHeight="1">
      <c r="A53" s="2151" t="s">
        <v>1354</v>
      </c>
      <c r="B53" s="3396" t="s">
        <v>2284</v>
      </c>
      <c r="C53" s="3397"/>
      <c r="D53" s="1024" t="e">
        <f ca="1">ROUND(D45*'数据-取费表'!B41/(1+'数据-取费表'!C42),0)</f>
        <v>#REF!</v>
      </c>
      <c r="E53" s="1256" t="s">
        <v>1352</v>
      </c>
      <c r="F53" s="2337">
        <f>'数据-取费表'!B41</f>
        <v>0</v>
      </c>
      <c r="G53" s="2338"/>
      <c r="H53" s="2328"/>
      <c r="I53" s="1669"/>
      <c r="J53" s="2307">
        <v>2</v>
      </c>
      <c r="K53" s="3435" t="s">
        <v>1355</v>
      </c>
      <c r="L53" s="3435"/>
      <c r="M53" s="2309" t="e">
        <f t="shared" ref="M53:O54" ca="1" si="0">D55</f>
        <v>#REF!</v>
      </c>
      <c r="N53" s="2307" t="str">
        <f t="shared" si="0"/>
        <v>销售额×税（费）率</v>
      </c>
      <c r="O53" s="2310" t="str">
        <f t="shared" si="0"/>
        <v>免征</v>
      </c>
    </row>
    <row r="54" spans="1:35" ht="12" customHeight="1">
      <c r="A54" s="2151" t="s">
        <v>1356</v>
      </c>
      <c r="B54" s="3396" t="s">
        <v>2285</v>
      </c>
      <c r="C54" s="3397"/>
      <c r="D54" s="1024" t="e">
        <f ca="1">C68</f>
        <v>#REF!</v>
      </c>
      <c r="E54" s="319" t="s">
        <v>1357</v>
      </c>
      <c r="F54" s="2337">
        <f>'数据-取费表'!B41</f>
        <v>0</v>
      </c>
      <c r="G54" s="2338"/>
      <c r="H54" s="2339"/>
      <c r="I54" s="1669"/>
      <c r="J54" s="2307">
        <v>3</v>
      </c>
      <c r="K54" s="3435" t="s">
        <v>1358</v>
      </c>
      <c r="L54" s="3435"/>
      <c r="M54" s="2309" t="e">
        <f t="shared" ca="1" si="0"/>
        <v>#REF!</v>
      </c>
      <c r="N54" s="2307" t="str">
        <f t="shared" si="0"/>
        <v>增值额×税（费）率</v>
      </c>
      <c r="O54" s="2311" t="str">
        <f t="shared" si="0"/>
        <v>免征</v>
      </c>
    </row>
    <row r="55" spans="1:35" ht="24" customHeight="1">
      <c r="A55" s="3385" t="s">
        <v>1359</v>
      </c>
      <c r="B55" s="3386"/>
      <c r="C55" s="3386"/>
      <c r="D55" s="12" t="e">
        <f ca="1">IF(H55="个人住宅",0,ROUND(D45*I55,0))</f>
        <v>#REF!</v>
      </c>
      <c r="E55" s="1256" t="s">
        <v>1360</v>
      </c>
      <c r="F55" s="2337" t="str">
        <f>IF(H55="正常",I55,"免征")</f>
        <v>免征</v>
      </c>
      <c r="G55" s="2338"/>
      <c r="H55" s="2334"/>
      <c r="I55" s="157">
        <f>'数据-取费表'!B49</f>
        <v>0</v>
      </c>
      <c r="J55" s="2307">
        <f>IF(H59="非个人房产","",4)</f>
        <v>4</v>
      </c>
      <c r="K55" s="3435" t="str">
        <f>IF(H59="非个人房产","——","个人所得税")</f>
        <v>个人所得税</v>
      </c>
      <c r="L55" s="3435"/>
      <c r="M55" s="2312" t="e">
        <f ca="1">D59</f>
        <v>#REF!</v>
      </c>
      <c r="N55" s="1881" t="str">
        <f>E59</f>
        <v>差额计税</v>
      </c>
      <c r="O55" s="2313">
        <f>F59</f>
        <v>0.01</v>
      </c>
    </row>
    <row r="56" spans="1:35" ht="24.75">
      <c r="A56" s="3385" t="s">
        <v>1361</v>
      </c>
      <c r="B56" s="3386"/>
      <c r="C56" s="3386"/>
      <c r="D56" s="12" t="e">
        <f ca="1">IF(H56="个人住宅",D57,D58)</f>
        <v>#REF!</v>
      </c>
      <c r="E56" s="1256" t="s">
        <v>1362</v>
      </c>
      <c r="F56" s="2337" t="str">
        <f>IF(H56="正常",F58,"免征")</f>
        <v>免征</v>
      </c>
      <c r="G56" s="2340" t="s">
        <v>1363</v>
      </c>
      <c r="H56" s="2341"/>
      <c r="I56" s="1670"/>
      <c r="J56" s="2307" t="str">
        <f>IF(项目基本情况!K6="上海银行",IF(J55="",4,J55+1),"")</f>
        <v/>
      </c>
      <c r="K56" s="3458" t="str">
        <f>IF(项目基本情况!K6="上海银行","其他处置费用","")</f>
        <v/>
      </c>
      <c r="L56" s="3459"/>
      <c r="M56" s="2309" t="str">
        <f>IF(项目基本情况!K6="上海银行",M69,"")</f>
        <v/>
      </c>
      <c r="N56" s="3458" t="str">
        <f>IF(项目基本情况!K6="上海银行","包含处置中涉及的律师、诉讼、拍卖、评估等费用","")</f>
        <v/>
      </c>
      <c r="O56" s="3461"/>
    </row>
    <row r="57" spans="1:35" ht="12.75">
      <c r="A57" s="2151" t="s">
        <v>1339</v>
      </c>
      <c r="B57" s="3396" t="s">
        <v>1364</v>
      </c>
      <c r="C57" s="3397"/>
      <c r="D57" s="1478">
        <v>0</v>
      </c>
      <c r="E57" s="316" t="s">
        <v>1341</v>
      </c>
      <c r="F57" s="294"/>
      <c r="G57" s="2338"/>
      <c r="H57" s="2342"/>
      <c r="I57" s="1670"/>
      <c r="J57" s="3435">
        <f>IF(AND(J55="",J56=""),4,IF(项目基本情况!K6="上海银行",结果表!J56+1,结果表!J55+1))</f>
        <v>5</v>
      </c>
      <c r="K57" s="3435" t="s">
        <v>1365</v>
      </c>
      <c r="L57" s="2314" t="s">
        <v>1366</v>
      </c>
      <c r="M57" s="2315"/>
      <c r="N57" s="2316">
        <f ca="1">SUMIF(M52:M56,"&lt;9e307")</f>
        <v>0</v>
      </c>
      <c r="O57" s="2317"/>
      <c r="P57" s="2462" t="e">
        <f ca="1">N57/M49</f>
        <v>#VALUE!</v>
      </c>
    </row>
    <row r="58" spans="1:35" ht="24.75">
      <c r="A58" s="2151" t="s">
        <v>1350</v>
      </c>
      <c r="B58" s="3396" t="s">
        <v>1367</v>
      </c>
      <c r="C58" s="3370"/>
      <c r="D58" s="12" t="e">
        <f ca="1">IF(H58="转让取得",C81,C97)</f>
        <v>#REF!</v>
      </c>
      <c r="E58" s="1256" t="s">
        <v>1362</v>
      </c>
      <c r="F58" s="294" t="s">
        <v>28</v>
      </c>
      <c r="G58" s="2338"/>
      <c r="H58" s="2341"/>
      <c r="I58" s="1670"/>
      <c r="J58" s="3435"/>
      <c r="K58" s="3435"/>
      <c r="L58" s="2314" t="s">
        <v>1368</v>
      </c>
      <c r="M58" s="2318"/>
      <c r="N58" s="2319" t="str">
        <f ca="1">NUMBERSTRING(INT(N57*10000),2)&amp;"元整"</f>
        <v>零元整</v>
      </c>
      <c r="O58" s="2320"/>
    </row>
    <row r="59" spans="1:35" ht="24.75" thickBot="1">
      <c r="A59" s="3438" t="s">
        <v>1369</v>
      </c>
      <c r="B59" s="3439"/>
      <c r="C59" s="3439"/>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1363</v>
      </c>
      <c r="H59" s="2136"/>
      <c r="I59" s="2135" t="s">
        <v>2135</v>
      </c>
      <c r="J59" s="3436">
        <f>J57+1</f>
        <v>6</v>
      </c>
      <c r="K59" s="3435" t="s">
        <v>1370</v>
      </c>
      <c r="L59" s="2307" t="s">
        <v>1366</v>
      </c>
      <c r="M59" s="2321"/>
      <c r="N59" s="2322" t="e">
        <f ca="1">M49-N57</f>
        <v>#VALUE!</v>
      </c>
      <c r="O59" s="2323"/>
    </row>
    <row r="60" spans="1:35" ht="12" customHeight="1">
      <c r="A60" s="1671"/>
      <c r="B60" s="646"/>
      <c r="C60" s="646"/>
      <c r="D60" s="646"/>
      <c r="E60" s="1466"/>
      <c r="F60" s="1670"/>
      <c r="G60" s="1670"/>
      <c r="H60" s="151"/>
      <c r="I60" s="121"/>
      <c r="J60" s="3437"/>
      <c r="K60" s="3435"/>
      <c r="L60" s="2314" t="s">
        <v>1368</v>
      </c>
      <c r="M60" s="2318"/>
      <c r="N60" s="2319" t="e">
        <f ca="1">NUMBERSTRING(INT(N59*10000),2)&amp;"元整"</f>
        <v>#VALUE!</v>
      </c>
      <c r="O60" s="2320"/>
    </row>
    <row r="61" spans="1:35" ht="13.5" thickBot="1">
      <c r="A61" s="3383" t="s">
        <v>1371</v>
      </c>
      <c r="B61" s="3383"/>
      <c r="C61" s="3383"/>
      <c r="D61" s="3383"/>
      <c r="E61" s="3383"/>
      <c r="F61" s="1670"/>
      <c r="G61" s="1670"/>
      <c r="H61" s="151"/>
      <c r="I61" s="121"/>
      <c r="J61" s="2307">
        <f>J59+1</f>
        <v>7</v>
      </c>
      <c r="K61" s="3435" t="s">
        <v>1372</v>
      </c>
      <c r="L61" s="3435"/>
      <c r="M61" s="2324"/>
      <c r="N61" s="2325" t="e">
        <f ca="1">ROUND(N59*10000/'数据-汇总表'!E3,0)</f>
        <v>#VALUE!</v>
      </c>
      <c r="O61" s="2326"/>
    </row>
    <row r="62" spans="1:35" ht="12.75">
      <c r="A62" s="3401" t="s">
        <v>1373</v>
      </c>
      <c r="B62" s="3402"/>
      <c r="C62" s="1863"/>
      <c r="D62" s="1863" t="s">
        <v>1374</v>
      </c>
      <c r="E62" s="158" t="s">
        <v>1375</v>
      </c>
      <c r="F62" s="1670"/>
      <c r="G62" s="1670"/>
      <c r="H62" s="151"/>
      <c r="I62" s="121"/>
    </row>
    <row r="63" spans="1:35" ht="12.75">
      <c r="A63" s="165" t="s">
        <v>330</v>
      </c>
      <c r="B63" s="159" t="s">
        <v>1376</v>
      </c>
      <c r="C63" s="2347" t="e">
        <f ca="1">ROUND((C64+C65)/(1+'数据-取费表'!C42),0)</f>
        <v>#REF!</v>
      </c>
      <c r="D63" s="159"/>
      <c r="E63" s="160"/>
      <c r="F63" s="1670"/>
      <c r="G63" s="1670"/>
      <c r="H63" s="151"/>
      <c r="I63" s="121"/>
      <c r="J63" s="3460" t="s">
        <v>1377</v>
      </c>
      <c r="K63" s="1245" t="s">
        <v>1378</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1379</v>
      </c>
      <c r="C64" s="2348" t="e">
        <f ca="1">D45</f>
        <v>#REF!</v>
      </c>
      <c r="D64" s="162" t="s">
        <v>26</v>
      </c>
      <c r="E64" s="164"/>
      <c r="F64" s="1670"/>
      <c r="G64" s="1670"/>
      <c r="H64" s="151"/>
      <c r="I64" s="121"/>
      <c r="J64" s="34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1381</v>
      </c>
      <c r="Z64" s="1623"/>
      <c r="AI64" s="1561"/>
    </row>
    <row r="65" spans="1:35" ht="14.25" customHeight="1">
      <c r="A65" s="161" t="s">
        <v>326</v>
      </c>
      <c r="B65" s="162" t="s">
        <v>1382</v>
      </c>
      <c r="C65" s="2349"/>
      <c r="D65" s="162"/>
      <c r="E65" s="164"/>
      <c r="F65" s="1670"/>
      <c r="G65" s="1670"/>
      <c r="H65" s="151"/>
      <c r="I65" s="121"/>
      <c r="J65" s="3460"/>
      <c r="K65" s="1245" t="s">
        <v>1383</v>
      </c>
      <c r="L65" s="1245" t="e">
        <f>IF(M49&gt;1000,M49*0.1%,IF(AND(M49&gt;500,M49&lt;=1000),M49*0.5%,IF(AND(M49&gt;50,M49&lt;=500),M49*1%,IF(AND(M49&gt;1,M49&lt;=50),M49*1.5%))))</f>
        <v>#VALUE!</v>
      </c>
      <c r="M65" s="294" t="e">
        <f t="shared" si="1"/>
        <v>#VALUE!</v>
      </c>
      <c r="N65" s="2328" t="s">
        <v>1381</v>
      </c>
      <c r="Z65" s="1623"/>
      <c r="AI65" s="1561"/>
    </row>
    <row r="66" spans="1:35" ht="14.25" customHeight="1">
      <c r="A66" s="165" t="s">
        <v>327</v>
      </c>
      <c r="B66" s="166" t="s">
        <v>1384</v>
      </c>
      <c r="C66" s="2350"/>
      <c r="D66" s="166" t="s">
        <v>26</v>
      </c>
      <c r="E66" s="1251" t="s">
        <v>671</v>
      </c>
      <c r="F66" s="1670"/>
      <c r="G66" s="1670"/>
      <c r="H66" s="151"/>
      <c r="I66" s="121"/>
      <c r="J66" s="3460"/>
      <c r="K66" s="1245" t="s">
        <v>1385</v>
      </c>
      <c r="L66" s="1245" t="e">
        <f>M49*0.5%</f>
        <v>#VALUE!</v>
      </c>
      <c r="M66" s="294" t="e">
        <f>IF(L66&gt;0.5,0.5,ROUND(L66,0))</f>
        <v>#VALUE!</v>
      </c>
      <c r="N66" s="2328" t="s">
        <v>1386</v>
      </c>
      <c r="Z66" s="1623"/>
      <c r="AI66" s="1561"/>
    </row>
    <row r="67" spans="1:35" ht="14.25" customHeight="1">
      <c r="A67" s="165" t="s">
        <v>328</v>
      </c>
      <c r="B67" s="166" t="s">
        <v>1387</v>
      </c>
      <c r="C67" s="2351" t="e">
        <f ca="1">C63-C66</f>
        <v>#REF!</v>
      </c>
      <c r="D67" s="162" t="s">
        <v>26</v>
      </c>
      <c r="E67" s="164"/>
      <c r="F67" s="1670"/>
      <c r="G67" s="1670"/>
      <c r="H67" s="151"/>
      <c r="I67" s="121"/>
      <c r="J67" s="34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1389</v>
      </c>
      <c r="C68" s="2352" t="e">
        <f ca="1">IF(C67&lt;=0,0,ROUND(C67*D68,0))</f>
        <v>#REF!</v>
      </c>
      <c r="D68" s="2353">
        <f>'数据-取费表'!B41</f>
        <v>0</v>
      </c>
      <c r="E68" s="170"/>
      <c r="F68" s="1670"/>
      <c r="G68" s="1670"/>
      <c r="H68" s="151"/>
      <c r="I68" s="121"/>
      <c r="J68" s="3460"/>
      <c r="K68" s="1245" t="s">
        <v>1390</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460"/>
      <c r="K69" s="1245" t="s">
        <v>1391</v>
      </c>
      <c r="L69" s="1245"/>
      <c r="M69" s="294" t="e">
        <f>ROUND(SUM(M63:M68),0)</f>
        <v>#VALUE!</v>
      </c>
      <c r="N69" s="2329" t="e">
        <f>M69/M49</f>
        <v>#VALUE!</v>
      </c>
      <c r="Z69" s="1623"/>
      <c r="AI69" s="1561"/>
    </row>
    <row r="70" spans="1:35" s="642" customFormat="1" ht="15" thickBot="1">
      <c r="A70" s="3422" t="s">
        <v>1392</v>
      </c>
      <c r="B70" s="3423"/>
      <c r="C70" s="3423"/>
      <c r="D70" s="3423"/>
      <c r="E70" s="3423"/>
      <c r="F70" s="3423"/>
      <c r="G70" s="3423"/>
      <c r="H70" s="34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01" t="s">
        <v>1373</v>
      </c>
      <c r="B71" s="3402"/>
      <c r="C71" s="1863"/>
      <c r="D71" s="1863"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4"/>
      <c r="D75" s="162" t="s">
        <v>26</v>
      </c>
      <c r="E75" s="176" t="s">
        <v>1397</v>
      </c>
      <c r="F75" s="2355"/>
      <c r="G75" s="176" t="s">
        <v>1398</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7">
        <v>0.05</v>
      </c>
      <c r="E76" s="3396" t="s">
        <v>1400</v>
      </c>
      <c r="F76" s="3370"/>
      <c r="G76" s="3370"/>
      <c r="H76" s="34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8">
        <f>'数据-取费表'!B48+'数据-取费表'!B49</f>
        <v>0</v>
      </c>
      <c r="E77" s="12" t="s">
        <v>1402</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59" t="e">
        <f ca="1">ROUND(D45*D78/(1+'数据-取费表'!C42),0)</f>
        <v>#REF!</v>
      </c>
      <c r="D78" s="2360">
        <f>'数据-取费表'!B43</f>
        <v>0</v>
      </c>
      <c r="E78" s="3380" t="s">
        <v>1404</v>
      </c>
      <c r="F78" s="3381"/>
      <c r="G78" s="3381"/>
      <c r="H78" s="33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22" t="s">
        <v>1408</v>
      </c>
      <c r="B83" s="3423"/>
      <c r="C83" s="3423"/>
      <c r="D83" s="3423"/>
      <c r="E83" s="3423"/>
      <c r="F83" s="3423"/>
      <c r="G83" s="3423"/>
      <c r="H83" s="34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01" t="s">
        <v>1373</v>
      </c>
      <c r="B84" s="3402"/>
      <c r="C84" s="1863"/>
      <c r="D84" s="1863"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59">
        <f>C88+C89</f>
        <v>0</v>
      </c>
      <c r="D87" s="2360"/>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5"/>
      <c r="D88" s="2360"/>
      <c r="E88" s="185" t="s">
        <v>1411</v>
      </c>
      <c r="F88" s="2146"/>
      <c r="G88" s="186" t="s">
        <v>1412</v>
      </c>
      <c r="H88" s="1684"/>
      <c r="I88" s="1681"/>
      <c r="J88" s="2305" t="s">
        <v>2281</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59">
        <f>ROUND(C88*D89,0)</f>
        <v>0</v>
      </c>
      <c r="D89" s="2360">
        <f>'数据-取费表'!B48+'数据-取费表'!B49</f>
        <v>0</v>
      </c>
      <c r="E89" s="185" t="s">
        <v>1413</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5"/>
      <c r="D90" s="2360"/>
      <c r="E90" s="185" t="str">
        <f>IF(H88="-","土地取得成本中已包含该笔费用"," ")</f>
        <v xml:space="preserve"> </v>
      </c>
      <c r="F90" s="2146"/>
      <c r="G90" s="3462" t="s">
        <v>2127</v>
      </c>
      <c r="H90" s="3463"/>
      <c r="I90" s="1681"/>
      <c r="J90" s="2305" t="s">
        <v>2282</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59">
        <f>IF(H91="——",成本法!C33,I91)</f>
        <v>0</v>
      </c>
      <c r="D91" s="2360"/>
      <c r="E91" s="3380" t="s">
        <v>1417</v>
      </c>
      <c r="F91" s="3381"/>
      <c r="G91" s="33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59">
        <f>ROUND((C87+C90+C91)*D92,0)</f>
        <v>0</v>
      </c>
      <c r="D92" s="2366"/>
      <c r="E92" s="3380" t="s">
        <v>1420</v>
      </c>
      <c r="F92" s="3381"/>
      <c r="G92" s="3381"/>
      <c r="H92" s="3390"/>
      <c r="I92" s="1681"/>
      <c r="J92" s="2306" t="s">
        <v>2283</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59" t="e">
        <f ca="1">ROUND(D45*D93/(1+'数据-取费表'!C42),0)</f>
        <v>#REF!</v>
      </c>
      <c r="D93" s="2360">
        <f>'数据-取费表'!B43</f>
        <v>0</v>
      </c>
      <c r="E93" s="3380" t="s">
        <v>1404</v>
      </c>
      <c r="F93" s="3381"/>
      <c r="G93" s="3381"/>
      <c r="H93" s="33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5">
        <f>ROUND((C87+C90+C91)*D94,0)</f>
        <v>0</v>
      </c>
      <c r="D94" s="2360">
        <v>0.2</v>
      </c>
      <c r="E94" s="3391" t="s">
        <v>1424</v>
      </c>
      <c r="F94" s="3392"/>
      <c r="G94" s="3392"/>
      <c r="H94" s="33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64" t="s">
        <v>1426</v>
      </c>
      <c r="B100" s="3365"/>
      <c r="C100" s="3365"/>
      <c r="D100" s="3382"/>
      <c r="E100" s="3365" t="s">
        <v>1427</v>
      </c>
      <c r="F100" s="3365"/>
      <c r="G100" s="3365"/>
      <c r="H100" s="3382"/>
      <c r="I100" s="121"/>
    </row>
    <row r="101" spans="1:35" ht="18.75" customHeight="1">
      <c r="A101" s="3443" t="s">
        <v>1428</v>
      </c>
      <c r="B101" s="3444"/>
      <c r="C101" s="2368">
        <f>C4</f>
        <v>0</v>
      </c>
      <c r="D101" s="2369">
        <f>D4</f>
        <v>0</v>
      </c>
      <c r="E101" s="3457" t="s">
        <v>1429</v>
      </c>
      <c r="F101" s="3414"/>
      <c r="G101" s="1687" t="s">
        <v>1430</v>
      </c>
      <c r="H101" s="2378" t="e">
        <f ca="1">H118</f>
        <v>#REF!</v>
      </c>
      <c r="I101" s="121"/>
    </row>
    <row r="102" spans="1:35" ht="18.75" customHeight="1">
      <c r="A102" s="3416" t="s">
        <v>1431</v>
      </c>
      <c r="B102" s="2367" t="s">
        <v>1430</v>
      </c>
      <c r="C102" s="2368" t="e">
        <f ca="1">IF(D32="楼面单价",ROUND(C19,0),C19)</f>
        <v>#REF!</v>
      </c>
      <c r="D102" s="2369" t="e">
        <f ca="1">IF(D32="楼面单价",ROUND(D19,0),D19)</f>
        <v>#REF!</v>
      </c>
      <c r="E102" s="3457"/>
      <c r="F102" s="3414"/>
      <c r="G102" s="1687" t="s">
        <v>1432</v>
      </c>
      <c r="H102" s="2338" t="e">
        <f ca="1">I118</f>
        <v>#REF!</v>
      </c>
      <c r="I102" s="121"/>
    </row>
    <row r="103" spans="1:35" ht="42.75" customHeight="1">
      <c r="A103" s="3416"/>
      <c r="B103" s="2367" t="s">
        <v>1432</v>
      </c>
      <c r="C103" s="2370" t="e">
        <f ca="1">C20</f>
        <v>#REF!</v>
      </c>
      <c r="D103" s="2371" t="e">
        <f ca="1">D20</f>
        <v>#REF!</v>
      </c>
      <c r="E103" s="3451" t="s">
        <v>1433</v>
      </c>
      <c r="F103" s="3452"/>
      <c r="G103" s="1688" t="s">
        <v>1434</v>
      </c>
      <c r="H103" s="2378">
        <f>IF(D36="正常操作",H104+H105+H106,H105+H106)</f>
        <v>0</v>
      </c>
      <c r="I103" s="121"/>
    </row>
    <row r="104" spans="1:35" ht="18.75" customHeight="1">
      <c r="A104" s="3416" t="s">
        <v>1435</v>
      </c>
      <c r="B104" s="2372" t="s">
        <v>1430</v>
      </c>
      <c r="C104" s="2373" t="e">
        <f ca="1">H118</f>
        <v>#REF!</v>
      </c>
      <c r="D104" s="2374"/>
      <c r="E104" s="1555" t="s">
        <v>1436</v>
      </c>
      <c r="F104" s="1548"/>
      <c r="G104" s="1688" t="s">
        <v>1434</v>
      </c>
      <c r="H104" s="2379">
        <f>IF(D36="同一抵押权人同一抵押物续贷",C36&amp;"（续贷，未扣减，详见特别提示）",C36)</f>
        <v>0</v>
      </c>
      <c r="I104" s="121"/>
    </row>
    <row r="105" spans="1:35" ht="18.75" customHeight="1" thickBot="1">
      <c r="A105" s="3417"/>
      <c r="B105" s="2375" t="s">
        <v>1432</v>
      </c>
      <c r="C105" s="2376" t="e">
        <f ca="1">I118</f>
        <v>#REF!</v>
      </c>
      <c r="D105" s="2377"/>
      <c r="E105" s="1555" t="s">
        <v>1437</v>
      </c>
      <c r="F105" s="1548"/>
      <c r="G105" s="1688" t="s">
        <v>1434</v>
      </c>
      <c r="H105" s="2380">
        <f>C37</f>
        <v>0</v>
      </c>
      <c r="I105" s="121"/>
    </row>
    <row r="106" spans="1:35" ht="18.75" customHeight="1">
      <c r="A106" s="646" t="s">
        <v>1438</v>
      </c>
      <c r="B106" s="646"/>
      <c r="C106" s="646"/>
      <c r="D106" s="646"/>
      <c r="E106" s="1689" t="s">
        <v>1439</v>
      </c>
      <c r="F106" s="1548"/>
      <c r="G106" s="1688" t="s">
        <v>1434</v>
      </c>
      <c r="H106" s="2380">
        <f>C38</f>
        <v>0</v>
      </c>
      <c r="I106" s="121"/>
    </row>
    <row r="107" spans="1:35" ht="18.75" customHeight="1">
      <c r="A107" s="121"/>
      <c r="B107" s="121"/>
      <c r="C107" s="121"/>
      <c r="D107" s="121"/>
      <c r="E107" s="3413" t="str">
        <f>IF(项目基本情况!E8="已注销","——","3.房地产抵押价值")</f>
        <v>3.房地产抵押价值</v>
      </c>
      <c r="F107" s="3414"/>
      <c r="G107" s="1687" t="s">
        <v>1430</v>
      </c>
      <c r="H107" s="2378" t="e">
        <f ca="1">IF(E107="——","——",H101-H103)</f>
        <v>#REF!</v>
      </c>
      <c r="I107" s="121"/>
    </row>
    <row r="108" spans="1:35" ht="18.75" customHeight="1">
      <c r="A108" s="121"/>
      <c r="B108" s="121"/>
      <c r="C108" s="121"/>
      <c r="D108" s="121"/>
      <c r="E108" s="3413"/>
      <c r="F108" s="3414"/>
      <c r="G108" s="1687" t="s">
        <v>1432</v>
      </c>
      <c r="H108" s="2338">
        <f ca="1">IF(H107=H101,H102,ROUND(H107*10000/'数据-汇总表'!E3,0))</f>
        <v>0</v>
      </c>
      <c r="I108" s="121"/>
    </row>
    <row r="109" spans="1:35" ht="18.75" customHeight="1">
      <c r="A109" s="121"/>
      <c r="B109" s="121"/>
      <c r="C109" s="121"/>
      <c r="D109" s="121"/>
      <c r="E109" s="3413" t="str">
        <f>IF(项目基本情况!E8="已注销及未注销","4.抵押担保权已注销时的房地产抵押价值",IF(项目基本情况!E8="已注销","3.抵押担保权已注销时的房地产抵押价值","——"))</f>
        <v>——</v>
      </c>
      <c r="F109" s="3414"/>
      <c r="G109" s="1687" t="s">
        <v>1430</v>
      </c>
      <c r="H109" s="2381" t="str">
        <f>IF(E109="——","——",H101-H105-H106)</f>
        <v>——</v>
      </c>
      <c r="I109" s="121"/>
    </row>
    <row r="110" spans="1:35" ht="18.75" customHeight="1">
      <c r="A110" s="121"/>
      <c r="B110" s="121"/>
      <c r="C110" s="121"/>
      <c r="D110" s="121"/>
      <c r="E110" s="3413"/>
      <c r="F110" s="3414"/>
      <c r="G110" s="1687" t="s">
        <v>1432</v>
      </c>
      <c r="H110" s="2338" t="str">
        <f>IF(H109="——","——",ROUND(H109*10000/'数据-汇总表'!E3,0))</f>
        <v>——</v>
      </c>
      <c r="I110" s="121"/>
    </row>
    <row r="111" spans="1:35" ht="18.75" customHeight="1">
      <c r="A111" s="121"/>
      <c r="B111" s="121"/>
      <c r="C111" s="121"/>
      <c r="D111" s="121"/>
      <c r="E111" s="3445" t="str">
        <f>IF(项目基本情况!E9="抵押净值",IF(OR(项目基本情况!E8="已注销",项目基本情况!E8="房地产抵押价值"),"4.抵押净值","5.抵押净值"),"——")</f>
        <v>——</v>
      </c>
      <c r="F111" s="3415"/>
      <c r="G111" s="1687" t="s">
        <v>1430</v>
      </c>
      <c r="H111" s="2378" t="str">
        <f>IF(E111="——","——",N59)</f>
        <v>——</v>
      </c>
      <c r="I111" s="121"/>
    </row>
    <row r="112" spans="1:35" ht="18.75" customHeight="1" thickBot="1">
      <c r="A112" s="121"/>
      <c r="B112" s="121"/>
      <c r="C112" s="121"/>
      <c r="D112" s="121"/>
      <c r="E112" s="3446"/>
      <c r="F112" s="3447"/>
      <c r="G112" s="1690" t="s">
        <v>1432</v>
      </c>
      <c r="H112" s="2382" t="str">
        <f>IF(E111="——","——",N61)</f>
        <v>——</v>
      </c>
      <c r="I112" s="121"/>
    </row>
    <row r="113" spans="1:27" ht="18.75" customHeight="1">
      <c r="A113" s="121"/>
      <c r="B113" s="121"/>
      <c r="C113" s="121"/>
      <c r="D113" s="121"/>
      <c r="E113" s="3418" t="s">
        <v>1438</v>
      </c>
      <c r="F113" s="3418"/>
      <c r="G113" s="3418"/>
      <c r="H113" s="3418"/>
      <c r="I113" s="121"/>
    </row>
    <row r="114" spans="1:27" ht="3.75" customHeight="1">
      <c r="A114" s="646"/>
      <c r="B114" s="646"/>
      <c r="C114" s="646"/>
      <c r="D114" s="646"/>
      <c r="E114" s="1671"/>
      <c r="F114" s="1671"/>
      <c r="G114" s="1671"/>
      <c r="H114" s="1671"/>
      <c r="I114" s="646"/>
    </row>
    <row r="115" spans="1:27" ht="18.75" customHeight="1">
      <c r="A115" s="3428" t="s">
        <v>1440</v>
      </c>
      <c r="B115" s="3429"/>
      <c r="C115" s="3429"/>
      <c r="D115" s="3429"/>
      <c r="E115" s="3429"/>
      <c r="F115" s="3429"/>
      <c r="G115" s="3429"/>
      <c r="H115" s="3429"/>
      <c r="I115" s="3430"/>
    </row>
    <row r="116" spans="1:27" ht="27" customHeight="1">
      <c r="A116" s="3384" t="s">
        <v>1441</v>
      </c>
      <c r="B116" s="3419" t="s">
        <v>1442</v>
      </c>
      <c r="C116" s="3419" t="s">
        <v>1443</v>
      </c>
      <c r="D116" s="3432" t="s">
        <v>1444</v>
      </c>
      <c r="E116" s="3433"/>
      <c r="F116" s="3427" t="s">
        <v>1445</v>
      </c>
      <c r="G116" s="3427"/>
      <c r="H116" s="3384" t="s">
        <v>1446</v>
      </c>
      <c r="I116" s="3384"/>
    </row>
    <row r="117" spans="1:27" ht="18.75" customHeight="1">
      <c r="A117" s="3384"/>
      <c r="B117" s="3420"/>
      <c r="C117" s="3420"/>
      <c r="D117" s="2148" t="s">
        <v>1447</v>
      </c>
      <c r="E117" s="2148" t="s">
        <v>1448</v>
      </c>
      <c r="F117" s="2148" t="s">
        <v>1447</v>
      </c>
      <c r="G117" s="2148" t="s">
        <v>1449</v>
      </c>
      <c r="H117" s="2148" t="s">
        <v>1447</v>
      </c>
      <c r="I117" s="2148" t="s">
        <v>1449</v>
      </c>
    </row>
    <row r="118" spans="1:27" ht="24.75" customHeight="1">
      <c r="A118" s="2383" t="str">
        <f>项目基本情况!S2</f>
        <v>北京市丰台区大红门一期A区棚户区改造项目房地产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84" t="s">
        <v>1450</v>
      </c>
      <c r="B119" s="3384"/>
      <c r="C119" s="3384"/>
      <c r="D119" s="3424" t="e">
        <f ca="1">NUMBERSTRING(INT(D118*10000),2)&amp;"元整"</f>
        <v>#REF!</v>
      </c>
      <c r="E119" s="3426"/>
      <c r="F119" s="3424" t="e">
        <f ca="1">NUMBERSTRING(INT(F118*10000),2)&amp;"元整"</f>
        <v>#REF!</v>
      </c>
      <c r="G119" s="3426"/>
      <c r="H119" s="3424" t="e">
        <f ca="1">NUMBERSTRING(INT(H118*10000),2)&amp;"元整"</f>
        <v>#REF!</v>
      </c>
      <c r="I119" s="3426"/>
    </row>
    <row r="120" spans="1:27" ht="18.75" customHeight="1">
      <c r="A120" s="3448" t="str">
        <f>IF(项目基本情况!B9="房地产市场价值","",MID(E103,3,LEN(E103)-2))</f>
        <v>估价师知悉的法定优先受偿款</v>
      </c>
      <c r="B120" s="3449"/>
      <c r="C120" s="3450"/>
      <c r="D120" s="3448">
        <f>H103</f>
        <v>0</v>
      </c>
      <c r="E120" s="3449"/>
      <c r="F120" s="3449"/>
      <c r="G120" s="3449"/>
      <c r="H120" s="3449"/>
      <c r="I120" s="34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24" t="s">
        <v>1450</v>
      </c>
      <c r="B121" s="3425"/>
      <c r="C121" s="3426"/>
      <c r="D121" s="3424" t="str">
        <f>IF(D120=0,"零元整",NUMBERSTRING(INT(D120*10000),2)&amp;"元整")</f>
        <v>零元整</v>
      </c>
      <c r="E121" s="3425"/>
      <c r="F121" s="3425"/>
      <c r="G121" s="3425"/>
      <c r="H121" s="3425"/>
      <c r="I121" s="3426"/>
      <c r="AA121" s="684"/>
    </row>
    <row r="122" spans="1:27" ht="18.75" customHeight="1">
      <c r="A122" s="3415" t="str">
        <f>IF(项目基本情况!B9="房地产市场价值","",MID(E107,3,LEN(E107)-2))</f>
        <v>房地产抵押价值</v>
      </c>
      <c r="B122" s="3415"/>
      <c r="C122" s="3415"/>
      <c r="D122" s="3448" t="e">
        <f ca="1">H107</f>
        <v>#REF!</v>
      </c>
      <c r="E122" s="3449"/>
      <c r="F122" s="3449"/>
      <c r="G122" s="3449"/>
      <c r="H122" s="3449"/>
      <c r="I122" s="3450"/>
      <c r="AA122" s="684"/>
    </row>
    <row r="123" spans="1:27" ht="18.75" customHeight="1">
      <c r="A123" s="3384" t="s">
        <v>1450</v>
      </c>
      <c r="B123" s="3384"/>
      <c r="C123" s="3384"/>
      <c r="D123" s="3424" t="e">
        <f ca="1">NUMBERSTRING(INT(D122*10000),2)&amp;"元整"</f>
        <v>#REF!</v>
      </c>
      <c r="E123" s="3425"/>
      <c r="F123" s="3425"/>
      <c r="G123" s="3425"/>
      <c r="H123" s="3425"/>
      <c r="I123" s="3426"/>
      <c r="AA123" s="684"/>
    </row>
    <row r="124" spans="1:27" ht="18.75" customHeight="1">
      <c r="A124" s="3415" t="str">
        <f>IF(项目基本情况!B9="房地产市场价值","",MID(E109,3,LEN(E109)-2))</f>
        <v/>
      </c>
      <c r="B124" s="3415"/>
      <c r="C124" s="3415"/>
      <c r="D124" s="3448" t="str">
        <f>H109</f>
        <v>——</v>
      </c>
      <c r="E124" s="3449"/>
      <c r="F124" s="3449"/>
      <c r="G124" s="3449"/>
      <c r="H124" s="3449"/>
      <c r="I124" s="3450"/>
      <c r="AA124" s="684"/>
    </row>
    <row r="125" spans="1:27" ht="18.75" customHeight="1">
      <c r="A125" s="3384" t="s">
        <v>1450</v>
      </c>
      <c r="B125" s="3384"/>
      <c r="C125" s="3384"/>
      <c r="D125" s="3424" t="e">
        <f>NUMBERSTRING(INT(D124*10000),2)&amp;"元整"</f>
        <v>#VALUE!</v>
      </c>
      <c r="E125" s="3425"/>
      <c r="F125" s="3425"/>
      <c r="G125" s="3425"/>
      <c r="H125" s="3425"/>
      <c r="I125" s="3426"/>
      <c r="AA125" s="684"/>
    </row>
    <row r="126" spans="1:27" ht="18.75" customHeight="1">
      <c r="A126" s="3415" t="str">
        <f>IF(项目基本情况!B9="房地产市场价值","",MID(E111,3,LEN(E111)-2))</f>
        <v/>
      </c>
      <c r="B126" s="3415"/>
      <c r="C126" s="3415"/>
      <c r="D126" s="3448" t="str">
        <f>H111</f>
        <v>——</v>
      </c>
      <c r="E126" s="3449"/>
      <c r="F126" s="3449"/>
      <c r="G126" s="3449"/>
      <c r="H126" s="3449"/>
      <c r="I126" s="3450"/>
      <c r="AA126" s="684"/>
    </row>
    <row r="127" spans="1:27" ht="18.75" customHeight="1">
      <c r="A127" s="3384" t="s">
        <v>1450</v>
      </c>
      <c r="B127" s="3384"/>
      <c r="C127" s="3384"/>
      <c r="D127" s="3424" t="e">
        <f>NUMBERSTRING(INT(D126*10000),2)&amp;"元整"</f>
        <v>#VALUE!</v>
      </c>
      <c r="E127" s="3425"/>
      <c r="F127" s="3425"/>
      <c r="G127" s="3425"/>
      <c r="H127" s="3425"/>
      <c r="I127" s="3426"/>
      <c r="AA127" s="684"/>
    </row>
    <row r="128" spans="1:27" ht="21.75" customHeight="1">
      <c r="A128" s="3431" t="s">
        <v>1451</v>
      </c>
      <c r="B128" s="3431"/>
      <c r="C128" s="3431"/>
      <c r="D128" s="3431"/>
      <c r="E128" s="3431"/>
      <c r="F128" s="3431"/>
      <c r="G128" s="3431"/>
      <c r="H128" s="3431"/>
      <c r="I128" s="34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0" priority="21" stopIfTrue="1" operator="equal">
      <formula>25</formula>
    </cfRule>
  </conditionalFormatting>
  <conditionalFormatting sqref="C8:C9">
    <cfRule type="cellIs" dxfId="229" priority="19" stopIfTrue="1" operator="equal">
      <formula>15</formula>
    </cfRule>
  </conditionalFormatting>
  <conditionalFormatting sqref="C14:C16">
    <cfRule type="cellIs" dxfId="228" priority="13" stopIfTrue="1" operator="equal">
      <formula>30</formula>
    </cfRule>
  </conditionalFormatting>
  <conditionalFormatting sqref="D5:D7">
    <cfRule type="cellIs" dxfId="227" priority="10" stopIfTrue="1" operator="equal">
      <formula>25</formula>
    </cfRule>
  </conditionalFormatting>
  <conditionalFormatting sqref="D8:D9">
    <cfRule type="cellIs" dxfId="226" priority="9" stopIfTrue="1" operator="equal">
      <formula>15</formula>
    </cfRule>
  </conditionalFormatting>
  <conditionalFormatting sqref="C10:D13">
    <cfRule type="cellIs" dxfId="225" priority="8" stopIfTrue="1" operator="equal">
      <formula>15</formula>
    </cfRule>
  </conditionalFormatting>
  <conditionalFormatting sqref="D14:D16">
    <cfRule type="cellIs" dxfId="224" priority="6" stopIfTrue="1" operator="equal">
      <formula>30</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E36">
    <cfRule type="expression" dxfId="22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6</v>
      </c>
    </row>
    <row r="2" spans="1:9" s="192" customFormat="1" ht="18" customHeight="1">
      <c r="A2" s="193" t="s">
        <v>1460</v>
      </c>
      <c r="B2" s="194" t="e">
        <f ca="1">IF(D2="——",C52,C52-E2)</f>
        <v>#VALUE!</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t="e">
        <f ca="1">ROUND(B2*10000/(IF(B1="",'数据-汇总表'!E3,INDIRECT("'数据-取费表'!k"&amp;$G$1))),0)</f>
        <v>#VALUE!</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0</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0</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0</v>
      </c>
      <c r="D19" s="204">
        <f ca="1">D9+D10</f>
        <v>0</v>
      </c>
      <c r="E19" s="203">
        <f>'数据-取费表'!B31</f>
        <v>0</v>
      </c>
      <c r="F19" s="223"/>
      <c r="G19" s="1714"/>
    </row>
    <row r="20" spans="1:7" s="206" customFormat="1" ht="13.5" customHeight="1">
      <c r="A20" s="247" t="s">
        <v>1491</v>
      </c>
      <c r="B20" s="202" t="s">
        <v>1492</v>
      </c>
      <c r="C20" s="224">
        <f ca="1">ROUND((C5+C19)*F20,0)</f>
        <v>0</v>
      </c>
      <c r="D20" s="224"/>
      <c r="E20" s="224"/>
      <c r="F20" s="225">
        <f>'数据-取费表'!B37</f>
        <v>0</v>
      </c>
      <c r="G20" s="226" t="s">
        <v>1493</v>
      </c>
    </row>
    <row r="21" spans="1:7" s="206" customFormat="1" ht="13.5" customHeight="1">
      <c r="A21" s="247" t="s">
        <v>1494</v>
      </c>
      <c r="B21" s="202" t="s">
        <v>1495</v>
      </c>
      <c r="C21" s="227">
        <f>F21</f>
        <v>0</v>
      </c>
      <c r="D21" s="228" t="s">
        <v>1496</v>
      </c>
      <c r="E21" s="224"/>
      <c r="F21" s="225">
        <f>'数据-取费表'!B38</f>
        <v>0</v>
      </c>
      <c r="G21" s="226" t="s">
        <v>1497</v>
      </c>
    </row>
    <row r="22" spans="1:7" s="206" customFormat="1" ht="13.5" customHeight="1">
      <c r="A22" s="247" t="s">
        <v>1498</v>
      </c>
      <c r="B22" s="202" t="s">
        <v>1499</v>
      </c>
      <c r="C22" s="1041" t="e">
        <f ca="1">ROUND(SUM(C23:C25),0)</f>
        <v>#VALUE!</v>
      </c>
      <c r="D22" s="227" t="e">
        <f ca="1">C26</f>
        <v>#VALUE!</v>
      </c>
      <c r="E22" s="228" t="s">
        <v>1496</v>
      </c>
      <c r="F22" s="229" t="e">
        <f ca="1">'数据-取费表'!B40</f>
        <v>#VALUE!</v>
      </c>
      <c r="G22" s="226" t="str">
        <f>IF('数据-取费表'!B22&lt;=1,"单利计息","复利计息")</f>
        <v>单利计息</v>
      </c>
    </row>
    <row r="23" spans="1:7" s="206" customFormat="1" ht="13.5" customHeight="1">
      <c r="A23" s="734" t="s">
        <v>1500</v>
      </c>
      <c r="B23" s="207" t="s">
        <v>1501</v>
      </c>
      <c r="C23" s="1042" t="e">
        <f ca="1">ROUND(IF('数据-取费表'!B22&lt;=1,C5*F22*'数据-取费表'!B23,C5*(POWER((1+F22),'数据-取费表'!B23)-1)),0)</f>
        <v>#VALUE!</v>
      </c>
      <c r="D23" s="230"/>
      <c r="E23" s="230"/>
      <c r="F23" s="231"/>
      <c r="G23" s="232" t="s">
        <v>1502</v>
      </c>
    </row>
    <row r="24" spans="1:7" s="206" customFormat="1" ht="13.5" customHeight="1">
      <c r="A24" s="734" t="s">
        <v>1503</v>
      </c>
      <c r="B24" s="207" t="s">
        <v>1504</v>
      </c>
      <c r="C24" s="1042" t="e">
        <f ca="1">ROUND(IF('数据-取费表'!B22&lt;=1,C19*F22*('数据-取费表'!B19/2+'数据-取费表'!B21),C19*(POWER((1+F22),('数据-取费表'!B19/2+'数据-取费表'!B21))-1)),0)</f>
        <v>#VALUE!</v>
      </c>
      <c r="D24" s="230"/>
      <c r="E24" s="230"/>
      <c r="F24" s="231"/>
      <c r="G24" s="232" t="s">
        <v>1505</v>
      </c>
    </row>
    <row r="25" spans="1:7" s="206" customFormat="1" ht="24">
      <c r="A25" s="734" t="s">
        <v>1506</v>
      </c>
      <c r="B25" s="207" t="s">
        <v>1507</v>
      </c>
      <c r="C25" s="1042" t="e">
        <f ca="1">ROUND(IF('数据-取费表'!B22&lt;=1,C20*F22*'数据-取费表'!B23/2,C20*(POWER((1+F22),'数据-取费表'!B23/2)-1)),0)</f>
        <v>#VALUE!</v>
      </c>
      <c r="D25" s="230"/>
      <c r="E25" s="233"/>
      <c r="F25" s="231"/>
      <c r="G25" s="234" t="s">
        <v>1508</v>
      </c>
    </row>
    <row r="26" spans="1:7" s="206" customFormat="1">
      <c r="A26" s="734" t="s">
        <v>350</v>
      </c>
      <c r="B26" s="207" t="s">
        <v>1509</v>
      </c>
      <c r="C26" s="230" t="e">
        <f ca="1">ROUND(IF('数据-取费表'!B22&lt;=1,F21*F22*'数据-取费表'!B23/2,F21*(POWER((1+F22),'数据-取费表'!B23/2)-1)),4)</f>
        <v>#VALUE!</v>
      </c>
      <c r="D26" s="230"/>
      <c r="E26" s="233"/>
      <c r="F26" s="231"/>
      <c r="G26" s="235"/>
    </row>
    <row r="27" spans="1:7" s="206" customFormat="1" ht="24.75">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ROUND((C5+C19+C20)*F27*'数据-取费表'!B21/'数据-取费表'!B20,0)</f>
        <v>#DIV/0!</v>
      </c>
      <c r="D28" s="227"/>
      <c r="E28" s="228"/>
      <c r="F28" s="238"/>
      <c r="G28" s="239"/>
    </row>
    <row r="29" spans="1:7" s="206" customFormat="1" ht="13.5" customHeight="1">
      <c r="A29" s="734" t="s">
        <v>347</v>
      </c>
      <c r="B29" s="240" t="s">
        <v>1515</v>
      </c>
      <c r="C29" s="230" t="e">
        <f ca="1">ROUND(C21*F27*'数据-取费表'!B21/'数据-取费表'!B20,4)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0</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1524</v>
      </c>
    </row>
    <row r="35" spans="1:7" ht="13.5" customHeight="1">
      <c r="A35" s="734" t="s">
        <v>351</v>
      </c>
      <c r="B35" s="207" t="s">
        <v>1525</v>
      </c>
      <c r="C35" s="212">
        <f ca="1">ROUND(C34*F35,0)</f>
        <v>0</v>
      </c>
      <c r="D35" s="212"/>
      <c r="E35" s="212"/>
      <c r="F35" s="251">
        <f>'数据-取费表'!B33</f>
        <v>0</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0</v>
      </c>
      <c r="D37" s="209">
        <f ca="1">D19</f>
        <v>0</v>
      </c>
      <c r="E37" s="241">
        <f>'数据-取费表'!B35</f>
        <v>0</v>
      </c>
      <c r="F37" s="251"/>
      <c r="G37" s="253" t="s">
        <v>1530</v>
      </c>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ROUND(IF('数据-取费表'!B22&lt;=1,C33*F22*'数据-取费表'!B21/2,C33*(POWER((1+F22),'数据-取费表'!B21/2)-1)),0)</f>
        <v>#VALUE!</v>
      </c>
      <c r="D42" s="230"/>
      <c r="E42" s="230"/>
      <c r="F42" s="231"/>
      <c r="G42" s="3464" t="s">
        <v>1542</v>
      </c>
    </row>
    <row r="43" spans="1:7" ht="13.5" customHeight="1">
      <c r="A43" s="734" t="s">
        <v>347</v>
      </c>
      <c r="B43" s="207" t="s">
        <v>1543</v>
      </c>
      <c r="C43" s="230" t="e">
        <f ca="1">ROUND(IF('数据-取费表'!B22&lt;=1,C39*F22*'数据-取费表'!B21/2,C39*(POWER((1+F22),'数据-取费表'!B21/2)-1)),0)</f>
        <v>#VALUE!</v>
      </c>
      <c r="D43" s="230"/>
      <c r="E43" s="230"/>
      <c r="F43" s="231"/>
      <c r="G43" s="3465"/>
    </row>
    <row r="44" spans="1:7" ht="13.5" customHeight="1">
      <c r="A44" s="734" t="s">
        <v>348</v>
      </c>
      <c r="B44" s="207" t="s">
        <v>1544</v>
      </c>
      <c r="C44" s="230" t="e">
        <f ca="1">ROUND(IF('数据-取费表'!B22&lt;=1,C40*F22*'数据-取费表'!B21/2,C40*(POWER((1+F22),'数据-取费表'!B21/2)-1)),4)</f>
        <v>#VALUE!</v>
      </c>
      <c r="D44" s="230"/>
      <c r="E44" s="230"/>
      <c r="F44" s="231"/>
      <c r="G44" s="3466"/>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27">
        <f>ROUND(F30/(1+'数据-取费表'!C42),4)</f>
        <v>0</v>
      </c>
      <c r="D48" s="228" t="s">
        <v>1537</v>
      </c>
      <c r="E48" s="224"/>
      <c r="F48" s="229">
        <f>F30</f>
        <v>0</v>
      </c>
      <c r="G48" s="226" t="s">
        <v>1550</v>
      </c>
    </row>
    <row r="49" spans="1:7" ht="16.5" customHeight="1">
      <c r="A49" s="247" t="s">
        <v>1516</v>
      </c>
      <c r="B49" s="202" t="s">
        <v>1551</v>
      </c>
      <c r="C49" s="224" t="e">
        <f ca="1">ROUND((C33+C39+C41+C45)/(1-C40-D41-D45-C48),0)</f>
        <v>#VALUE!</v>
      </c>
      <c r="D49" s="224"/>
      <c r="E49" s="224"/>
      <c r="F49" s="256"/>
      <c r="G49" s="226" t="s">
        <v>1552</v>
      </c>
    </row>
    <row r="50" spans="1:7" s="250" customFormat="1" ht="24">
      <c r="A50" s="247" t="s">
        <v>1553</v>
      </c>
      <c r="B50" s="202" t="s">
        <v>1554</v>
      </c>
      <c r="C50" s="224"/>
      <c r="D50" s="224"/>
      <c r="E50" s="224"/>
      <c r="F50" s="256" t="e">
        <f>IF('数据-取费表'!B24=0,'数据-取费表'!N16,1)</f>
        <v>#DIV/0!</v>
      </c>
      <c r="G50" s="239" t="s">
        <v>1555</v>
      </c>
    </row>
    <row r="51" spans="1:7" ht="16.5" customHeight="1">
      <c r="A51" s="247" t="s">
        <v>1556</v>
      </c>
      <c r="B51" s="202" t="s">
        <v>1557</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
      <c r="B55" s="262" t="s">
        <v>1560</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82" t="str">
        <f>项目基本情况!B1</f>
        <v>北京市丰台区大红门一期A区棚户区改造项目预评估</v>
      </c>
      <c r="C37" s="3282"/>
      <c r="D37" s="3282"/>
      <c r="E37" s="3282"/>
      <c r="F37" s="3282"/>
      <c r="G37" s="3282"/>
      <c r="H37" s="3282"/>
      <c r="I37" s="32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郑燚（注册号：1120070131)、宁小鳗（注册号：1120210056)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62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6</v>
      </c>
      <c r="H1" s="998" t="str">
        <f>IF(ISERROR(FIND("住宅",B1)),"非住宅","住宅")</f>
        <v>非住宅</v>
      </c>
    </row>
    <row r="2" spans="1:8" s="192" customFormat="1" ht="18" customHeight="1">
      <c r="A2" s="193" t="s">
        <v>1460</v>
      </c>
      <c r="B2" s="3120" t="e">
        <f ca="1">ROUND(IF(D2="——",C52/10000,C52/10000-E2),4)</f>
        <v>#VALUE!</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t="e">
        <f ca="1">ROUND(B2*10000/(IF(B1="",'数据-汇总表'!E3,INDIRECT("'数据-取费表'!k"&amp;$G$1))),0)</f>
        <v>#VALUE!</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0</v>
      </c>
      <c r="G7" s="211"/>
    </row>
    <row r="8" spans="1:8" s="215" customFormat="1">
      <c r="A8" s="732" t="s">
        <v>1474</v>
      </c>
      <c r="B8" s="207" t="s">
        <v>1475</v>
      </c>
      <c r="C8" s="212">
        <f ca="1">IF(G8="已包含在土地购买价格中",0,C9+C10)</f>
        <v>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0</v>
      </c>
      <c r="D19" s="204">
        <f ca="1">D9+D10</f>
        <v>0</v>
      </c>
      <c r="E19" s="203">
        <f>'数据-取费表'!B31</f>
        <v>0</v>
      </c>
      <c r="F19" s="223"/>
      <c r="G19" s="1714"/>
    </row>
    <row r="20" spans="1:7" s="206" customFormat="1" ht="13.5" customHeight="1">
      <c r="A20" s="247" t="s">
        <v>1572</v>
      </c>
      <c r="B20" s="202" t="s">
        <v>1573</v>
      </c>
      <c r="C20" s="224">
        <f ca="1">ROUND((C5+C19)*F20,0)</f>
        <v>0</v>
      </c>
      <c r="D20" s="224"/>
      <c r="E20" s="224"/>
      <c r="F20" s="225">
        <f>'数据-取费表'!B37</f>
        <v>0</v>
      </c>
      <c r="G20" s="226" t="s">
        <v>1574</v>
      </c>
    </row>
    <row r="21" spans="1:7" s="206" customFormat="1" ht="13.5" customHeight="1">
      <c r="A21" s="247" t="s">
        <v>1575</v>
      </c>
      <c r="B21" s="202" t="s">
        <v>1576</v>
      </c>
      <c r="C21" s="227">
        <f>F21</f>
        <v>0</v>
      </c>
      <c r="D21" s="228" t="s">
        <v>1577</v>
      </c>
      <c r="E21" s="224"/>
      <c r="F21" s="225">
        <f>'数据-取费表'!B38</f>
        <v>0</v>
      </c>
      <c r="G21" s="226" t="s">
        <v>1578</v>
      </c>
    </row>
    <row r="22" spans="1:7" s="206" customFormat="1" ht="13.5" customHeight="1">
      <c r="A22" s="247" t="s">
        <v>1579</v>
      </c>
      <c r="B22" s="202" t="s">
        <v>1580</v>
      </c>
      <c r="C22" s="224" t="e">
        <f ca="1">ROUND(SUM(C23:C25),0)</f>
        <v>#VALUE!</v>
      </c>
      <c r="D22" s="227" t="e">
        <f ca="1">C26</f>
        <v>#VALUE!</v>
      </c>
      <c r="E22" s="228" t="s">
        <v>1577</v>
      </c>
      <c r="F22" s="229" t="e">
        <f ca="1">'数据-取费表'!B40</f>
        <v>#VALUE!</v>
      </c>
      <c r="G22" s="226" t="str">
        <f>IF('数据-取费表'!B22&lt;=1,"单利计息","复利计息")</f>
        <v>单利计息</v>
      </c>
    </row>
    <row r="23" spans="1:7" s="206" customFormat="1" ht="13.5" customHeight="1">
      <c r="A23" s="734" t="s">
        <v>1470</v>
      </c>
      <c r="B23" s="207" t="s">
        <v>1581</v>
      </c>
      <c r="C23" s="230" t="e">
        <f ca="1">ROUND(IF('数据-取费表'!B22&lt;=1,C5*F22*'数据-取费表'!B22,C5*(POWER((1+F22),'数据-取费表'!B22)-1)),0)</f>
        <v>#VALUE!</v>
      </c>
      <c r="D23" s="230"/>
      <c r="E23" s="230"/>
      <c r="F23" s="231"/>
      <c r="G23" s="232" t="s">
        <v>1582</v>
      </c>
    </row>
    <row r="24" spans="1:7" s="206" customFormat="1" ht="13.5" customHeight="1">
      <c r="A24" s="734" t="s">
        <v>1472</v>
      </c>
      <c r="B24" s="207" t="s">
        <v>1583</v>
      </c>
      <c r="C24" s="230" t="e">
        <f ca="1">ROUND(IF('数据-取费表'!B22&lt;=1,C19*F22*('数据-取费表'!B19/2+'数据-取费表'!B20),C19*(POWER((1+F22),('数据-取费表'!B19/2+'数据-取费表'!B20))-1)),0)</f>
        <v>#VALUE!</v>
      </c>
      <c r="D24" s="230"/>
      <c r="E24" s="230"/>
      <c r="F24" s="231"/>
      <c r="G24" s="232" t="s">
        <v>1584</v>
      </c>
    </row>
    <row r="25" spans="1:7" s="206" customFormat="1" ht="24">
      <c r="A25" s="734" t="s">
        <v>1474</v>
      </c>
      <c r="B25" s="207" t="s">
        <v>1585</v>
      </c>
      <c r="C25" s="230" t="e">
        <f ca="1">ROUND(IF('数据-取费表'!B22&lt;=1,C20*F22*'数据-取费表'!B22/2,C20*(POWER((1+F22),'数据-取费表'!B22/2)-1)),0)</f>
        <v>#VALUE!</v>
      </c>
      <c r="D25" s="230"/>
      <c r="E25" s="233"/>
      <c r="F25" s="231"/>
      <c r="G25" s="234" t="s">
        <v>1586</v>
      </c>
    </row>
    <row r="26" spans="1:7" s="206" customFormat="1">
      <c r="A26" s="734" t="s">
        <v>350</v>
      </c>
      <c r="B26" s="207" t="s">
        <v>1509</v>
      </c>
      <c r="C26" s="230" t="e">
        <f ca="1">ROUND(IF('数据-取费表'!B22&lt;=1,F21*F22*'数据-取费表'!B22/2,F21*(POWER((1+F22),'数据-取费表'!B22/2)-1)),4)</f>
        <v>#VALUE!</v>
      </c>
      <c r="D26" s="230"/>
      <c r="E26" s="233"/>
      <c r="F26" s="231"/>
      <c r="G26" s="235"/>
    </row>
    <row r="27" spans="1:7" s="206" customFormat="1" ht="24.75">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ROUND((C5+C19+C20)*F27,0)</f>
        <v>#DIV/0!</v>
      </c>
      <c r="D28" s="227"/>
      <c r="E28" s="228"/>
      <c r="F28" s="238"/>
      <c r="G28" s="239"/>
    </row>
    <row r="29" spans="1:7" s="206" customFormat="1" ht="13.5" customHeight="1">
      <c r="A29" s="734" t="s">
        <v>347</v>
      </c>
      <c r="B29" s="240" t="s">
        <v>1515</v>
      </c>
      <c r="C29" s="230" t="e">
        <f ca="1">ROUND(C21*F27,4)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0</v>
      </c>
      <c r="D37" s="209">
        <f ca="1">D19</f>
        <v>0</v>
      </c>
      <c r="E37" s="241">
        <f>'数据-取费表'!B35</f>
        <v>0</v>
      </c>
      <c r="F37" s="251"/>
      <c r="G37" s="253"/>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ROUND(IF('数据-取费表'!B22&lt;=1,C33*F22*'数据-取费表'!B20/2,C33*(POWER((1+F22),'数据-取费表'!B20/2)-1)),0)</f>
        <v>#VALUE!</v>
      </c>
      <c r="D42" s="230"/>
      <c r="E42" s="230"/>
      <c r="F42" s="231"/>
      <c r="G42" s="3464" t="s">
        <v>1589</v>
      </c>
    </row>
    <row r="43" spans="1:7" ht="13.5" customHeight="1">
      <c r="A43" s="734" t="s">
        <v>347</v>
      </c>
      <c r="B43" s="207" t="s">
        <v>1543</v>
      </c>
      <c r="C43" s="230" t="e">
        <f ca="1">ROUND(IF('数据-取费表'!B22&lt;=1,C39*F22*'数据-取费表'!B20/2,C39*(POWER((1+F22),'数据-取费表'!B20/2)-1)),0)</f>
        <v>#VALUE!</v>
      </c>
      <c r="D43" s="230"/>
      <c r="E43" s="230"/>
      <c r="F43" s="231"/>
      <c r="G43" s="3465"/>
    </row>
    <row r="44" spans="1:7" ht="13.5" customHeight="1">
      <c r="A44" s="734" t="s">
        <v>348</v>
      </c>
      <c r="B44" s="207" t="s">
        <v>1544</v>
      </c>
      <c r="C44" s="230" t="e">
        <f ca="1">ROUND(IF('数据-取费表'!B22&lt;=1,C40*F22*'数据-取费表'!B20/2,C40*(POWER((1+F22),'数据-取费表'!B20/2)-1)),4)</f>
        <v>#VALUE!</v>
      </c>
      <c r="D44" s="230"/>
      <c r="E44" s="230"/>
      <c r="F44" s="231"/>
      <c r="G44" s="3466"/>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54">
        <f>ROUND(F30/(1+'数据-取费表'!C42),4)</f>
        <v>0</v>
      </c>
      <c r="D48" s="228" t="s">
        <v>1537</v>
      </c>
      <c r="E48" s="224"/>
      <c r="F48" s="229">
        <f>F30</f>
        <v>0</v>
      </c>
      <c r="G48" s="226" t="s">
        <v>1550</v>
      </c>
    </row>
    <row r="49" spans="1:7" ht="16.5" customHeight="1">
      <c r="A49" s="247" t="s">
        <v>1516</v>
      </c>
      <c r="B49" s="202" t="s">
        <v>1590</v>
      </c>
      <c r="C49" s="224" t="e">
        <f ca="1">ROUND((C33+C39+C41+C45)/(1-C40-D41-D45-C48),0)</f>
        <v>#VALUE!</v>
      </c>
      <c r="D49" s="224"/>
      <c r="E49" s="224"/>
      <c r="F49" s="256"/>
      <c r="G49" s="226" t="s">
        <v>1552</v>
      </c>
    </row>
    <row r="50" spans="1:7" s="250" customFormat="1">
      <c r="A50" s="247" t="s">
        <v>1553</v>
      </c>
      <c r="B50" s="202" t="s">
        <v>1554</v>
      </c>
      <c r="C50" s="224"/>
      <c r="D50" s="224"/>
      <c r="E50" s="224"/>
      <c r="F50" s="256" t="e">
        <f>IF('数据-取费表'!B24=0,'数据-取费表'!N16,1)</f>
        <v>#DIV/0!</v>
      </c>
      <c r="G50" s="239"/>
    </row>
    <row r="51" spans="1:7" ht="16.5" customHeight="1">
      <c r="A51" s="247" t="s">
        <v>1556</v>
      </c>
      <c r="B51" s="202" t="s">
        <v>1591</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
      <c r="B55" s="262" t="s">
        <v>1560</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625" style="687" customWidth="1"/>
    <col min="2" max="2" width="25.625" style="735" customWidth="1"/>
    <col min="3" max="3" width="10.375" style="774" customWidth="1"/>
    <col min="4" max="4" width="9.875" style="735" customWidth="1"/>
    <col min="5" max="5" width="9.5" style="687" customWidth="1"/>
    <col min="6" max="6" width="10.125" style="735" customWidth="1"/>
    <col min="7" max="7" width="10.62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5"/>
      <c r="F1" s="2565"/>
      <c r="G1" s="2446"/>
      <c r="H1" s="2565"/>
      <c r="I1" s="2565"/>
      <c r="J1" s="2565"/>
      <c r="K1" s="2566">
        <f>MATCH(C1,'数据-取费表'!A6:A16,0)+5</f>
        <v>6</v>
      </c>
    </row>
    <row r="2" spans="1:33" ht="18" customHeight="1">
      <c r="A2" s="193" t="s">
        <v>1460</v>
      </c>
      <c r="B2" s="196" t="e">
        <f ca="1">C32</f>
        <v>#VALUE!</v>
      </c>
      <c r="C2" s="268" t="s">
        <v>1593</v>
      </c>
      <c r="D2" s="268"/>
      <c r="E2" s="2565"/>
      <c r="F2" s="2565"/>
      <c r="G2" s="2565"/>
      <c r="H2" s="2565"/>
      <c r="I2" s="2565"/>
      <c r="J2" s="2565"/>
      <c r="K2" s="2565"/>
    </row>
    <row r="3" spans="1:33" ht="18" customHeight="1" thickBot="1">
      <c r="A3" s="195" t="s">
        <v>1462</v>
      </c>
      <c r="B3" s="196" t="e">
        <f ca="1">ROUND(B2*10000/IF(C1="",'数据-汇总表'!E3,INDIRECT("'数据-取费表'!K"&amp;$K$1)),0)</f>
        <v>#VALUE!</v>
      </c>
      <c r="C3" s="268" t="s">
        <v>1594</v>
      </c>
      <c r="D3" s="268"/>
      <c r="E3" s="2565"/>
      <c r="F3" s="2565"/>
      <c r="G3" s="2565"/>
      <c r="H3" s="2565"/>
      <c r="I3" s="2565"/>
      <c r="J3" s="2565"/>
      <c r="K3" s="2565"/>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0</v>
      </c>
      <c r="E14" s="21">
        <f>'数据-取费表'!B35</f>
        <v>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0</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v>
      </c>
      <c r="G23" s="5" t="s">
        <v>1631</v>
      </c>
      <c r="H23" s="749"/>
      <c r="I23" s="749"/>
      <c r="J23" s="749"/>
      <c r="K23" s="750"/>
    </row>
    <row r="24" spans="1:33" s="755" customFormat="1" ht="13.5" customHeight="1">
      <c r="A24" s="744" t="s">
        <v>1632</v>
      </c>
      <c r="B24" s="765" t="s">
        <v>1633</v>
      </c>
      <c r="C24" s="272">
        <f>ROUND(F24/(1+'数据-取费表'!C42),4)</f>
        <v>0</v>
      </c>
      <c r="D24" s="273" t="s">
        <v>12</v>
      </c>
      <c r="E24" s="273"/>
      <c r="F24" s="768">
        <f>IF(项目基本情况!B8="出让",0,'数据-取费表'!B48+'数据-取费表'!B49)</f>
        <v>0</v>
      </c>
      <c r="G24" s="5" t="s">
        <v>1634</v>
      </c>
      <c r="H24" s="770"/>
      <c r="I24" s="770"/>
      <c r="J24" s="770"/>
      <c r="K24" s="55"/>
    </row>
    <row r="25" spans="1:33" s="755" customFormat="1" ht="13.5" customHeight="1">
      <c r="A25" s="744" t="s">
        <v>1635</v>
      </c>
      <c r="B25" s="767" t="s">
        <v>1636</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1641</v>
      </c>
      <c r="C29" s="276" t="e">
        <f ca="1">ROUND((1+C24)*F28*'数据-取费表'!B24/'数据-取费表'!B20,4)</f>
        <v>#DIV/0!</v>
      </c>
      <c r="D29" s="276"/>
      <c r="E29" s="277"/>
      <c r="F29" s="282"/>
      <c r="G29" s="123" t="s">
        <v>1642</v>
      </c>
      <c r="H29" s="759"/>
      <c r="I29" s="759"/>
      <c r="J29" s="759"/>
      <c r="K29" s="760"/>
    </row>
    <row r="30" spans="1:33" s="283" customFormat="1" ht="13.5" customHeight="1">
      <c r="A30" s="752" t="s">
        <v>359</v>
      </c>
      <c r="B30" s="773" t="s">
        <v>1643</v>
      </c>
      <c r="C30" s="284" t="e">
        <f ca="1">ROUND((C21+C22+C23)*F28,0)</f>
        <v>#DIV/0!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0</v>
      </c>
      <c r="G31" s="788" t="s">
        <v>1646</v>
      </c>
      <c r="H31" s="789"/>
      <c r="I31" s="789"/>
      <c r="J31" s="789"/>
      <c r="K31" s="790"/>
    </row>
    <row r="32" spans="1:33" s="751" customFormat="1" ht="13.5" customHeight="1" thickBot="1">
      <c r="A32" s="449" t="s">
        <v>1647</v>
      </c>
      <c r="B32" s="779"/>
      <c r="C32" s="780" t="e">
        <f ca="1">ROUND((C4-C21-C22-C23-C25-C28-C31)/(1+C24+D25+D28),0)</f>
        <v>#VALUE!</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7" zoomScale="70" zoomScaleNormal="70" zoomScaleSheetLayoutView="70" workbookViewId="0">
      <selection activeCell="M65" sqref="M6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9" t="s">
        <v>694</v>
      </c>
      <c r="C6" s="1011">
        <f ca="1">ROUND(F6*F8*F7*(1-F9)/10000,0)</f>
        <v>0</v>
      </c>
      <c r="D6" s="147" t="s">
        <v>2107</v>
      </c>
      <c r="E6" s="294" t="s">
        <v>696</v>
      </c>
      <c r="F6" s="295">
        <f ca="1">INDIRECT("'数据-取费表'!u"&amp;$G$1)</f>
        <v>0</v>
      </c>
      <c r="G6" s="1292"/>
      <c r="H6" s="1006" t="s">
        <v>398</v>
      </c>
      <c r="I6" s="3469" t="s">
        <v>694</v>
      </c>
      <c r="J6" s="293">
        <f ca="1">ROUND(M6*M8*M7*(1-M9)/10000,0)</f>
        <v>0</v>
      </c>
      <c r="K6" s="147" t="s">
        <v>2106</v>
      </c>
      <c r="L6" s="294" t="s">
        <v>696</v>
      </c>
      <c r="M6" s="295">
        <f ca="1">INDIRECT("'数据-取费表'!z"&amp;$G$1)</f>
        <v>0</v>
      </c>
    </row>
    <row r="7" spans="1:37" ht="18" customHeight="1">
      <c r="A7" s="1010"/>
      <c r="B7" s="3470"/>
      <c r="C7" s="1012"/>
      <c r="D7" s="299"/>
      <c r="E7" s="1013" t="s">
        <v>697</v>
      </c>
      <c r="F7" s="295">
        <f ca="1">IF(INDIRECT("'数据-取费表'!ah"&amp;$G$1)="",INDIRECT("'数据-取费表'!k"&amp;$G$1),INDIRECT("'数据-取费表'!ah"&amp;$G$1))</f>
        <v>0</v>
      </c>
      <c r="G7" s="1292"/>
      <c r="H7" s="296"/>
      <c r="I7" s="3470"/>
      <c r="J7" s="298"/>
      <c r="K7" s="299"/>
      <c r="L7" s="294" t="s">
        <v>697</v>
      </c>
      <c r="M7" s="295">
        <f ca="1">F7</f>
        <v>0</v>
      </c>
    </row>
    <row r="8" spans="1:37" ht="18" customHeight="1">
      <c r="A8" s="296"/>
      <c r="B8" s="3470"/>
      <c r="C8" s="298"/>
      <c r="D8" s="299"/>
      <c r="E8" s="294" t="s">
        <v>698</v>
      </c>
      <c r="F8" s="295">
        <f ca="1">INDIRECT("'数据-取费表'!ai"&amp;$G$1)</f>
        <v>0</v>
      </c>
      <c r="G8" s="1292"/>
      <c r="H8" s="296"/>
      <c r="I8" s="3470"/>
      <c r="J8" s="298"/>
      <c r="K8" s="299"/>
      <c r="L8" s="294" t="s">
        <v>698</v>
      </c>
      <c r="M8" s="295">
        <f ca="1">INDIRECT("'数据-取费表'!ai"&amp;$G$1)</f>
        <v>0</v>
      </c>
    </row>
    <row r="9" spans="1:37" ht="18" customHeight="1">
      <c r="A9" s="296"/>
      <c r="B9" s="3471"/>
      <c r="C9" s="298"/>
      <c r="D9" s="299"/>
      <c r="E9" s="294" t="s">
        <v>699</v>
      </c>
      <c r="F9" s="304">
        <f ca="1">INDIRECT("'数据-取费表'!w"&amp;$G$1)</f>
        <v>0</v>
      </c>
      <c r="G9" s="1292"/>
      <c r="H9" s="296"/>
      <c r="I9" s="34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7" t="s">
        <v>2303</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t="e">
        <f ca="1">ROUND(C29*F36,2)</f>
        <v>#VALUE!</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t="e">
        <f ca="1">ROUND(C13*F37,2)</f>
        <v>#VALUE!</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t="e">
        <f ca="1">C5-C30</f>
        <v>#VALUE!</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4">
        <f ca="1">IF(M47="住宅",IF(D1="——",MAX(J51,L48),MAX(J51,L48-'数据-取费表'!B24)),IF(D1="——",MIN(J51,L48),MIN(J51,L48-'数据-取费表'!B24)))</f>
        <v>0</v>
      </c>
      <c r="K53" s="3467" t="s">
        <v>837</v>
      </c>
      <c r="L53" s="34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20" priority="56">
      <formula>$L$48&gt;$J$51</formula>
    </cfRule>
  </conditionalFormatting>
  <conditionalFormatting sqref="I55 I60">
    <cfRule type="expression" dxfId="219" priority="57">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#VALUE!</v>
      </c>
      <c r="C2" s="1289" t="s">
        <v>879</v>
      </c>
      <c r="D2" s="1375" t="e">
        <f ca="1">C40+J29+L46</f>
        <v>#VALUE!</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9" t="s">
        <v>694</v>
      </c>
      <c r="C6" s="1011">
        <f ca="1">ROUND(F6*F8*F7*(1-F9),0)</f>
        <v>0</v>
      </c>
      <c r="D6" s="147" t="s">
        <v>2104</v>
      </c>
      <c r="E6" s="294" t="s">
        <v>696</v>
      </c>
      <c r="F6" s="295">
        <f ca="1">INDIRECT("'数据-取费表'!u"&amp;$G$1)</f>
        <v>0</v>
      </c>
      <c r="G6" s="1292"/>
      <c r="H6" s="1006" t="s">
        <v>398</v>
      </c>
      <c r="I6" s="3469" t="s">
        <v>694</v>
      </c>
      <c r="J6" s="293">
        <f ca="1">ROUND(M6*M8*M7*(1-M9),0)</f>
        <v>0</v>
      </c>
      <c r="K6" s="1284" t="s">
        <v>2105</v>
      </c>
      <c r="L6" s="294" t="s">
        <v>696</v>
      </c>
      <c r="M6" s="295">
        <f ca="1">INDIRECT("'数据-取费表'!z"&amp;$G$1)</f>
        <v>0</v>
      </c>
    </row>
    <row r="7" spans="1:37" ht="18" customHeight="1">
      <c r="A7" s="1010"/>
      <c r="B7" s="3470"/>
      <c r="C7" s="1012"/>
      <c r="D7" s="299"/>
      <c r="E7" s="1013" t="s">
        <v>697</v>
      </c>
      <c r="F7" s="295">
        <f ca="1">IF(INDIRECT("'数据-取费表'!ah"&amp;$G$1)="",INDIRECT("'数据-取费表'!k"&amp;$G$1),INDIRECT("'数据-取费表'!ah"&amp;$G$1))</f>
        <v>0</v>
      </c>
      <c r="G7" s="1292"/>
      <c r="H7" s="296"/>
      <c r="I7" s="3470"/>
      <c r="J7" s="298"/>
      <c r="K7" s="299"/>
      <c r="L7" s="294" t="s">
        <v>697</v>
      </c>
      <c r="M7" s="295">
        <f ca="1">F7</f>
        <v>0</v>
      </c>
    </row>
    <row r="8" spans="1:37" ht="18" customHeight="1">
      <c r="A8" s="296"/>
      <c r="B8" s="3470"/>
      <c r="C8" s="298"/>
      <c r="D8" s="299"/>
      <c r="E8" s="294" t="s">
        <v>698</v>
      </c>
      <c r="F8" s="295">
        <f ca="1">INDIRECT("'数据-取费表'!ai"&amp;$G$1)</f>
        <v>0</v>
      </c>
      <c r="G8" s="1292"/>
      <c r="H8" s="296"/>
      <c r="I8" s="3470"/>
      <c r="J8" s="298"/>
      <c r="K8" s="299"/>
      <c r="L8" s="294" t="s">
        <v>698</v>
      </c>
      <c r="M8" s="295">
        <f ca="1">INDIRECT("'数据-取费表'!ai"&amp;$G$1)</f>
        <v>0</v>
      </c>
    </row>
    <row r="9" spans="1:37" ht="18" customHeight="1">
      <c r="A9" s="296"/>
      <c r="B9" s="3471"/>
      <c r="C9" s="298"/>
      <c r="D9" s="299"/>
      <c r="E9" s="294" t="s">
        <v>699</v>
      </c>
      <c r="F9" s="304">
        <f ca="1">INDIRECT("'数据-取费表'!w"&amp;$G$1)</f>
        <v>0</v>
      </c>
      <c r="G9" s="1292"/>
      <c r="H9" s="296"/>
      <c r="I9" s="34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7" t="s">
        <v>2303</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t="e">
        <f ca="1">ROUND(C29*F36,0)</f>
        <v>#VALUE!</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t="e">
        <f ca="1">ROUND(C13*F37,0)</f>
        <v>#VALUE!</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t="e">
        <f ca="1">C5-C30</f>
        <v>#VALUE!</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3353</v>
      </c>
      <c r="B45" s="1307"/>
      <c r="C45" s="1376" t="e">
        <f ca="1">ROUND((C68-C40)/10000,4)</f>
        <v>#VALUE!</v>
      </c>
      <c r="D45" s="3128" t="s">
        <v>3354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4">
        <f ca="1">IF(M47="住宅",IF(D1="——",MAX(J51,L48),MAX(J51,L48-'数据-取费表'!B24)),IF(D1="——",MIN(J51,L48),MIN(J51,L48-'数据-取费表'!B24)))</f>
        <v>0</v>
      </c>
      <c r="K53" s="3467" t="s">
        <v>837</v>
      </c>
      <c r="L53" s="34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5" priority="4">
      <formula>$L$48&gt;$J$51</formula>
    </cfRule>
  </conditionalFormatting>
  <conditionalFormatting sqref="I55 I60">
    <cfRule type="expression" dxfId="214" priority="5">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8.875" defaultRowHeight="13.3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625" style="2745" customWidth="1"/>
    <col min="11" max="11" width="11.625" style="2745" customWidth="1"/>
    <col min="12" max="13" width="10.62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625" style="2591" customWidth="1"/>
    <col min="267" max="267" width="11.625" style="2591" customWidth="1"/>
    <col min="268" max="269" width="10.62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625" style="2591" customWidth="1"/>
    <col min="523" max="523" width="11.625" style="2591" customWidth="1"/>
    <col min="524" max="525" width="10.62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625" style="2591" customWidth="1"/>
    <col min="779" max="779" width="11.625" style="2591" customWidth="1"/>
    <col min="780" max="781" width="10.62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625" style="2591" customWidth="1"/>
    <col min="1035" max="1035" width="11.625" style="2591" customWidth="1"/>
    <col min="1036" max="1037" width="10.62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625" style="2591" customWidth="1"/>
    <col min="1291" max="1291" width="11.625" style="2591" customWidth="1"/>
    <col min="1292" max="1293" width="10.62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625" style="2591" customWidth="1"/>
    <col min="1547" max="1547" width="11.625" style="2591" customWidth="1"/>
    <col min="1548" max="1549" width="10.62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625" style="2591" customWidth="1"/>
    <col min="1803" max="1803" width="11.625" style="2591" customWidth="1"/>
    <col min="1804" max="1805" width="10.62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625" style="2591" customWidth="1"/>
    <col min="2059" max="2059" width="11.625" style="2591" customWidth="1"/>
    <col min="2060" max="2061" width="10.62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625" style="2591" customWidth="1"/>
    <col min="2315" max="2315" width="11.625" style="2591" customWidth="1"/>
    <col min="2316" max="2317" width="10.62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625" style="2591" customWidth="1"/>
    <col min="2571" max="2571" width="11.625" style="2591" customWidth="1"/>
    <col min="2572" max="2573" width="10.62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625" style="2591" customWidth="1"/>
    <col min="2827" max="2827" width="11.625" style="2591" customWidth="1"/>
    <col min="2828" max="2829" width="10.62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625" style="2591" customWidth="1"/>
    <col min="3083" max="3083" width="11.625" style="2591" customWidth="1"/>
    <col min="3084" max="3085" width="10.62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625" style="2591" customWidth="1"/>
    <col min="3339" max="3339" width="11.625" style="2591" customWidth="1"/>
    <col min="3340" max="3341" width="10.62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625" style="2591" customWidth="1"/>
    <col min="3595" max="3595" width="11.625" style="2591" customWidth="1"/>
    <col min="3596" max="3597" width="10.62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625" style="2591" customWidth="1"/>
    <col min="3851" max="3851" width="11.625" style="2591" customWidth="1"/>
    <col min="3852" max="3853" width="10.62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625" style="2591" customWidth="1"/>
    <col min="4107" max="4107" width="11.625" style="2591" customWidth="1"/>
    <col min="4108" max="4109" width="10.62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625" style="2591" customWidth="1"/>
    <col min="4363" max="4363" width="11.625" style="2591" customWidth="1"/>
    <col min="4364" max="4365" width="10.62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625" style="2591" customWidth="1"/>
    <col min="4619" max="4619" width="11.625" style="2591" customWidth="1"/>
    <col min="4620" max="4621" width="10.62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625" style="2591" customWidth="1"/>
    <col min="4875" max="4875" width="11.625" style="2591" customWidth="1"/>
    <col min="4876" max="4877" width="10.62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625" style="2591" customWidth="1"/>
    <col min="5131" max="5131" width="11.625" style="2591" customWidth="1"/>
    <col min="5132" max="5133" width="10.62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625" style="2591" customWidth="1"/>
    <col min="5387" max="5387" width="11.625" style="2591" customWidth="1"/>
    <col min="5388" max="5389" width="10.62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625" style="2591" customWidth="1"/>
    <col min="5643" max="5643" width="11.625" style="2591" customWidth="1"/>
    <col min="5644" max="5645" width="10.62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625" style="2591" customWidth="1"/>
    <col min="5899" max="5899" width="11.625" style="2591" customWidth="1"/>
    <col min="5900" max="5901" width="10.62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625" style="2591" customWidth="1"/>
    <col min="6155" max="6155" width="11.625" style="2591" customWidth="1"/>
    <col min="6156" max="6157" width="10.62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625" style="2591" customWidth="1"/>
    <col min="6411" max="6411" width="11.625" style="2591" customWidth="1"/>
    <col min="6412" max="6413" width="10.62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625" style="2591" customWidth="1"/>
    <col min="6667" max="6667" width="11.625" style="2591" customWidth="1"/>
    <col min="6668" max="6669" width="10.62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625" style="2591" customWidth="1"/>
    <col min="6923" max="6923" width="11.625" style="2591" customWidth="1"/>
    <col min="6924" max="6925" width="10.62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625" style="2591" customWidth="1"/>
    <col min="7179" max="7179" width="11.625" style="2591" customWidth="1"/>
    <col min="7180" max="7181" width="10.62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625" style="2591" customWidth="1"/>
    <col min="7435" max="7435" width="11.625" style="2591" customWidth="1"/>
    <col min="7436" max="7437" width="10.62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625" style="2591" customWidth="1"/>
    <col min="7691" max="7691" width="11.625" style="2591" customWidth="1"/>
    <col min="7692" max="7693" width="10.62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625" style="2591" customWidth="1"/>
    <col min="7947" max="7947" width="11.625" style="2591" customWidth="1"/>
    <col min="7948" max="7949" width="10.62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625" style="2591" customWidth="1"/>
    <col min="8203" max="8203" width="11.625" style="2591" customWidth="1"/>
    <col min="8204" max="8205" width="10.62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625" style="2591" customWidth="1"/>
    <col min="8459" max="8459" width="11.625" style="2591" customWidth="1"/>
    <col min="8460" max="8461" width="10.62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625" style="2591" customWidth="1"/>
    <col min="8715" max="8715" width="11.625" style="2591" customWidth="1"/>
    <col min="8716" max="8717" width="10.62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625" style="2591" customWidth="1"/>
    <col min="8971" max="8971" width="11.625" style="2591" customWidth="1"/>
    <col min="8972" max="8973" width="10.62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625" style="2591" customWidth="1"/>
    <col min="9227" max="9227" width="11.625" style="2591" customWidth="1"/>
    <col min="9228" max="9229" width="10.62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625" style="2591" customWidth="1"/>
    <col min="9483" max="9483" width="11.625" style="2591" customWidth="1"/>
    <col min="9484" max="9485" width="10.62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625" style="2591" customWidth="1"/>
    <col min="9739" max="9739" width="11.625" style="2591" customWidth="1"/>
    <col min="9740" max="9741" width="10.62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625" style="2591" customWidth="1"/>
    <col min="9995" max="9995" width="11.625" style="2591" customWidth="1"/>
    <col min="9996" max="9997" width="10.62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625" style="2591" customWidth="1"/>
    <col min="10251" max="10251" width="11.625" style="2591" customWidth="1"/>
    <col min="10252" max="10253" width="10.62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625" style="2591" customWidth="1"/>
    <col min="10507" max="10507" width="11.625" style="2591" customWidth="1"/>
    <col min="10508" max="10509" width="10.62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625" style="2591" customWidth="1"/>
    <col min="10763" max="10763" width="11.625" style="2591" customWidth="1"/>
    <col min="10764" max="10765" width="10.62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625" style="2591" customWidth="1"/>
    <col min="11019" max="11019" width="11.625" style="2591" customWidth="1"/>
    <col min="11020" max="11021" width="10.62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625" style="2591" customWidth="1"/>
    <col min="11275" max="11275" width="11.625" style="2591" customWidth="1"/>
    <col min="11276" max="11277" width="10.62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625" style="2591" customWidth="1"/>
    <col min="11531" max="11531" width="11.625" style="2591" customWidth="1"/>
    <col min="11532" max="11533" width="10.62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625" style="2591" customWidth="1"/>
    <col min="11787" max="11787" width="11.625" style="2591" customWidth="1"/>
    <col min="11788" max="11789" width="10.62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625" style="2591" customWidth="1"/>
    <col min="12043" max="12043" width="11.625" style="2591" customWidth="1"/>
    <col min="12044" max="12045" width="10.62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625" style="2591" customWidth="1"/>
    <col min="12299" max="12299" width="11.625" style="2591" customWidth="1"/>
    <col min="12300" max="12301" width="10.62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625" style="2591" customWidth="1"/>
    <col min="12555" max="12555" width="11.625" style="2591" customWidth="1"/>
    <col min="12556" max="12557" width="10.62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625" style="2591" customWidth="1"/>
    <col min="12811" max="12811" width="11.625" style="2591" customWidth="1"/>
    <col min="12812" max="12813" width="10.62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625" style="2591" customWidth="1"/>
    <col min="13067" max="13067" width="11.625" style="2591" customWidth="1"/>
    <col min="13068" max="13069" width="10.62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625" style="2591" customWidth="1"/>
    <col min="13323" max="13323" width="11.625" style="2591" customWidth="1"/>
    <col min="13324" max="13325" width="10.62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625" style="2591" customWidth="1"/>
    <col min="13579" max="13579" width="11.625" style="2591" customWidth="1"/>
    <col min="13580" max="13581" width="10.62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625" style="2591" customWidth="1"/>
    <col min="13835" max="13835" width="11.625" style="2591" customWidth="1"/>
    <col min="13836" max="13837" width="10.62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625" style="2591" customWidth="1"/>
    <col min="14091" max="14091" width="11.625" style="2591" customWidth="1"/>
    <col min="14092" max="14093" width="10.62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625" style="2591" customWidth="1"/>
    <col min="14347" max="14347" width="11.625" style="2591" customWidth="1"/>
    <col min="14348" max="14349" width="10.62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625" style="2591" customWidth="1"/>
    <col min="14603" max="14603" width="11.625" style="2591" customWidth="1"/>
    <col min="14604" max="14605" width="10.62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625" style="2591" customWidth="1"/>
    <col min="14859" max="14859" width="11.625" style="2591" customWidth="1"/>
    <col min="14860" max="14861" width="10.62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625" style="2591" customWidth="1"/>
    <col min="15115" max="15115" width="11.625" style="2591" customWidth="1"/>
    <col min="15116" max="15117" width="10.62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625" style="2591" customWidth="1"/>
    <col min="15371" max="15371" width="11.625" style="2591" customWidth="1"/>
    <col min="15372" max="15373" width="10.62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625" style="2591" customWidth="1"/>
    <col min="15627" max="15627" width="11.625" style="2591" customWidth="1"/>
    <col min="15628" max="15629" width="10.62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625" style="2591" customWidth="1"/>
    <col min="15883" max="15883" width="11.625" style="2591" customWidth="1"/>
    <col min="15884" max="15885" width="10.62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625" style="2591" customWidth="1"/>
    <col min="16139" max="16139" width="11.625" style="2591" customWidth="1"/>
    <col min="16140" max="16141" width="10.62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35" customHeight="1">
      <c r="A2" s="1293" t="s">
        <v>2312</v>
      </c>
      <c r="B2" s="2592" t="e">
        <f>IF(D2="——",C40,C40+E2)</f>
        <v>#DIV/0!</v>
      </c>
      <c r="C2" s="2593" t="s">
        <v>2313</v>
      </c>
      <c r="D2" s="3136" t="s">
        <v>3360</v>
      </c>
      <c r="E2" s="3137"/>
      <c r="F2" s="2595"/>
      <c r="G2" s="2596"/>
      <c r="H2" s="2597"/>
      <c r="I2" s="2598"/>
      <c r="J2" s="3478" t="s">
        <v>2314</v>
      </c>
      <c r="K2" s="3479"/>
      <c r="L2" s="2599" t="s">
        <v>2315</v>
      </c>
      <c r="M2" s="2599" t="s">
        <v>2316</v>
      </c>
      <c r="N2" s="2599" t="s">
        <v>2317</v>
      </c>
      <c r="O2" s="2599" t="s">
        <v>2318</v>
      </c>
      <c r="P2" s="2599" t="s">
        <v>2319</v>
      </c>
      <c r="Q2" s="2600" t="s">
        <v>2320</v>
      </c>
      <c r="R2" s="2601" t="s">
        <v>2321</v>
      </c>
      <c r="S2" s="2590"/>
      <c r="T2" s="2590"/>
      <c r="U2" s="2590"/>
      <c r="V2" s="2598"/>
    </row>
    <row r="3" spans="1:22" s="2602" customFormat="1" ht="13.35" customHeight="1">
      <c r="A3" s="2603" t="s">
        <v>2322</v>
      </c>
      <c r="B3" s="2604" t="e">
        <f>ROUND(B2*10000/B4,0)</f>
        <v>#DIV/0!</v>
      </c>
      <c r="C3" s="2593" t="s">
        <v>2323</v>
      </c>
      <c r="D3" s="2593"/>
      <c r="E3" s="2594"/>
      <c r="F3" s="2595"/>
      <c r="G3" s="2596"/>
      <c r="H3" s="2597"/>
      <c r="I3" s="2598"/>
      <c r="J3" s="3480" t="s">
        <v>2324</v>
      </c>
      <c r="K3" s="3481"/>
      <c r="L3" s="2605"/>
      <c r="M3" s="2605"/>
      <c r="N3" s="2605"/>
      <c r="O3" s="2605"/>
      <c r="P3" s="2605"/>
      <c r="Q3" s="2606"/>
      <c r="R3" s="2607">
        <f>SUM(L3:Q3)</f>
        <v>0</v>
      </c>
      <c r="S3" s="2590"/>
      <c r="T3" s="2590"/>
      <c r="U3" s="2590"/>
      <c r="V3" s="2598"/>
    </row>
    <row r="4" spans="1:22" s="2602" customFormat="1" ht="13.35" customHeight="1">
      <c r="A4" s="2608" t="s">
        <v>2325</v>
      </c>
      <c r="B4" s="2609"/>
      <c r="C4" s="2593"/>
      <c r="D4" s="2593"/>
      <c r="E4" s="2594"/>
      <c r="F4" s="2595"/>
      <c r="G4" s="2596"/>
      <c r="H4" s="2597"/>
      <c r="I4" s="2598"/>
      <c r="J4" s="3480" t="s">
        <v>2326</v>
      </c>
      <c r="K4" s="3481"/>
      <c r="L4" s="2610"/>
      <c r="M4" s="2610"/>
      <c r="N4" s="2610"/>
      <c r="O4" s="2610"/>
      <c r="P4" s="2610"/>
      <c r="Q4" s="2611"/>
      <c r="R4" s="2612">
        <f>SUM(L4:Q4)</f>
        <v>0</v>
      </c>
      <c r="S4" s="2590"/>
      <c r="T4" s="2590"/>
      <c r="U4" s="2590"/>
      <c r="V4" s="2598"/>
    </row>
    <row r="5" spans="1:22" s="2602" customFormat="1" ht="13.3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35" customHeight="1" thickBot="1">
      <c r="A6" s="3486" t="s">
        <v>2330</v>
      </c>
      <c r="B6" s="3487"/>
      <c r="C6" s="3488"/>
      <c r="D6" s="2619"/>
      <c r="E6" s="2620"/>
      <c r="F6" s="2621"/>
      <c r="G6" s="2622"/>
      <c r="H6" s="2597"/>
      <c r="I6" s="2598"/>
      <c r="J6" s="3472">
        <v>1</v>
      </c>
      <c r="K6" s="3473"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35" customHeight="1">
      <c r="A7" s="2625" t="s">
        <v>2340</v>
      </c>
      <c r="B7" s="2626"/>
      <c r="C7" s="2627"/>
      <c r="D7" s="2628">
        <f>SUM(D9,D10,D11,D17,0)</f>
        <v>0</v>
      </c>
      <c r="E7" s="2629" t="e">
        <f>E9+E10+E11+E17</f>
        <v>#DIV/0!</v>
      </c>
      <c r="F7" s="2630"/>
      <c r="G7" s="2631"/>
      <c r="H7" s="2597"/>
      <c r="I7" s="2598"/>
      <c r="J7" s="3472"/>
      <c r="K7" s="3474"/>
      <c r="L7" s="2632" t="s">
        <v>2341</v>
      </c>
      <c r="M7" s="2633"/>
      <c r="N7" s="2609"/>
      <c r="O7" s="2634"/>
      <c r="P7" s="2634"/>
      <c r="Q7" s="2635">
        <v>365</v>
      </c>
      <c r="R7" s="2636">
        <f>ROUND(M7*N7*O7*P7*Q7/10000,0)</f>
        <v>0</v>
      </c>
      <c r="S7" s="2590"/>
      <c r="T7" s="2590" t="s">
        <v>2342</v>
      </c>
      <c r="U7" s="2590"/>
      <c r="V7" s="2598"/>
    </row>
    <row r="8" spans="1:22" s="2602" customFormat="1" ht="13.35" customHeight="1">
      <c r="A8" s="2637" t="s">
        <v>2343</v>
      </c>
      <c r="B8" s="3489" t="s">
        <v>2344</v>
      </c>
      <c r="C8" s="3490"/>
      <c r="D8" s="2638" t="s">
        <v>2345</v>
      </c>
      <c r="E8" s="2639" t="s">
        <v>2346</v>
      </c>
      <c r="F8" s="2640" t="s">
        <v>2347</v>
      </c>
      <c r="G8" s="2641"/>
      <c r="H8" s="2597"/>
      <c r="I8" s="2598"/>
      <c r="J8" s="3472"/>
      <c r="K8" s="3474"/>
      <c r="L8" s="2632" t="s">
        <v>2348</v>
      </c>
      <c r="M8" s="2633"/>
      <c r="N8" s="2609"/>
      <c r="O8" s="2634"/>
      <c r="P8" s="2634"/>
      <c r="Q8" s="2635">
        <v>365</v>
      </c>
      <c r="R8" s="2636">
        <f t="shared" ref="R8:R13" si="0">ROUND(M8*N8*O8*P8*Q8/10000,0)</f>
        <v>0</v>
      </c>
      <c r="S8" s="2590"/>
      <c r="T8" s="2590" t="s">
        <v>2349</v>
      </c>
      <c r="U8" s="2590"/>
      <c r="V8" s="2598"/>
    </row>
    <row r="9" spans="1:22" s="2602" customFormat="1" ht="13.35" customHeight="1">
      <c r="A9" s="2637">
        <v>1</v>
      </c>
      <c r="B9" s="3489" t="s">
        <v>2350</v>
      </c>
      <c r="C9" s="3490"/>
      <c r="D9" s="2638">
        <f>ROUND(D6*E9,0)</f>
        <v>0</v>
      </c>
      <c r="E9" s="2642"/>
      <c r="F9" s="2643" t="s">
        <v>2351</v>
      </c>
      <c r="G9" s="2622"/>
      <c r="H9" s="2597"/>
      <c r="I9" s="2598"/>
      <c r="J9" s="3472"/>
      <c r="K9" s="3474"/>
      <c r="L9" s="2632" t="s">
        <v>2352</v>
      </c>
      <c r="M9" s="2633"/>
      <c r="N9" s="2609"/>
      <c r="O9" s="2634"/>
      <c r="P9" s="2634"/>
      <c r="Q9" s="2635">
        <v>365</v>
      </c>
      <c r="R9" s="2636">
        <f t="shared" si="0"/>
        <v>0</v>
      </c>
      <c r="S9" s="2590"/>
      <c r="T9" s="2590"/>
      <c r="U9" s="2590"/>
      <c r="V9" s="2598"/>
    </row>
    <row r="10" spans="1:22" s="2602" customFormat="1" ht="13.35" customHeight="1">
      <c r="A10" s="2637">
        <v>2</v>
      </c>
      <c r="B10" s="3489" t="s">
        <v>2353</v>
      </c>
      <c r="C10" s="3490"/>
      <c r="D10" s="2638">
        <f>ROUND(D6*E10,0)</f>
        <v>0</v>
      </c>
      <c r="E10" s="2642"/>
      <c r="F10" s="2643" t="s">
        <v>2354</v>
      </c>
      <c r="G10" s="2622"/>
      <c r="H10" s="2597"/>
      <c r="I10" s="2598"/>
      <c r="J10" s="3472"/>
      <c r="K10" s="3474"/>
      <c r="L10" s="2632" t="s">
        <v>2355</v>
      </c>
      <c r="M10" s="2633"/>
      <c r="N10" s="2609"/>
      <c r="O10" s="2634"/>
      <c r="P10" s="2634"/>
      <c r="Q10" s="2635">
        <v>365</v>
      </c>
      <c r="R10" s="2636">
        <f t="shared" si="0"/>
        <v>0</v>
      </c>
      <c r="S10" s="2590"/>
      <c r="T10" s="2590"/>
      <c r="U10" s="2590"/>
      <c r="V10" s="2598"/>
    </row>
    <row r="11" spans="1:22" s="2602" customFormat="1" ht="13.35" customHeight="1">
      <c r="A11" s="2637">
        <v>3</v>
      </c>
      <c r="B11" s="3489" t="s">
        <v>2356</v>
      </c>
      <c r="C11" s="3490"/>
      <c r="D11" s="2638">
        <f>D12+D14+D15+D16</f>
        <v>0</v>
      </c>
      <c r="E11" s="2644" t="e">
        <f>D11/D6</f>
        <v>#DIV/0!</v>
      </c>
      <c r="F11" s="2640"/>
      <c r="G11" s="2641"/>
      <c r="H11" s="2597"/>
      <c r="I11" s="2598"/>
      <c r="J11" s="3472"/>
      <c r="K11" s="3474"/>
      <c r="L11" s="2632" t="s">
        <v>2357</v>
      </c>
      <c r="M11" s="2633"/>
      <c r="N11" s="2609"/>
      <c r="O11" s="2634"/>
      <c r="P11" s="2634"/>
      <c r="Q11" s="2635">
        <v>365</v>
      </c>
      <c r="R11" s="2636">
        <f t="shared" si="0"/>
        <v>0</v>
      </c>
      <c r="S11" s="2590"/>
      <c r="T11" s="2590"/>
      <c r="U11" s="2590"/>
      <c r="V11" s="2598"/>
    </row>
    <row r="12" spans="1:22" s="2602" customFormat="1" ht="13.35" customHeight="1">
      <c r="A12" s="2645" t="s">
        <v>2358</v>
      </c>
      <c r="B12" s="3482" t="s">
        <v>2359</v>
      </c>
      <c r="C12" s="3483"/>
      <c r="D12" s="2646">
        <f>ROUND(D13*1.2%*(1-30%),0)</f>
        <v>0</v>
      </c>
      <c r="E12" s="2647">
        <v>1.2E-2</v>
      </c>
      <c r="F12" s="2640" t="s">
        <v>2360</v>
      </c>
      <c r="G12" s="2641"/>
      <c r="H12" s="2597"/>
      <c r="I12" s="2598"/>
      <c r="J12" s="3472"/>
      <c r="K12" s="3474"/>
      <c r="L12" s="2632" t="s">
        <v>2361</v>
      </c>
      <c r="M12" s="2633"/>
      <c r="N12" s="2609"/>
      <c r="O12" s="2634"/>
      <c r="P12" s="2634"/>
      <c r="Q12" s="2635">
        <v>365</v>
      </c>
      <c r="R12" s="2636">
        <f t="shared" si="0"/>
        <v>0</v>
      </c>
      <c r="S12" s="2590"/>
      <c r="T12" s="2590"/>
      <c r="U12" s="2590"/>
      <c r="V12" s="2598"/>
    </row>
    <row r="13" spans="1:22" s="2602" customFormat="1" ht="13.35" customHeight="1">
      <c r="A13" s="2645"/>
      <c r="B13" s="2648"/>
      <c r="C13" s="2649" t="s">
        <v>2362</v>
      </c>
      <c r="D13" s="2650"/>
      <c r="E13" s="2651"/>
      <c r="F13" s="2640"/>
      <c r="G13" s="2641"/>
      <c r="H13" s="2597"/>
      <c r="I13" s="2598"/>
      <c r="J13" s="3472"/>
      <c r="K13" s="3474"/>
      <c r="L13" s="2632" t="s">
        <v>2363</v>
      </c>
      <c r="M13" s="2633"/>
      <c r="N13" s="2609"/>
      <c r="O13" s="2634"/>
      <c r="P13" s="2634"/>
      <c r="Q13" s="2635">
        <v>365</v>
      </c>
      <c r="R13" s="2636">
        <f t="shared" si="0"/>
        <v>0</v>
      </c>
      <c r="S13" s="2590"/>
      <c r="T13" s="2590"/>
      <c r="U13" s="2590"/>
      <c r="V13" s="2598"/>
    </row>
    <row r="14" spans="1:22" s="2602" customFormat="1" ht="13.35" customHeight="1">
      <c r="A14" s="2645" t="s">
        <v>2364</v>
      </c>
      <c r="B14" s="3482" t="s">
        <v>2365</v>
      </c>
      <c r="C14" s="3483"/>
      <c r="D14" s="2646">
        <f>ROUND(E14*B5/10000,0)</f>
        <v>0</v>
      </c>
      <c r="E14" s="2635"/>
      <c r="F14" s="2640" t="s">
        <v>2366</v>
      </c>
      <c r="G14" s="2641"/>
      <c r="H14" s="2597"/>
      <c r="I14" s="2598"/>
      <c r="J14" s="3472"/>
      <c r="K14" s="3475"/>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35" customHeight="1">
      <c r="A15" s="2645" t="s">
        <v>2368</v>
      </c>
      <c r="B15" s="3482" t="s">
        <v>2369</v>
      </c>
      <c r="C15" s="3483"/>
      <c r="D15" s="2646">
        <f>ROUND(D6*E15,0)</f>
        <v>0</v>
      </c>
      <c r="E15" s="2647">
        <v>5.5E-2</v>
      </c>
      <c r="F15" s="2640" t="s">
        <v>2370</v>
      </c>
      <c r="G15" s="2622"/>
      <c r="H15" s="2597"/>
      <c r="I15" s="2598"/>
      <c r="J15" s="3472">
        <v>2</v>
      </c>
      <c r="K15" s="3473"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35" customHeight="1">
      <c r="A16" s="2645" t="s">
        <v>2377</v>
      </c>
      <c r="B16" s="3482" t="s">
        <v>2378</v>
      </c>
      <c r="C16" s="3483"/>
      <c r="D16" s="2657">
        <f>D6*E16</f>
        <v>0</v>
      </c>
      <c r="E16" s="2658"/>
      <c r="F16" s="2643" t="s">
        <v>2379</v>
      </c>
      <c r="G16" s="2622"/>
      <c r="H16" s="2597"/>
      <c r="I16" s="2598"/>
      <c r="J16" s="3472"/>
      <c r="K16" s="3474"/>
      <c r="L16" s="2632" t="s">
        <v>2380</v>
      </c>
      <c r="M16" s="2633"/>
      <c r="N16" s="2633"/>
      <c r="O16" s="2634"/>
      <c r="P16" s="2635">
        <v>365</v>
      </c>
      <c r="Q16" s="2609"/>
      <c r="R16" s="2656">
        <f>ROUND(M16*N16*O16*P16/10000,0)</f>
        <v>0</v>
      </c>
      <c r="S16" s="2590"/>
      <c r="T16" s="2590"/>
      <c r="U16" s="2590"/>
      <c r="V16" s="2598"/>
    </row>
    <row r="17" spans="1:22" s="2602" customFormat="1" ht="13.35" customHeight="1" thickBot="1">
      <c r="A17" s="2659">
        <v>4</v>
      </c>
      <c r="B17" s="3484" t="s">
        <v>2381</v>
      </c>
      <c r="C17" s="3485"/>
      <c r="D17" s="2660">
        <f>ROUND(D6*E17,0)</f>
        <v>0</v>
      </c>
      <c r="E17" s="2661"/>
      <c r="F17" s="2662" t="s">
        <v>2382</v>
      </c>
      <c r="G17" s="2622"/>
      <c r="H17" s="2597"/>
      <c r="I17" s="2598"/>
      <c r="J17" s="3472"/>
      <c r="K17" s="3474"/>
      <c r="L17" s="2632" t="s">
        <v>2383</v>
      </c>
      <c r="M17" s="2633"/>
      <c r="N17" s="2633"/>
      <c r="O17" s="2634"/>
      <c r="P17" s="2635">
        <v>365</v>
      </c>
      <c r="Q17" s="2609"/>
      <c r="R17" s="2656">
        <f>ROUND(M17*N17*O17*P17/10000,0)</f>
        <v>0</v>
      </c>
      <c r="S17" s="2590"/>
      <c r="T17" s="2590"/>
      <c r="U17" s="2590"/>
      <c r="V17" s="2598"/>
    </row>
    <row r="18" spans="1:22" s="2602" customFormat="1" ht="13.35" customHeight="1" thickBot="1">
      <c r="A18" s="2625" t="s">
        <v>2384</v>
      </c>
      <c r="B18" s="2626"/>
      <c r="C18" s="2626"/>
      <c r="D18" s="2663">
        <f>ROUND(D6*E18,0)</f>
        <v>0</v>
      </c>
      <c r="E18" s="2664"/>
      <c r="F18" s="2665" t="s">
        <v>2385</v>
      </c>
      <c r="G18" s="2622"/>
      <c r="H18" s="2597"/>
      <c r="I18" s="2598"/>
      <c r="J18" s="3472"/>
      <c r="K18" s="3474"/>
      <c r="L18" s="2632" t="s">
        <v>2386</v>
      </c>
      <c r="M18" s="2633"/>
      <c r="N18" s="2633"/>
      <c r="O18" s="2634"/>
      <c r="P18" s="2635">
        <v>365</v>
      </c>
      <c r="Q18" s="2609"/>
      <c r="R18" s="2656">
        <f>ROUND(M18*N18*O18*P18/10000,0)</f>
        <v>0</v>
      </c>
      <c r="S18" s="2590"/>
      <c r="T18" s="2590"/>
      <c r="U18" s="2590"/>
      <c r="V18" s="2598"/>
    </row>
    <row r="19" spans="1:22" s="2602" customFormat="1" ht="13.35" customHeight="1" thickBot="1">
      <c r="A19" s="2666" t="s">
        <v>2387</v>
      </c>
      <c r="B19" s="2620"/>
      <c r="C19" s="2620"/>
      <c r="D19" s="2620"/>
      <c r="E19" s="2620"/>
      <c r="F19" s="2621"/>
      <c r="G19" s="2641"/>
      <c r="H19" s="2597"/>
      <c r="I19" s="2598"/>
      <c r="J19" s="3472"/>
      <c r="K19" s="3475"/>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35" customHeight="1">
      <c r="A20" s="2625"/>
      <c r="B20" s="2626"/>
      <c r="C20" s="2626"/>
      <c r="D20" s="2626"/>
      <c r="E20" s="2626"/>
      <c r="F20" s="2669"/>
      <c r="G20" s="2641"/>
      <c r="H20" s="2597"/>
      <c r="I20" s="2598"/>
      <c r="J20" s="3472">
        <v>3</v>
      </c>
      <c r="K20" s="3473"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35" customHeight="1">
      <c r="A21" s="2625"/>
      <c r="B21" s="2626"/>
      <c r="C21" s="2671" t="s">
        <v>2396</v>
      </c>
      <c r="D21" s="2672" t="s">
        <v>2397</v>
      </c>
      <c r="E21" s="2673" t="s">
        <v>2398</v>
      </c>
      <c r="F21" s="2669"/>
      <c r="G21" s="2641"/>
      <c r="H21" s="2597"/>
      <c r="I21" s="2598"/>
      <c r="J21" s="3472"/>
      <c r="K21" s="3474"/>
      <c r="L21" s="2632" t="s">
        <v>2399</v>
      </c>
      <c r="M21" s="2633"/>
      <c r="N21" s="2633"/>
      <c r="O21" s="2634"/>
      <c r="P21" s="2635">
        <v>365</v>
      </c>
      <c r="Q21" s="2609"/>
      <c r="R21" s="2674">
        <f>ROUND(M21*N21*O21*P21/10000,0)</f>
        <v>0</v>
      </c>
      <c r="S21" s="2590"/>
      <c r="T21" s="2590"/>
      <c r="U21" s="2590"/>
      <c r="V21" s="2598"/>
    </row>
    <row r="22" spans="1:22" s="2602" customFormat="1" ht="13.35" customHeight="1">
      <c r="A22" s="2625"/>
      <c r="B22" s="2626"/>
      <c r="C22" s="2675" t="s">
        <v>2400</v>
      </c>
      <c r="D22" s="2676" t="s">
        <v>2401</v>
      </c>
      <c r="E22" s="2677" t="s">
        <v>2402</v>
      </c>
      <c r="F22" s="2669"/>
      <c r="G22" s="2590"/>
      <c r="H22" s="2597"/>
      <c r="I22" s="2598"/>
      <c r="J22" s="3472"/>
      <c r="K22" s="3474"/>
      <c r="L22" s="2632" t="s">
        <v>2403</v>
      </c>
      <c r="M22" s="2633"/>
      <c r="N22" s="2633"/>
      <c r="O22" s="2634"/>
      <c r="P22" s="2635">
        <v>365</v>
      </c>
      <c r="Q22" s="2609"/>
      <c r="R22" s="2674">
        <f>ROUND(M22*N22*O22*P22/10000,0)</f>
        <v>0</v>
      </c>
      <c r="S22" s="2590"/>
      <c r="T22" s="2590"/>
      <c r="U22" s="2590"/>
      <c r="V22" s="2598"/>
    </row>
    <row r="23" spans="1:22" s="2602" customFormat="1" ht="13.35" customHeight="1">
      <c r="A23" s="2678">
        <v>1</v>
      </c>
      <c r="B23" s="2679" t="s">
        <v>2404</v>
      </c>
      <c r="C23" s="2680">
        <f>D6</f>
        <v>0</v>
      </c>
      <c r="D23" s="2681">
        <f>C23*(1+D24)</f>
        <v>0</v>
      </c>
      <c r="E23" s="2682">
        <f>D23*(1+E24)</f>
        <v>0</v>
      </c>
      <c r="F23" s="2683"/>
      <c r="G23" s="2684"/>
      <c r="H23" s="2597"/>
      <c r="I23" s="2598"/>
      <c r="J23" s="3472"/>
      <c r="K23" s="3474"/>
      <c r="L23" s="2632" t="s">
        <v>2405</v>
      </c>
      <c r="M23" s="2633"/>
      <c r="N23" s="2633"/>
      <c r="O23" s="2634"/>
      <c r="P23" s="2635">
        <v>365</v>
      </c>
      <c r="Q23" s="2609"/>
      <c r="R23" s="2674">
        <f>ROUND(M23*N23*O23*P23/10000,0)</f>
        <v>0</v>
      </c>
      <c r="S23" s="2590"/>
      <c r="T23" s="2590"/>
      <c r="U23" s="2590"/>
      <c r="V23" s="2598"/>
    </row>
    <row r="24" spans="1:22" s="2602" customFormat="1" ht="13.35" customHeight="1">
      <c r="A24" s="2685"/>
      <c r="B24" s="2686" t="s">
        <v>2406</v>
      </c>
      <c r="C24" s="2687"/>
      <c r="D24" s="2688"/>
      <c r="E24" s="2689"/>
      <c r="F24" s="2690"/>
      <c r="G24" s="2684"/>
      <c r="H24" s="2597"/>
      <c r="I24" s="2598"/>
      <c r="J24" s="3472"/>
      <c r="K24" s="3475"/>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3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35" customHeight="1">
      <c r="A26" s="2678">
        <v>2</v>
      </c>
      <c r="B26" s="2679" t="s">
        <v>2408</v>
      </c>
      <c r="C26" s="2680">
        <f>D7</f>
        <v>0</v>
      </c>
      <c r="D26" s="2681">
        <f>D23*D27</f>
        <v>0</v>
      </c>
      <c r="E26" s="2682">
        <f>E23*E27</f>
        <v>0</v>
      </c>
      <c r="F26" s="2683"/>
      <c r="G26" s="2684"/>
      <c r="H26" s="2597"/>
      <c r="I26" s="2598"/>
      <c r="J26" s="3476">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35" customHeight="1">
      <c r="A27" s="2685"/>
      <c r="B27" s="2686" t="s">
        <v>2414</v>
      </c>
      <c r="C27" s="2703" t="e">
        <f>E7</f>
        <v>#DIV/0!</v>
      </c>
      <c r="D27" s="2688"/>
      <c r="E27" s="2689"/>
      <c r="F27" s="2690"/>
      <c r="G27" s="2684"/>
      <c r="H27" s="2704"/>
      <c r="I27" s="2696"/>
      <c r="J27" s="3477"/>
      <c r="K27" s="2705"/>
      <c r="L27" s="2706"/>
      <c r="M27" s="2707"/>
      <c r="N27" s="2708"/>
      <c r="O27" s="2708"/>
      <c r="P27" s="2708"/>
      <c r="Q27" s="2709"/>
      <c r="R27" s="2668">
        <f>ROUND(O27*N27*P27*(1-Q27)/10000,0)</f>
        <v>0</v>
      </c>
      <c r="S27" s="2590"/>
      <c r="T27" s="2590"/>
      <c r="U27" s="2590"/>
      <c r="V27" s="2598"/>
    </row>
    <row r="28" spans="1:22" s="2697" customFormat="1" ht="13.3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3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3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3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35" customHeight="1">
      <c r="A32" s="2678">
        <v>4</v>
      </c>
      <c r="B32" s="2679" t="s">
        <v>2422</v>
      </c>
      <c r="C32" s="2680">
        <f>C23-C26-C29</f>
        <v>0</v>
      </c>
      <c r="D32" s="2681">
        <f>D23-D26-D29</f>
        <v>0</v>
      </c>
      <c r="E32" s="2682">
        <f>E23-E26-E29</f>
        <v>0</v>
      </c>
      <c r="F32" s="2683"/>
      <c r="G32" s="2590"/>
      <c r="H32" s="2597"/>
      <c r="I32" s="2598"/>
      <c r="J32" s="3478" t="s">
        <v>2314</v>
      </c>
      <c r="K32" s="3479"/>
      <c r="L32" s="2599" t="s">
        <v>2315</v>
      </c>
      <c r="M32" s="2599" t="s">
        <v>2316</v>
      </c>
      <c r="N32" s="2599" t="s">
        <v>2317</v>
      </c>
      <c r="O32" s="2599" t="s">
        <v>2318</v>
      </c>
      <c r="P32" s="2599" t="s">
        <v>2319</v>
      </c>
      <c r="Q32" s="2600" t="s">
        <v>2320</v>
      </c>
      <c r="R32" s="2719" t="s">
        <v>2321</v>
      </c>
      <c r="S32" s="2590"/>
      <c r="T32" s="2590"/>
      <c r="U32" s="2590"/>
      <c r="V32" s="2696"/>
    </row>
    <row r="33" spans="1:23" s="2602" customFormat="1" ht="13.35" customHeight="1">
      <c r="A33" s="2678"/>
      <c r="B33" s="2679"/>
      <c r="C33" s="2680"/>
      <c r="D33" s="2720"/>
      <c r="E33" s="2721"/>
      <c r="F33" s="2683"/>
      <c r="G33" s="2590"/>
      <c r="H33" s="2704"/>
      <c r="I33" s="2696"/>
      <c r="J33" s="3480" t="s">
        <v>2324</v>
      </c>
      <c r="K33" s="3481"/>
      <c r="L33" s="2605"/>
      <c r="M33" s="2605"/>
      <c r="N33" s="2605"/>
      <c r="O33" s="2605"/>
      <c r="P33" s="2605"/>
      <c r="Q33" s="2606"/>
      <c r="R33" s="2722">
        <f>SUM(L33:Q33)</f>
        <v>0</v>
      </c>
      <c r="S33" s="2590"/>
      <c r="T33" s="2590"/>
      <c r="U33" s="2590"/>
      <c r="V33" s="2598"/>
    </row>
    <row r="34" spans="1:23" s="2602" customFormat="1" ht="13.35" customHeight="1">
      <c r="A34" s="2678">
        <v>5</v>
      </c>
      <c r="B34" s="2679" t="s">
        <v>2423</v>
      </c>
      <c r="C34" s="2723"/>
      <c r="D34" s="2724"/>
      <c r="E34" s="2725"/>
      <c r="F34" s="2683"/>
      <c r="G34" s="2590"/>
      <c r="H34" s="2704"/>
      <c r="I34" s="2696"/>
      <c r="J34" s="3480" t="s">
        <v>2326</v>
      </c>
      <c r="K34" s="3481"/>
      <c r="L34" s="2610"/>
      <c r="M34" s="2610"/>
      <c r="N34" s="2610"/>
      <c r="O34" s="2610"/>
      <c r="P34" s="2610"/>
      <c r="Q34" s="2611"/>
      <c r="R34" s="2726">
        <f>SUM(L34:Q34)</f>
        <v>0</v>
      </c>
      <c r="S34" s="2590"/>
      <c r="T34" s="2590"/>
      <c r="U34" s="2590" t="e">
        <f>ROUND(R35*10000/365/R33,1)</f>
        <v>#DIV/0!</v>
      </c>
      <c r="V34" s="2598"/>
    </row>
    <row r="35" spans="1:23" s="2602" customFormat="1" ht="13.3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35" customHeight="1" thickBot="1">
      <c r="A36" s="2678">
        <v>7</v>
      </c>
      <c r="B36" s="2732" t="s">
        <v>2425</v>
      </c>
      <c r="C36" s="2733"/>
      <c r="D36" s="2734"/>
      <c r="E36" s="2735"/>
      <c r="F36" s="2736">
        <f>C36+D36+E36</f>
        <v>0</v>
      </c>
      <c r="G36" s="2590"/>
      <c r="H36" s="2597"/>
      <c r="I36" s="2598"/>
      <c r="J36" s="3472">
        <v>1</v>
      </c>
      <c r="K36" s="3473" t="s">
        <v>2426</v>
      </c>
      <c r="L36" s="2623"/>
      <c r="M36" s="2624"/>
      <c r="N36" s="2624"/>
      <c r="O36" s="2624"/>
      <c r="P36" s="2624"/>
      <c r="Q36" s="2624"/>
      <c r="R36" s="2607" t="s">
        <v>2338</v>
      </c>
      <c r="S36" s="2590"/>
      <c r="T36" s="2590" t="s">
        <v>2339</v>
      </c>
      <c r="U36" s="2590"/>
      <c r="V36" s="2598"/>
    </row>
    <row r="37" spans="1:23" s="2602" customFormat="1" ht="13.35" customHeight="1">
      <c r="A37" s="2678"/>
      <c r="B37" s="2679"/>
      <c r="C37" s="2679"/>
      <c r="D37" s="2679"/>
      <c r="E37" s="2679"/>
      <c r="F37" s="2683"/>
      <c r="G37" s="2590"/>
      <c r="H37" s="2597"/>
      <c r="I37" s="2598"/>
      <c r="J37" s="3472"/>
      <c r="K37" s="3474"/>
      <c r="L37" s="2632"/>
      <c r="M37" s="2633"/>
      <c r="N37" s="2609"/>
      <c r="O37" s="2634"/>
      <c r="P37" s="2634"/>
      <c r="Q37" s="2635"/>
      <c r="R37" s="2636"/>
      <c r="S37" s="2590"/>
      <c r="T37" s="2590" t="s">
        <v>2342</v>
      </c>
      <c r="U37" s="2590"/>
      <c r="V37" s="2598"/>
    </row>
    <row r="38" spans="1:23" s="2602" customFormat="1" ht="13.35" customHeight="1">
      <c r="A38" s="2678">
        <v>8</v>
      </c>
      <c r="B38" s="2679"/>
      <c r="C38" s="2638" t="e">
        <f>ROUND(C32*(1-((1+C35)/(1+C34))^C36)/(C34-C35),0)</f>
        <v>#DIV/0!</v>
      </c>
      <c r="D38" s="2638">
        <f>IF(D23=0,0,ROUND(D32*(1-((1+D35)/(1+D34))^D36)/(D34-D35),0))</f>
        <v>0</v>
      </c>
      <c r="E38" s="2638">
        <f>IF(E23=0,0,ROUND(E32*(1-((1+E35)/(1+E34))^E36)/(E34-E35),0))</f>
        <v>0</v>
      </c>
      <c r="F38" s="2683"/>
      <c r="G38" s="2590"/>
      <c r="H38" s="2597"/>
      <c r="I38" s="2598"/>
      <c r="J38" s="3472"/>
      <c r="K38" s="3474"/>
      <c r="L38" s="2632"/>
      <c r="M38" s="2633"/>
      <c r="N38" s="2609"/>
      <c r="O38" s="2634"/>
      <c r="P38" s="2634"/>
      <c r="Q38" s="2635"/>
      <c r="R38" s="2636"/>
      <c r="S38" s="2590"/>
      <c r="T38" s="2590" t="s">
        <v>2349</v>
      </c>
      <c r="U38" s="2590"/>
      <c r="V38" s="2598"/>
    </row>
    <row r="39" spans="1:23" s="2602" customFormat="1" ht="13.35" customHeight="1">
      <c r="A39" s="2678">
        <v>9</v>
      </c>
      <c r="B39" s="2679" t="s">
        <v>2427</v>
      </c>
      <c r="C39" s="2646" t="e">
        <f>C38</f>
        <v>#DIV/0!</v>
      </c>
      <c r="D39" s="2679">
        <f>D38/(1+D34)^C36</f>
        <v>0</v>
      </c>
      <c r="E39" s="2679">
        <f>E38/(1+E34)^(C36+D36)</f>
        <v>0</v>
      </c>
      <c r="F39" s="2683"/>
      <c r="G39" s="2598"/>
      <c r="H39" s="2597"/>
      <c r="I39" s="2598"/>
      <c r="J39" s="3472"/>
      <c r="K39" s="3474"/>
      <c r="L39" s="2632"/>
      <c r="M39" s="2633"/>
      <c r="N39" s="2609"/>
      <c r="O39" s="2634"/>
      <c r="P39" s="2634"/>
      <c r="Q39" s="2635"/>
      <c r="R39" s="2636"/>
      <c r="S39" s="2590"/>
      <c r="T39" s="2590"/>
      <c r="U39" s="2590"/>
      <c r="V39" s="2598"/>
    </row>
    <row r="40" spans="1:23" s="2602" customFormat="1" ht="13.35" customHeight="1">
      <c r="A40" s="2737">
        <v>10</v>
      </c>
      <c r="B40" s="2679" t="s">
        <v>2428</v>
      </c>
      <c r="C40" s="2738" t="e">
        <f>C39+D39+E39</f>
        <v>#DIV/0!</v>
      </c>
      <c r="D40" s="2739"/>
      <c r="E40" s="2739"/>
      <c r="F40" s="2740"/>
      <c r="G40" s="2590"/>
      <c r="H40" s="2597"/>
      <c r="I40" s="2598"/>
      <c r="J40" s="3472"/>
      <c r="K40" s="3475"/>
      <c r="L40" s="2652" t="s">
        <v>2367</v>
      </c>
      <c r="M40" s="2653"/>
      <c r="N40" s="2653"/>
      <c r="O40" s="2654"/>
      <c r="P40" s="2654"/>
      <c r="Q40" s="2655"/>
      <c r="R40" s="2601">
        <f>SUM(R37:R39)</f>
        <v>0</v>
      </c>
      <c r="S40" s="2590"/>
      <c r="T40" s="2590"/>
      <c r="U40" s="2590"/>
      <c r="V40" s="2598"/>
    </row>
    <row r="41" spans="1:23" s="2602" customFormat="1" ht="13.3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35" customHeight="1">
      <c r="G42" s="2597"/>
      <c r="H42" s="2597"/>
      <c r="I42" s="2598"/>
      <c r="J42" s="3476">
        <v>3</v>
      </c>
      <c r="K42" s="2698" t="s">
        <v>2409</v>
      </c>
      <c r="L42" s="2699"/>
      <c r="M42" s="2700"/>
      <c r="N42" s="2701" t="s">
        <v>2410</v>
      </c>
      <c r="O42" s="2701" t="s">
        <v>2411</v>
      </c>
      <c r="P42" s="2702" t="s">
        <v>2412</v>
      </c>
      <c r="Q42" s="2702" t="s">
        <v>2413</v>
      </c>
      <c r="R42" s="2607" t="s">
        <v>2338</v>
      </c>
      <c r="S42" s="2641"/>
      <c r="T42" s="2641"/>
      <c r="U42" s="2590"/>
      <c r="V42" s="2598"/>
    </row>
    <row r="43" spans="1:23" ht="13.35" customHeight="1">
      <c r="A43" s="2602"/>
      <c r="B43" s="2602"/>
      <c r="C43" s="2602"/>
      <c r="D43" s="2602"/>
      <c r="E43" s="2602"/>
      <c r="F43" s="2602"/>
      <c r="I43" s="2585"/>
      <c r="J43" s="3477"/>
      <c r="K43" s="2705"/>
      <c r="L43" s="2706"/>
      <c r="M43" s="2707"/>
      <c r="N43" s="2633"/>
      <c r="O43" s="2633"/>
      <c r="P43" s="2633"/>
      <c r="Q43" s="2695"/>
      <c r="R43" s="2668">
        <f>ROUND(O43*N43*P43*(1-Q43)/10000,0)</f>
        <v>0</v>
      </c>
      <c r="S43" s="2590"/>
      <c r="T43" s="2590"/>
      <c r="V43" s="2745"/>
      <c r="W43" s="2746"/>
    </row>
    <row r="44" spans="1:23" ht="13.3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77"/>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0">
        <f>SUM(E6:E13)</f>
        <v>0</v>
      </c>
      <c r="F2" s="2477"/>
      <c r="G2" s="459"/>
      <c r="H2" s="459"/>
      <c r="I2" s="459"/>
      <c r="J2" s="459"/>
      <c r="K2" s="459"/>
      <c r="L2" s="459"/>
      <c r="M2" s="459"/>
      <c r="N2" s="459"/>
      <c r="O2" s="459"/>
      <c r="P2" s="459"/>
      <c r="Q2" s="459"/>
      <c r="R2" s="459"/>
      <c r="S2" s="459"/>
    </row>
    <row r="3" spans="1:22" ht="15.75">
      <c r="A3" s="1728" t="s">
        <v>686</v>
      </c>
      <c r="B3" s="2384" t="e">
        <f ca="1">ROUND(B2*10000/E2,0)</f>
        <v>#DIV/0!</v>
      </c>
      <c r="C3" s="1729" t="s">
        <v>1657</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1651</v>
      </c>
      <c r="B5" s="3491" t="s">
        <v>1652</v>
      </c>
      <c r="C5" s="3492"/>
      <c r="D5" s="2478"/>
      <c r="E5" s="1731" t="s">
        <v>1653</v>
      </c>
      <c r="F5" s="129" t="s">
        <v>1654</v>
      </c>
      <c r="G5" s="459"/>
      <c r="H5" s="459"/>
      <c r="I5" s="459"/>
      <c r="J5" s="459"/>
      <c r="K5" s="459"/>
      <c r="L5" s="459"/>
      <c r="M5" s="459"/>
      <c r="N5" s="459"/>
      <c r="O5" s="459"/>
      <c r="P5" s="459"/>
      <c r="Q5" s="459"/>
      <c r="R5" s="459"/>
      <c r="S5" s="459"/>
    </row>
    <row r="6" spans="1:22">
      <c r="A6" s="2387">
        <f>'数据-取费表'!AN6</f>
        <v>0</v>
      </c>
      <c r="B6" s="2385" t="e">
        <f ca="1">IF(F6="是",'数据-取费表'!AO6,0)</f>
        <v>#REF!</v>
      </c>
      <c r="C6" s="1729" t="s">
        <v>1649</v>
      </c>
      <c r="D6" s="2477"/>
      <c r="E6" s="2389">
        <f>IF(OR(A6=0,F6="否"),0,'数据-取费表'!K6+'数据-取费表'!S6)</f>
        <v>0</v>
      </c>
      <c r="F6" s="1732" t="s">
        <v>1655</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1649</v>
      </c>
      <c r="D7" s="2477"/>
      <c r="E7" s="2389">
        <f>IF(OR(A7=0,F7="否"),0,'数据-取费表'!K7+'数据-取费表'!S7)</f>
        <v>0</v>
      </c>
      <c r="F7" s="1732" t="s">
        <v>1655</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1649</v>
      </c>
      <c r="D8" s="2477"/>
      <c r="E8" s="2389">
        <f>IF(OR(A8=0,F8="否"),0,'数据-取费表'!K8+'数据-取费表'!S8)</f>
        <v>0</v>
      </c>
      <c r="F8" s="1732" t="s">
        <v>1655</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1649</v>
      </c>
      <c r="D9" s="2477"/>
      <c r="E9" s="2389">
        <f>IF(OR(A9=0,F9="否"),0,'数据-取费表'!K9+'数据-取费表'!S9)</f>
        <v>0</v>
      </c>
      <c r="F9" s="1732" t="s">
        <v>1655</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1649</v>
      </c>
      <c r="D10" s="2477"/>
      <c r="E10" s="2389">
        <f>IF(OR(A10=0,F10="否"),0,'数据-取费表'!K10+'数据-取费表'!S10)</f>
        <v>0</v>
      </c>
      <c r="F10" s="1732" t="s">
        <v>1655</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1649</v>
      </c>
      <c r="D11" s="2477"/>
      <c r="E11" s="2389">
        <f>IF(OR(A11=0,F11="否"),0,'数据-取费表'!K11+'数据-取费表'!S11)</f>
        <v>0</v>
      </c>
      <c r="F11" s="1732" t="s">
        <v>1655</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1649</v>
      </c>
      <c r="D12" s="2477"/>
      <c r="E12" s="2389">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1649</v>
      </c>
      <c r="D13" s="2479"/>
      <c r="E13" s="2389">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26" zoomScale="80" zoomScaleNormal="60" zoomScaleSheetLayoutView="80" workbookViewId="0">
      <selection activeCell="E52" sqref="E52"/>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1461</v>
      </c>
      <c r="F2" s="1739"/>
      <c r="G2" s="3177" t="s">
        <v>3467</v>
      </c>
      <c r="H2" s="854">
        <v>2023</v>
      </c>
      <c r="I2" s="3177" t="s">
        <v>3448</v>
      </c>
      <c r="J2" s="854" t="s">
        <v>3449</v>
      </c>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53097</v>
      </c>
      <c r="C3" s="344" t="s">
        <v>1663</v>
      </c>
      <c r="D3" s="343">
        <f>IF(D1="",'数据-汇总表'!E3,SUMIF('数据-汇总表'!$C19:$C33,D1,'数据-汇总表'!$E19:$E33))</f>
        <v>0</v>
      </c>
      <c r="E3" s="854"/>
      <c r="F3" s="1743"/>
      <c r="G3" s="3177" t="s">
        <v>3446</v>
      </c>
      <c r="H3" s="3178">
        <f>ROUND(1-(1-收益法!M65)*(2023-H2)/收益法!L65,2)</f>
        <v>1</v>
      </c>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1664</v>
      </c>
      <c r="B4" s="346"/>
      <c r="C4" s="3520" t="s">
        <v>1665</v>
      </c>
      <c r="D4" s="3521"/>
      <c r="E4" s="3522" t="s">
        <v>1666</v>
      </c>
      <c r="F4" s="3523"/>
      <c r="G4" s="3520" t="s">
        <v>1667</v>
      </c>
      <c r="H4" s="3521"/>
      <c r="I4" s="3520" t="s">
        <v>1668</v>
      </c>
      <c r="J4" s="3521"/>
      <c r="K4" s="1744" t="s">
        <v>1669</v>
      </c>
      <c r="L4" s="2484"/>
      <c r="M4" s="2485"/>
      <c r="N4" s="2485"/>
      <c r="O4" s="2485"/>
      <c r="P4" s="3524" t="s">
        <v>1670</v>
      </c>
      <c r="Q4" s="3525"/>
      <c r="R4" s="3510" t="s">
        <v>1666</v>
      </c>
      <c r="S4" s="3511"/>
      <c r="T4" s="3510" t="s">
        <v>1667</v>
      </c>
      <c r="U4" s="3511"/>
      <c r="V4" s="3494" t="s">
        <v>1668</v>
      </c>
      <c r="W4" s="3494"/>
      <c r="X4" s="1265"/>
      <c r="Y4" s="3510" t="s">
        <v>1670</v>
      </c>
      <c r="Z4" s="3511"/>
      <c r="AA4" s="3516" t="s">
        <v>1666</v>
      </c>
      <c r="AB4" s="3516" t="s">
        <v>1667</v>
      </c>
      <c r="AC4" s="3516" t="s">
        <v>1668</v>
      </c>
    </row>
    <row r="5" spans="1:29" ht="15">
      <c r="A5" s="348"/>
      <c r="B5" s="349"/>
      <c r="C5" s="3530" t="s">
        <v>1671</v>
      </c>
      <c r="D5" s="3531"/>
      <c r="E5" s="3532" t="str">
        <f>'比较法-住宅（建欣苑一里）'!E5</f>
        <v>建欣苑一里</v>
      </c>
      <c r="F5" s="3533"/>
      <c r="G5" s="3530" t="str">
        <f>'比较法-住宅（建欣苑三里）'!G5</f>
        <v>建欣苑三里</v>
      </c>
      <c r="H5" s="3531"/>
      <c r="I5" s="3530" t="str">
        <f>'比较法-住宅（建欣苑四里）'!I5</f>
        <v>建欣苑四里</v>
      </c>
      <c r="J5" s="3531"/>
      <c r="K5" s="1745"/>
      <c r="L5" s="2484"/>
      <c r="M5" s="2485"/>
      <c r="N5" s="2485"/>
      <c r="O5" s="2485"/>
      <c r="P5" s="3526"/>
      <c r="Q5" s="3527"/>
      <c r="R5" s="3512"/>
      <c r="S5" s="3513"/>
      <c r="T5" s="3512"/>
      <c r="U5" s="3513"/>
      <c r="V5" s="3494"/>
      <c r="W5" s="3494"/>
      <c r="X5" s="1265"/>
      <c r="Y5" s="3512"/>
      <c r="Z5" s="3513"/>
      <c r="AA5" s="3517"/>
      <c r="AB5" s="3517"/>
      <c r="AC5" s="3517"/>
    </row>
    <row r="6" spans="1:29" ht="15.75" thickBot="1">
      <c r="A6" s="350"/>
      <c r="B6" s="351"/>
      <c r="C6" s="3534" t="s">
        <v>1675</v>
      </c>
      <c r="D6" s="3535"/>
      <c r="E6" s="3536" t="str">
        <f>'比较法-住宅（建欣苑一里）'!E6</f>
        <v>丰台区大红门春泽路</v>
      </c>
      <c r="F6" s="3537"/>
      <c r="G6" s="3534" t="str">
        <f>'比较法-住宅（建欣苑三里）'!G6</f>
        <v>丰台区大红门春泽路</v>
      </c>
      <c r="H6" s="3535"/>
      <c r="I6" s="3534" t="str">
        <f>'比较法-住宅（建欣苑四里）'!I6</f>
        <v>丰台区大红门春泽路</v>
      </c>
      <c r="J6" s="3535"/>
      <c r="K6" s="1745"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f>'比较法-住宅（建欣苑一里）'!C7</f>
        <v>45221</v>
      </c>
      <c r="F7" s="357">
        <f>SUMIF(58:58,YEAR(E7)&amp;"-"&amp;MONTH(E7),59:59)</f>
        <v>100</v>
      </c>
      <c r="G7" s="356">
        <f>'比较法-住宅（建欣苑三里）'!C7</f>
        <v>45221</v>
      </c>
      <c r="H7" s="355">
        <f>SUMIF(58:58,YEAR(G7)&amp;"-"&amp;MONTH(G7),59:59)</f>
        <v>100</v>
      </c>
      <c r="I7" s="356">
        <f>'比较法-住宅（建欣苑四里）'!C7</f>
        <v>45221</v>
      </c>
      <c r="J7" s="355">
        <f>SUMIF(58:58,YEAR(I7)&amp;"-"&amp;MONTH(I7),59:59)</f>
        <v>100</v>
      </c>
      <c r="K7" s="1746"/>
      <c r="L7" s="2486"/>
      <c r="M7" s="2437"/>
      <c r="N7" s="2437"/>
      <c r="O7" s="2437"/>
      <c r="P7" s="3507" t="s">
        <v>1678</v>
      </c>
      <c r="Q7" s="3519"/>
      <c r="R7" s="664" t="s">
        <v>20</v>
      </c>
      <c r="S7" s="665">
        <f t="shared" ref="S7:S15" si="0">F7</f>
        <v>100</v>
      </c>
      <c r="T7" s="664" t="s">
        <v>20</v>
      </c>
      <c r="U7" s="665">
        <f t="shared" ref="U7:U15" si="1">H7</f>
        <v>100</v>
      </c>
      <c r="V7" s="664" t="s">
        <v>20</v>
      </c>
      <c r="W7" s="665">
        <f t="shared" ref="W7:W15" si="2">J7</f>
        <v>100</v>
      </c>
      <c r="X7" s="666"/>
      <c r="Y7" s="3507" t="s">
        <v>1678</v>
      </c>
      <c r="Z7" s="3508"/>
      <c r="AA7" s="50">
        <f>D7/F7</f>
        <v>1</v>
      </c>
      <c r="AB7" s="50">
        <f>D7/H7</f>
        <v>1</v>
      </c>
      <c r="AC7" s="50">
        <f>D7/J7</f>
        <v>1</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07" t="s">
        <v>1681</v>
      </c>
      <c r="Q8" s="3508"/>
      <c r="R8" s="664" t="s">
        <v>20</v>
      </c>
      <c r="S8" s="665">
        <f t="shared" si="0"/>
        <v>100</v>
      </c>
      <c r="T8" s="664" t="s">
        <v>20</v>
      </c>
      <c r="U8" s="665">
        <f t="shared" si="1"/>
        <v>100</v>
      </c>
      <c r="V8" s="664" t="s">
        <v>20</v>
      </c>
      <c r="W8" s="665">
        <f t="shared" si="2"/>
        <v>100</v>
      </c>
      <c r="X8" s="666"/>
      <c r="Y8" s="3507" t="s">
        <v>1681</v>
      </c>
      <c r="Z8" s="3508"/>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09"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0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09"/>
      <c r="Q11" s="530" t="str">
        <f t="shared" si="6"/>
        <v>容积率</v>
      </c>
      <c r="R11" s="664" t="s">
        <v>18</v>
      </c>
      <c r="S11" s="665">
        <f t="shared" si="0"/>
        <v>100</v>
      </c>
      <c r="T11" s="664" t="s">
        <v>18</v>
      </c>
      <c r="U11" s="665">
        <f t="shared" si="1"/>
        <v>100</v>
      </c>
      <c r="V11" s="664" t="s">
        <v>18</v>
      </c>
      <c r="W11" s="665">
        <f t="shared" si="2"/>
        <v>100</v>
      </c>
      <c r="X11" s="666"/>
      <c r="Y11" s="3371"/>
      <c r="Z11" s="50" t="str">
        <f t="shared" si="7"/>
        <v>容积率</v>
      </c>
      <c r="AA11" s="50">
        <f t="shared" si="3"/>
        <v>1</v>
      </c>
      <c r="AB11" s="50">
        <f t="shared" si="4"/>
        <v>1</v>
      </c>
      <c r="AC11" s="50">
        <f t="shared" si="5"/>
        <v>1</v>
      </c>
    </row>
    <row r="12" spans="1:29" s="102" customFormat="1" ht="15">
      <c r="A12" s="370"/>
      <c r="B12" s="3148" t="s">
        <v>3464</v>
      </c>
      <c r="C12" s="3168" t="s">
        <v>3447</v>
      </c>
      <c r="D12" s="372">
        <v>100</v>
      </c>
      <c r="E12" s="3168" t="s">
        <v>3447</v>
      </c>
      <c r="F12" s="364">
        <f>SUMIF(70:70,E12,71:71)-SUMIF(70:70,C12,71:71)+100</f>
        <v>100</v>
      </c>
      <c r="G12" s="3168" t="s">
        <v>3447</v>
      </c>
      <c r="H12" s="119">
        <f>SUMIF(70:70,G12,71:71)-SUMIF(70:70,C12,71:71)+100</f>
        <v>100</v>
      </c>
      <c r="I12" s="3168" t="s">
        <v>3447</v>
      </c>
      <c r="J12" s="119">
        <f>SUMIF(70:70,I12,71:71)-SUMIF(70:70,C12,71:71)+100</f>
        <v>100</v>
      </c>
      <c r="K12" s="1748"/>
      <c r="L12" s="2486"/>
      <c r="M12" s="2437"/>
      <c r="N12" s="2437"/>
      <c r="O12" s="2437"/>
      <c r="P12" s="3509"/>
      <c r="Q12" s="530" t="str">
        <f t="shared" si="6"/>
        <v>产权性质</v>
      </c>
      <c r="R12" s="664" t="s">
        <v>18</v>
      </c>
      <c r="S12" s="665">
        <f t="shared" si="0"/>
        <v>100</v>
      </c>
      <c r="T12" s="664" t="s">
        <v>18</v>
      </c>
      <c r="U12" s="665">
        <f t="shared" si="1"/>
        <v>100</v>
      </c>
      <c r="V12" s="664" t="s">
        <v>18</v>
      </c>
      <c r="W12" s="665">
        <f t="shared" si="2"/>
        <v>100</v>
      </c>
      <c r="X12" s="666"/>
      <c r="Y12" s="3371"/>
      <c r="Z12" s="50" t="str">
        <f t="shared" si="7"/>
        <v>产权性质</v>
      </c>
      <c r="AA12" s="50">
        <f>D12/F12</f>
        <v>1</v>
      </c>
      <c r="AB12" s="50">
        <f>D12/H12</f>
        <v>1</v>
      </c>
      <c r="AC12" s="50">
        <f>D12/J12</f>
        <v>1</v>
      </c>
    </row>
    <row r="13" spans="1:29" ht="15">
      <c r="A13" s="367"/>
      <c r="B13" s="3148" t="s">
        <v>3462</v>
      </c>
      <c r="C13" s="3174" t="s">
        <v>3463</v>
      </c>
      <c r="D13" s="374">
        <v>100</v>
      </c>
      <c r="E13" s="3174" t="s">
        <v>3463</v>
      </c>
      <c r="F13" s="364">
        <f>SUMIF(72:72,E13,73:73)-SUMIF(72:72,C13,73:73)+100</f>
        <v>100</v>
      </c>
      <c r="G13" s="3174" t="s">
        <v>3463</v>
      </c>
      <c r="H13" s="374">
        <f>SUMIF(72:72,G13,73:73)-SUMIF(72:72,C13,73:73)+100</f>
        <v>100</v>
      </c>
      <c r="I13" s="3174" t="s">
        <v>3463</v>
      </c>
      <c r="J13" s="374">
        <f>SUMIF(72:72,I13,73:73)-SUMIF(72:72,C13,73:73)+100</f>
        <v>100</v>
      </c>
      <c r="K13" s="1748"/>
      <c r="L13" s="2490"/>
      <c r="M13" s="2485"/>
      <c r="N13" s="2485"/>
      <c r="O13" s="2485"/>
      <c r="P13" s="3509"/>
      <c r="Q13" s="530" t="str">
        <f t="shared" si="6"/>
        <v>其他权利情况</v>
      </c>
      <c r="R13" s="664" t="s">
        <v>18</v>
      </c>
      <c r="S13" s="665">
        <f t="shared" si="0"/>
        <v>100</v>
      </c>
      <c r="T13" s="664" t="s">
        <v>18</v>
      </c>
      <c r="U13" s="665">
        <f t="shared" si="1"/>
        <v>100</v>
      </c>
      <c r="V13" s="664" t="s">
        <v>18</v>
      </c>
      <c r="W13" s="665">
        <f t="shared" si="2"/>
        <v>100</v>
      </c>
      <c r="X13" s="666"/>
      <c r="Y13" s="3371"/>
      <c r="Z13" s="50" t="str">
        <f t="shared" si="7"/>
        <v>其他权利情况</v>
      </c>
      <c r="AA13" s="50">
        <f t="shared" si="3"/>
        <v>1</v>
      </c>
      <c r="AB13" s="50">
        <f t="shared" si="4"/>
        <v>1</v>
      </c>
      <c r="AC13" s="50">
        <f t="shared" si="5"/>
        <v>1</v>
      </c>
    </row>
    <row r="14" spans="1:29" ht="15.75" thickBot="1">
      <c r="A14" s="375"/>
      <c r="B14" s="1749"/>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509"/>
      <c r="Q14" s="530">
        <f t="shared" si="6"/>
        <v>0</v>
      </c>
      <c r="R14" s="664" t="s">
        <v>18</v>
      </c>
      <c r="S14" s="665">
        <f t="shared" si="0"/>
        <v>100</v>
      </c>
      <c r="T14" s="664" t="s">
        <v>18</v>
      </c>
      <c r="U14" s="665">
        <f t="shared" si="1"/>
        <v>100</v>
      </c>
      <c r="V14" s="664" t="s">
        <v>18</v>
      </c>
      <c r="W14" s="665">
        <f t="shared" si="2"/>
        <v>100</v>
      </c>
      <c r="X14" s="666"/>
      <c r="Y14" s="3371"/>
      <c r="Z14" s="50">
        <f t="shared" si="7"/>
        <v>0</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98" t="s">
        <v>1689</v>
      </c>
      <c r="Q15" s="1263" t="str">
        <f t="shared" si="6"/>
        <v>居住社区成熟度</v>
      </c>
      <c r="R15" s="667" t="s">
        <v>18</v>
      </c>
      <c r="S15" s="668">
        <f t="shared" si="0"/>
        <v>100</v>
      </c>
      <c r="T15" s="667" t="s">
        <v>18</v>
      </c>
      <c r="U15" s="668">
        <f t="shared" si="1"/>
        <v>100</v>
      </c>
      <c r="V15" s="667" t="s">
        <v>18</v>
      </c>
      <c r="W15" s="668">
        <f t="shared" si="2"/>
        <v>100</v>
      </c>
      <c r="X15" s="1265"/>
      <c r="Y15" s="3500" t="s">
        <v>1689</v>
      </c>
      <c r="Z15" s="1264" t="str">
        <f t="shared" si="7"/>
        <v>居住社区成熟度</v>
      </c>
      <c r="AA15" s="1264">
        <f t="shared" si="3"/>
        <v>1</v>
      </c>
      <c r="AB15" s="1264">
        <f t="shared" si="4"/>
        <v>1</v>
      </c>
      <c r="AC15" s="1264">
        <f t="shared" si="5"/>
        <v>1</v>
      </c>
    </row>
    <row r="16" spans="1:29" ht="15">
      <c r="A16" s="367"/>
      <c r="B16" s="385"/>
      <c r="C16" s="1751" t="s">
        <v>3418</v>
      </c>
      <c r="D16" s="387"/>
      <c r="E16" s="1751" t="s">
        <v>3418</v>
      </c>
      <c r="F16" s="387"/>
      <c r="G16" s="1752" t="s">
        <v>3418</v>
      </c>
      <c r="H16" s="389"/>
      <c r="I16" s="3202" t="s">
        <v>3418</v>
      </c>
      <c r="J16" s="387"/>
      <c r="K16" s="1753"/>
      <c r="L16" s="2490"/>
      <c r="M16" s="2485"/>
      <c r="N16" s="2485"/>
      <c r="O16" s="2485"/>
      <c r="P16" s="3499"/>
      <c r="Q16" s="1263"/>
      <c r="R16" s="667"/>
      <c r="S16" s="668"/>
      <c r="T16" s="667"/>
      <c r="U16" s="668"/>
      <c r="V16" s="667"/>
      <c r="W16" s="668"/>
      <c r="X16" s="1265"/>
      <c r="Y16" s="3501"/>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102</v>
      </c>
      <c r="G17" s="391"/>
      <c r="H17" s="394">
        <f>SUMIF(78:78,G18,79:79)-SUMIF(78:78,C18,79:79)+100</f>
        <v>102</v>
      </c>
      <c r="I17" s="391"/>
      <c r="J17" s="394">
        <f>SUMIF(78:78,I18,79:79)-SUMIF(78:78,C18,79:79)+100</f>
        <v>101</v>
      </c>
      <c r="K17" s="384">
        <v>1</v>
      </c>
      <c r="L17" s="2490"/>
      <c r="M17" s="2485"/>
      <c r="N17" s="2485"/>
      <c r="O17" s="2485"/>
      <c r="P17" s="3499"/>
      <c r="Q17" s="1263" t="str">
        <f>B17</f>
        <v>交通便捷度</v>
      </c>
      <c r="R17" s="667" t="s">
        <v>18</v>
      </c>
      <c r="S17" s="668">
        <f>F17</f>
        <v>102</v>
      </c>
      <c r="T17" s="667" t="s">
        <v>18</v>
      </c>
      <c r="U17" s="668">
        <f>H17</f>
        <v>102</v>
      </c>
      <c r="V17" s="667" t="s">
        <v>18</v>
      </c>
      <c r="W17" s="668">
        <f>J17</f>
        <v>101</v>
      </c>
      <c r="X17" s="1265"/>
      <c r="Y17" s="3501"/>
      <c r="Z17" s="1264" t="str">
        <f>Q17</f>
        <v>交通便捷度</v>
      </c>
      <c r="AA17" s="1264">
        <f t="shared" si="3"/>
        <v>0.98039215686274506</v>
      </c>
      <c r="AB17" s="1264">
        <f t="shared" si="4"/>
        <v>0.98039215686274506</v>
      </c>
      <c r="AC17" s="1264">
        <f t="shared" si="5"/>
        <v>0.99009900990099009</v>
      </c>
    </row>
    <row r="18" spans="1:29" ht="15">
      <c r="A18" s="367"/>
      <c r="B18" s="395"/>
      <c r="C18" s="1755" t="s">
        <v>3420</v>
      </c>
      <c r="D18" s="389"/>
      <c r="E18" s="1755" t="s">
        <v>3488</v>
      </c>
      <c r="F18" s="389"/>
      <c r="G18" s="1755" t="s">
        <v>3488</v>
      </c>
      <c r="H18" s="387"/>
      <c r="I18" s="1755" t="s">
        <v>3418</v>
      </c>
      <c r="J18" s="387"/>
      <c r="K18" s="1753"/>
      <c r="L18" s="2490"/>
      <c r="M18" s="2485"/>
      <c r="N18" s="2485"/>
      <c r="O18" s="2485"/>
      <c r="P18" s="3499"/>
      <c r="Q18" s="1263"/>
      <c r="R18" s="667"/>
      <c r="S18" s="668"/>
      <c r="T18" s="667"/>
      <c r="U18" s="668"/>
      <c r="V18" s="667"/>
      <c r="W18" s="668"/>
      <c r="X18" s="1265"/>
      <c r="Y18" s="3501"/>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99"/>
      <c r="Q19" s="1263" t="str">
        <f>B19</f>
        <v>公共配套设施</v>
      </c>
      <c r="R19" s="667" t="s">
        <v>18</v>
      </c>
      <c r="S19" s="668">
        <f>F19</f>
        <v>100</v>
      </c>
      <c r="T19" s="667" t="s">
        <v>18</v>
      </c>
      <c r="U19" s="668">
        <f>H19</f>
        <v>100</v>
      </c>
      <c r="V19" s="667" t="s">
        <v>18</v>
      </c>
      <c r="W19" s="668">
        <f>J19</f>
        <v>100</v>
      </c>
      <c r="X19" s="1265"/>
      <c r="Y19" s="3501"/>
      <c r="Z19" s="1264" t="str">
        <f>Q19</f>
        <v>公共配套设施</v>
      </c>
      <c r="AA19" s="1264">
        <f t="shared" si="3"/>
        <v>1</v>
      </c>
      <c r="AB19" s="1264">
        <f t="shared" si="4"/>
        <v>1</v>
      </c>
      <c r="AC19" s="1264">
        <f t="shared" si="5"/>
        <v>1</v>
      </c>
    </row>
    <row r="20" spans="1:29" ht="15">
      <c r="A20" s="367"/>
      <c r="B20" s="395"/>
      <c r="C20" s="386" t="s">
        <v>3420</v>
      </c>
      <c r="D20" s="387"/>
      <c r="E20" s="386" t="s">
        <v>3420</v>
      </c>
      <c r="F20" s="387"/>
      <c r="G20" s="386" t="s">
        <v>3420</v>
      </c>
      <c r="H20" s="387"/>
      <c r="I20" s="386" t="s">
        <v>3420</v>
      </c>
      <c r="J20" s="387"/>
      <c r="K20" s="1753"/>
      <c r="L20" s="2490"/>
      <c r="M20" s="2485"/>
      <c r="N20" s="2485"/>
      <c r="O20" s="2485"/>
      <c r="P20" s="3499"/>
      <c r="Q20" s="1263"/>
      <c r="R20" s="667"/>
      <c r="S20" s="668"/>
      <c r="T20" s="667"/>
      <c r="U20" s="668"/>
      <c r="V20" s="667"/>
      <c r="W20" s="668"/>
      <c r="X20" s="1265"/>
      <c r="Y20" s="3501"/>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99"/>
      <c r="Q21" s="1263" t="str">
        <f>B21</f>
        <v>基础设施水平</v>
      </c>
      <c r="R21" s="667" t="s">
        <v>14</v>
      </c>
      <c r="S21" s="668">
        <f>F21</f>
        <v>100</v>
      </c>
      <c r="T21" s="667" t="s">
        <v>14</v>
      </c>
      <c r="U21" s="668">
        <f>H21</f>
        <v>100</v>
      </c>
      <c r="V21" s="667" t="s">
        <v>14</v>
      </c>
      <c r="W21" s="668">
        <f>J21</f>
        <v>100</v>
      </c>
      <c r="X21" s="1265"/>
      <c r="Y21" s="3501"/>
      <c r="Z21" s="1264" t="str">
        <f>Q21</f>
        <v>基础设施水平</v>
      </c>
      <c r="AA21" s="1264">
        <f t="shared" ref="AA21" si="8">D21/F21</f>
        <v>1</v>
      </c>
      <c r="AB21" s="1264">
        <f t="shared" ref="AB21" si="9">D21/H21</f>
        <v>1</v>
      </c>
      <c r="AC21" s="1264">
        <f t="shared" ref="AC21" si="10">D21/J21</f>
        <v>1</v>
      </c>
    </row>
    <row r="22" spans="1:29" ht="15">
      <c r="A22" s="367"/>
      <c r="B22" s="586"/>
      <c r="C22" s="1755" t="s">
        <v>3412</v>
      </c>
      <c r="D22" s="387"/>
      <c r="E22" s="1755" t="s">
        <v>3412</v>
      </c>
      <c r="F22" s="387"/>
      <c r="G22" s="1755" t="s">
        <v>3412</v>
      </c>
      <c r="H22" s="387"/>
      <c r="I22" s="1755" t="s">
        <v>3412</v>
      </c>
      <c r="J22" s="387"/>
      <c r="K22" s="1759"/>
      <c r="L22" s="2490"/>
      <c r="M22" s="2485"/>
      <c r="N22" s="2485"/>
      <c r="O22" s="2485"/>
      <c r="P22" s="3499"/>
      <c r="Q22" s="1263"/>
      <c r="R22" s="667"/>
      <c r="S22" s="668"/>
      <c r="T22" s="667"/>
      <c r="U22" s="668"/>
      <c r="V22" s="667"/>
      <c r="W22" s="668"/>
      <c r="X22" s="1265"/>
      <c r="Y22" s="3501"/>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99"/>
      <c r="Q23" s="1263" t="str">
        <f>B23</f>
        <v>自然及人文环境</v>
      </c>
      <c r="R23" s="667" t="s">
        <v>18</v>
      </c>
      <c r="S23" s="668">
        <f>F23</f>
        <v>100</v>
      </c>
      <c r="T23" s="667" t="s">
        <v>18</v>
      </c>
      <c r="U23" s="668">
        <f>H23</f>
        <v>100</v>
      </c>
      <c r="V23" s="667" t="s">
        <v>18</v>
      </c>
      <c r="W23" s="668">
        <f>J23</f>
        <v>100</v>
      </c>
      <c r="X23" s="1265"/>
      <c r="Y23" s="3501"/>
      <c r="Z23" s="1264" t="str">
        <f>Q23</f>
        <v>自然及人文环境</v>
      </c>
      <c r="AA23" s="1264">
        <f>D23/F23</f>
        <v>1</v>
      </c>
      <c r="AB23" s="1264">
        <f>D23/H23</f>
        <v>1</v>
      </c>
      <c r="AC23" s="1264">
        <f>D23/J23</f>
        <v>1</v>
      </c>
    </row>
    <row r="24" spans="1:29" ht="15">
      <c r="A24" s="367"/>
      <c r="B24" s="395"/>
      <c r="C24" s="386" t="s">
        <v>3418</v>
      </c>
      <c r="D24" s="387"/>
      <c r="E24" s="386" t="s">
        <v>3418</v>
      </c>
      <c r="F24" s="387"/>
      <c r="G24" s="386" t="s">
        <v>3418</v>
      </c>
      <c r="H24" s="387"/>
      <c r="I24" s="386" t="s">
        <v>3418</v>
      </c>
      <c r="J24" s="387"/>
      <c r="K24" s="1753"/>
      <c r="L24" s="2490"/>
      <c r="M24" s="2485"/>
      <c r="N24" s="2485"/>
      <c r="O24" s="2485"/>
      <c r="P24" s="3499"/>
      <c r="Q24" s="1263"/>
      <c r="R24" s="667"/>
      <c r="S24" s="668"/>
      <c r="T24" s="667"/>
      <c r="U24" s="668"/>
      <c r="V24" s="667"/>
      <c r="W24" s="668"/>
      <c r="X24" s="1265"/>
      <c r="Y24" s="3501"/>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01"/>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3394</v>
      </c>
      <c r="F26" s="374">
        <f>SUMIF(88:88,E26,89:89)-SUMIF(88:88,C26,89:89)+100</f>
        <v>100</v>
      </c>
      <c r="G26" s="399" t="s">
        <v>3394</v>
      </c>
      <c r="H26" s="374">
        <f>SUMIF(88:88,G26,89:89)-SUMIF(88:88,C26,89:89)+100</f>
        <v>100</v>
      </c>
      <c r="I26" s="399" t="s">
        <v>3394</v>
      </c>
      <c r="J26" s="374">
        <f>SUMIF(88:88,I26,89:89)-SUMIF(88:88,C26,89:89)+100</f>
        <v>100</v>
      </c>
      <c r="K26" s="365">
        <v>0.5</v>
      </c>
      <c r="L26" s="2490"/>
      <c r="M26" s="2485"/>
      <c r="N26" s="2485"/>
      <c r="O26" s="2485"/>
      <c r="P26" s="3499"/>
      <c r="Q26" s="1263" t="str">
        <f t="shared" si="11"/>
        <v>朝向</v>
      </c>
      <c r="R26" s="667" t="s">
        <v>18</v>
      </c>
      <c r="S26" s="668">
        <f t="shared" si="12"/>
        <v>100</v>
      </c>
      <c r="T26" s="667" t="s">
        <v>18</v>
      </c>
      <c r="U26" s="668">
        <f t="shared" si="13"/>
        <v>100</v>
      </c>
      <c r="V26" s="667" t="s">
        <v>18</v>
      </c>
      <c r="W26" s="668">
        <f t="shared" si="14"/>
        <v>100</v>
      </c>
      <c r="X26" s="1265"/>
      <c r="Y26" s="3501"/>
      <c r="Z26" s="1264" t="str">
        <f>Q26</f>
        <v>朝向</v>
      </c>
      <c r="AA26" s="1264">
        <f t="shared" si="15"/>
        <v>1</v>
      </c>
      <c r="AB26" s="1264">
        <f t="shared" si="16"/>
        <v>1</v>
      </c>
      <c r="AC26" s="1264">
        <f t="shared" si="17"/>
        <v>1</v>
      </c>
    </row>
    <row r="27" spans="1:29" s="102" customFormat="1" ht="15">
      <c r="A27" s="370"/>
      <c r="B27" s="3169" t="s">
        <v>3450</v>
      </c>
      <c r="C27" s="3170" t="s">
        <v>3440</v>
      </c>
      <c r="D27" s="401">
        <v>100</v>
      </c>
      <c r="E27" s="3170" t="s">
        <v>3440</v>
      </c>
      <c r="F27" s="401">
        <f>SUMIF(90:90,E27,91:91)-SUMIF(90:90,C27,91:91)+100</f>
        <v>100</v>
      </c>
      <c r="G27" s="3170" t="s">
        <v>3440</v>
      </c>
      <c r="H27" s="401">
        <f>SUMIF(90:90,G27,91:91)-SUMIF(90:90,C27,91:91)+100</f>
        <v>100</v>
      </c>
      <c r="I27" s="3170" t="s">
        <v>3440</v>
      </c>
      <c r="J27" s="401">
        <f>SUMIF(90:90,I27,91:91)-SUMIF(90:90,C27,91:91)+100</f>
        <v>100</v>
      </c>
      <c r="K27" s="1748"/>
      <c r="L27" s="2486"/>
      <c r="M27" s="2437"/>
      <c r="N27" s="2437"/>
      <c r="O27" s="2437"/>
      <c r="P27" s="3499"/>
      <c r="Q27" s="530" t="str">
        <f t="shared" si="11"/>
        <v>楼层</v>
      </c>
      <c r="R27" s="664" t="s">
        <v>18</v>
      </c>
      <c r="S27" s="665">
        <f t="shared" si="12"/>
        <v>100</v>
      </c>
      <c r="T27" s="664" t="s">
        <v>18</v>
      </c>
      <c r="U27" s="665">
        <f t="shared" si="13"/>
        <v>100</v>
      </c>
      <c r="V27" s="664" t="s">
        <v>18</v>
      </c>
      <c r="W27" s="665">
        <f t="shared" si="14"/>
        <v>100</v>
      </c>
      <c r="X27" s="666"/>
      <c r="Y27" s="3501"/>
      <c r="Z27" s="50" t="str">
        <f>Q27</f>
        <v>楼层</v>
      </c>
      <c r="AA27" s="1264">
        <f t="shared" si="15"/>
        <v>1</v>
      </c>
      <c r="AB27" s="1264">
        <f t="shared" si="16"/>
        <v>1</v>
      </c>
      <c r="AC27" s="1264">
        <f t="shared" si="17"/>
        <v>1</v>
      </c>
    </row>
    <row r="28" spans="1:29" ht="15">
      <c r="A28" s="367"/>
      <c r="B28" s="3145"/>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99"/>
      <c r="Q28" s="1263">
        <f t="shared" si="11"/>
        <v>0</v>
      </c>
      <c r="R28" s="667" t="s">
        <v>18</v>
      </c>
      <c r="S28" s="668">
        <f t="shared" si="12"/>
        <v>100</v>
      </c>
      <c r="T28" s="667" t="s">
        <v>18</v>
      </c>
      <c r="U28" s="668">
        <f t="shared" si="13"/>
        <v>100</v>
      </c>
      <c r="V28" s="667" t="s">
        <v>18</v>
      </c>
      <c r="W28" s="668">
        <f t="shared" si="14"/>
        <v>100</v>
      </c>
      <c r="X28" s="1265"/>
      <c r="Y28" s="3501"/>
      <c r="Z28" s="1264">
        <f t="shared" ref="Z28:Z46" si="18">Q28</f>
        <v>0</v>
      </c>
      <c r="AA28" s="1264">
        <f t="shared" si="15"/>
        <v>1</v>
      </c>
      <c r="AB28" s="1264">
        <f t="shared" si="16"/>
        <v>1</v>
      </c>
      <c r="AC28" s="1264">
        <f t="shared" si="17"/>
        <v>1</v>
      </c>
    </row>
    <row r="29" spans="1:29" ht="15">
      <c r="A29" s="367"/>
      <c r="B29" s="3145"/>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99"/>
      <c r="Q29" s="1263">
        <f t="shared" si="11"/>
        <v>0</v>
      </c>
      <c r="R29" s="667" t="s">
        <v>18</v>
      </c>
      <c r="S29" s="668">
        <f t="shared" si="12"/>
        <v>100</v>
      </c>
      <c r="T29" s="667" t="s">
        <v>18</v>
      </c>
      <c r="U29" s="668">
        <f t="shared" si="13"/>
        <v>100</v>
      </c>
      <c r="V29" s="667" t="s">
        <v>18</v>
      </c>
      <c r="W29" s="668">
        <f t="shared" si="14"/>
        <v>100</v>
      </c>
      <c r="X29" s="1265"/>
      <c r="Y29" s="3501"/>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99"/>
      <c r="Q30" s="1263">
        <f t="shared" si="11"/>
        <v>0</v>
      </c>
      <c r="R30" s="667" t="s">
        <v>18</v>
      </c>
      <c r="S30" s="668">
        <f t="shared" si="12"/>
        <v>100</v>
      </c>
      <c r="T30" s="667" t="s">
        <v>18</v>
      </c>
      <c r="U30" s="668">
        <f t="shared" si="13"/>
        <v>100</v>
      </c>
      <c r="V30" s="667" t="s">
        <v>18</v>
      </c>
      <c r="W30" s="668">
        <f t="shared" si="14"/>
        <v>100</v>
      </c>
      <c r="X30" s="1265"/>
      <c r="Y30" s="3501"/>
      <c r="Z30" s="1264">
        <f t="shared" si="18"/>
        <v>0</v>
      </c>
      <c r="AA30" s="1264">
        <f t="shared" si="15"/>
        <v>1</v>
      </c>
      <c r="AB30" s="1264">
        <f t="shared" si="16"/>
        <v>1</v>
      </c>
      <c r="AC30" s="1264">
        <f t="shared" si="17"/>
        <v>1</v>
      </c>
    </row>
    <row r="31" spans="1:29" ht="15.75" thickBot="1">
      <c r="A31" s="375"/>
      <c r="B31" s="3145" t="s">
        <v>3487</v>
      </c>
      <c r="C31" s="3198">
        <f>C98</f>
        <v>1</v>
      </c>
      <c r="D31" s="377">
        <v>100</v>
      </c>
      <c r="E31" s="376" t="str">
        <f>H98</f>
        <v>75%（含）-80%</v>
      </c>
      <c r="F31" s="377">
        <f>SUMIF(98:98,E31,99:99)-SUMIF(98:98,C31,99:99)+100</f>
        <v>97.5</v>
      </c>
      <c r="G31" s="1763" t="str">
        <f>H98</f>
        <v>75%（含）-80%</v>
      </c>
      <c r="H31" s="377">
        <f>SUMIF(98:98,G31,99:99)-SUMIF(98:98,C31,99:99)+100</f>
        <v>97.5</v>
      </c>
      <c r="I31" s="376" t="str">
        <f>H98</f>
        <v>75%（含）-80%</v>
      </c>
      <c r="J31" s="377">
        <f>SUMIF(98:98,I31,99:99)-SUMIF(98:98,C31,99:99)+100</f>
        <v>97.5</v>
      </c>
      <c r="K31" s="1748"/>
      <c r="L31" s="2490"/>
      <c r="M31" s="2485"/>
      <c r="N31" s="2485"/>
      <c r="O31" s="2485"/>
      <c r="P31" s="3499"/>
      <c r="Q31" s="1263" t="str">
        <f t="shared" si="11"/>
        <v>综合成新度</v>
      </c>
      <c r="R31" s="667" t="s">
        <v>18</v>
      </c>
      <c r="S31" s="668">
        <f t="shared" si="12"/>
        <v>97.5</v>
      </c>
      <c r="T31" s="667" t="s">
        <v>18</v>
      </c>
      <c r="U31" s="668">
        <f t="shared" si="13"/>
        <v>97.5</v>
      </c>
      <c r="V31" s="667" t="s">
        <v>18</v>
      </c>
      <c r="W31" s="668">
        <f t="shared" si="14"/>
        <v>97.5</v>
      </c>
      <c r="X31" s="1265"/>
      <c r="Y31" s="3501"/>
      <c r="Z31" s="1264" t="str">
        <f t="shared" si="18"/>
        <v>综合成新度</v>
      </c>
      <c r="AA31" s="1264">
        <f t="shared" si="15"/>
        <v>1.0256410256410255</v>
      </c>
      <c r="AB31" s="1264">
        <f t="shared" si="16"/>
        <v>1.0256410256410255</v>
      </c>
      <c r="AC31" s="1264">
        <f t="shared" si="17"/>
        <v>1.0256410256410255</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90"/>
      <c r="M32" s="2485"/>
      <c r="N32" s="2485"/>
      <c r="O32" s="2485"/>
      <c r="P32" s="3502" t="s">
        <v>1694</v>
      </c>
      <c r="Q32" s="1263" t="str">
        <f t="shared" si="11"/>
        <v>建筑类型</v>
      </c>
      <c r="R32" s="667" t="s">
        <v>18</v>
      </c>
      <c r="S32" s="668">
        <f t="shared" si="12"/>
        <v>100</v>
      </c>
      <c r="T32" s="667" t="s">
        <v>18</v>
      </c>
      <c r="U32" s="668">
        <f t="shared" si="13"/>
        <v>100</v>
      </c>
      <c r="V32" s="667" t="s">
        <v>18</v>
      </c>
      <c r="W32" s="668">
        <f t="shared" si="14"/>
        <v>100</v>
      </c>
      <c r="X32" s="1265"/>
      <c r="Y32" s="350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89"/>
      <c r="M33" s="2491"/>
      <c r="N33" s="2491"/>
      <c r="O33" s="2491"/>
      <c r="P33" s="3503"/>
      <c r="Q33" s="531" t="str">
        <f t="shared" si="11"/>
        <v>项目建筑规模</v>
      </c>
      <c r="R33" s="669" t="s">
        <v>18</v>
      </c>
      <c r="S33" s="670">
        <f t="shared" si="12"/>
        <v>100</v>
      </c>
      <c r="T33" s="669" t="s">
        <v>18</v>
      </c>
      <c r="U33" s="670">
        <f t="shared" si="13"/>
        <v>100</v>
      </c>
      <c r="V33" s="669" t="s">
        <v>18</v>
      </c>
      <c r="W33" s="670">
        <f t="shared" si="14"/>
        <v>100</v>
      </c>
      <c r="X33" s="671"/>
      <c r="Y33" s="3505"/>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90"/>
      <c r="M34" s="2485"/>
      <c r="N34" s="2485"/>
      <c r="O34" s="2485"/>
      <c r="P34" s="3503"/>
      <c r="Q34" s="1263" t="str">
        <f t="shared" si="11"/>
        <v>建筑结构</v>
      </c>
      <c r="R34" s="667" t="s">
        <v>18</v>
      </c>
      <c r="S34" s="668">
        <f t="shared" si="12"/>
        <v>100</v>
      </c>
      <c r="T34" s="667" t="s">
        <v>18</v>
      </c>
      <c r="U34" s="668">
        <f t="shared" si="13"/>
        <v>100</v>
      </c>
      <c r="V34" s="667" t="s">
        <v>18</v>
      </c>
      <c r="W34" s="668">
        <f t="shared" si="14"/>
        <v>100</v>
      </c>
      <c r="X34" s="1265"/>
      <c r="Y34" s="3505"/>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90"/>
      <c r="M35" s="2485"/>
      <c r="N35" s="2485"/>
      <c r="O35" s="2485"/>
      <c r="P35" s="3503"/>
      <c r="Q35" s="1263" t="str">
        <f t="shared" si="11"/>
        <v>建筑品质</v>
      </c>
      <c r="R35" s="667" t="s">
        <v>18</v>
      </c>
      <c r="S35" s="668">
        <f t="shared" si="12"/>
        <v>100</v>
      </c>
      <c r="T35" s="667" t="s">
        <v>18</v>
      </c>
      <c r="U35" s="668">
        <f t="shared" si="13"/>
        <v>100</v>
      </c>
      <c r="V35" s="667" t="s">
        <v>18</v>
      </c>
      <c r="W35" s="668">
        <f t="shared" si="14"/>
        <v>100</v>
      </c>
      <c r="X35" s="1265"/>
      <c r="Y35" s="3505"/>
      <c r="Z35" s="1264" t="str">
        <f t="shared" si="18"/>
        <v>建筑品质</v>
      </c>
      <c r="AA35" s="1264">
        <f t="shared" si="15"/>
        <v>1</v>
      </c>
      <c r="AB35" s="1264">
        <f t="shared" si="16"/>
        <v>1</v>
      </c>
      <c r="AC35" s="1264">
        <f t="shared" si="17"/>
        <v>1</v>
      </c>
    </row>
    <row r="36" spans="1:29" ht="15">
      <c r="A36" s="409"/>
      <c r="B36" s="364" t="s">
        <v>1698</v>
      </c>
      <c r="C36" s="1760" t="s">
        <v>3403</v>
      </c>
      <c r="D36" s="374">
        <v>100</v>
      </c>
      <c r="E36" s="1760" t="s">
        <v>3403</v>
      </c>
      <c r="F36" s="400">
        <f>SUMIF(109:109,E36,110:110)-SUMIF(109:109,C36,110:110)+100</f>
        <v>100</v>
      </c>
      <c r="G36" s="1760" t="s">
        <v>3403</v>
      </c>
      <c r="H36" s="374">
        <f>SUMIF(109:109,G36,110:110)-SUMIF(109:109,C36,110:110)+100</f>
        <v>100</v>
      </c>
      <c r="I36" s="1760" t="s">
        <v>3403</v>
      </c>
      <c r="J36" s="374">
        <f>SUMIF(109:109,I36,110:110)-SUMIF(109:109,C36,110:110)+100</f>
        <v>100</v>
      </c>
      <c r="K36" s="365"/>
      <c r="L36" s="2490"/>
      <c r="M36" s="2485"/>
      <c r="N36" s="2485"/>
      <c r="O36" s="2485"/>
      <c r="P36" s="3503"/>
      <c r="Q36" s="1263" t="str">
        <f t="shared" si="11"/>
        <v>公共部分装修</v>
      </c>
      <c r="R36" s="667" t="s">
        <v>18</v>
      </c>
      <c r="S36" s="668">
        <f t="shared" si="12"/>
        <v>100</v>
      </c>
      <c r="T36" s="667" t="s">
        <v>18</v>
      </c>
      <c r="U36" s="668">
        <f t="shared" si="13"/>
        <v>100</v>
      </c>
      <c r="V36" s="667" t="s">
        <v>18</v>
      </c>
      <c r="W36" s="668">
        <f t="shared" si="14"/>
        <v>100</v>
      </c>
      <c r="X36" s="1265"/>
      <c r="Y36" s="3505"/>
      <c r="Z36" s="1264" t="str">
        <f t="shared" si="18"/>
        <v>公共部分装修</v>
      </c>
      <c r="AA36" s="1264">
        <f t="shared" si="15"/>
        <v>1</v>
      </c>
      <c r="AB36" s="1264">
        <f t="shared" si="16"/>
        <v>1</v>
      </c>
      <c r="AC36" s="1264">
        <f t="shared" si="17"/>
        <v>1</v>
      </c>
    </row>
    <row r="37" spans="1:29" s="102" customFormat="1" ht="15">
      <c r="A37" s="410"/>
      <c r="B37" s="364" t="s">
        <v>1699</v>
      </c>
      <c r="C37" s="411">
        <f>IF(H3&gt;=0.6,H3,0.6)</f>
        <v>1</v>
      </c>
      <c r="D37" s="119">
        <v>100</v>
      </c>
      <c r="E37" s="3194">
        <f>'比较法-住宅（建欣苑一里）'!C37</f>
        <v>0.79400000000000004</v>
      </c>
      <c r="F37" s="364">
        <f>LOOKUP(E37,112:112,113:113)-LOOKUP(C37,112:112,113:113)+100</f>
        <v>100</v>
      </c>
      <c r="G37" s="3196">
        <f>'比较法-住宅（建欣苑三里）'!C37</f>
        <v>0.79800000000000004</v>
      </c>
      <c r="H37" s="119">
        <f>LOOKUP(G37,112:112,113:113)-LOOKUP(C37,112:112,113:113)+100</f>
        <v>100</v>
      </c>
      <c r="I37" s="3195">
        <f>'比较法-住宅（建欣苑四里）'!C37</f>
        <v>0.78600000000000003</v>
      </c>
      <c r="J37" s="119">
        <f>LOOKUP(I37,112:112,113:113)-LOOKUP(C37,112:112,113:113)+100</f>
        <v>100</v>
      </c>
      <c r="K37" s="365"/>
      <c r="L37" s="2486"/>
      <c r="M37" s="2437"/>
      <c r="N37" s="2437"/>
      <c r="O37" s="2437"/>
      <c r="P37" s="3503"/>
      <c r="Q37" s="530" t="str">
        <f t="shared" si="11"/>
        <v>成新度</v>
      </c>
      <c r="R37" s="664" t="s">
        <v>18</v>
      </c>
      <c r="S37" s="665">
        <f t="shared" si="12"/>
        <v>100</v>
      </c>
      <c r="T37" s="664" t="s">
        <v>18</v>
      </c>
      <c r="U37" s="665">
        <f t="shared" si="13"/>
        <v>100</v>
      </c>
      <c r="V37" s="664" t="s">
        <v>18</v>
      </c>
      <c r="W37" s="665">
        <f t="shared" si="14"/>
        <v>100</v>
      </c>
      <c r="X37" s="666"/>
      <c r="Y37" s="3505"/>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90"/>
      <c r="M38" s="2485"/>
      <c r="N38" s="2485"/>
      <c r="O38" s="2485"/>
      <c r="P38" s="3503" t="s">
        <v>1694</v>
      </c>
      <c r="Q38" s="1263" t="str">
        <f t="shared" si="11"/>
        <v>物业管理</v>
      </c>
      <c r="R38" s="667" t="s">
        <v>18</v>
      </c>
      <c r="S38" s="668">
        <f t="shared" si="12"/>
        <v>100</v>
      </c>
      <c r="T38" s="667" t="s">
        <v>18</v>
      </c>
      <c r="U38" s="668">
        <f t="shared" si="13"/>
        <v>100</v>
      </c>
      <c r="V38" s="667" t="s">
        <v>18</v>
      </c>
      <c r="W38" s="668">
        <f t="shared" si="14"/>
        <v>100</v>
      </c>
      <c r="X38" s="1265"/>
      <c r="Y38" s="3505"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0"/>
      <c r="M39" s="2485"/>
      <c r="N39" s="2485"/>
      <c r="O39" s="2485"/>
      <c r="P39" s="3503"/>
      <c r="Q39" s="1263" t="str">
        <f t="shared" si="11"/>
        <v>市政基础设施</v>
      </c>
      <c r="R39" s="667" t="s">
        <v>18</v>
      </c>
      <c r="S39" s="668">
        <f t="shared" si="12"/>
        <v>100</v>
      </c>
      <c r="T39" s="667" t="s">
        <v>18</v>
      </c>
      <c r="U39" s="668">
        <f t="shared" si="13"/>
        <v>100</v>
      </c>
      <c r="V39" s="667" t="s">
        <v>18</v>
      </c>
      <c r="W39" s="668">
        <f t="shared" si="14"/>
        <v>100</v>
      </c>
      <c r="X39" s="1265"/>
      <c r="Y39" s="3505"/>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90"/>
      <c r="M40" s="2485"/>
      <c r="N40" s="2485"/>
      <c r="O40" s="2485"/>
      <c r="P40" s="3503"/>
      <c r="Q40" s="1263" t="str">
        <f t="shared" si="11"/>
        <v>房型</v>
      </c>
      <c r="R40" s="667" t="s">
        <v>18</v>
      </c>
      <c r="S40" s="668">
        <f t="shared" si="12"/>
        <v>100</v>
      </c>
      <c r="T40" s="667" t="s">
        <v>18</v>
      </c>
      <c r="U40" s="668">
        <f t="shared" si="13"/>
        <v>100</v>
      </c>
      <c r="V40" s="667" t="s">
        <v>18</v>
      </c>
      <c r="W40" s="668">
        <f t="shared" si="14"/>
        <v>100</v>
      </c>
      <c r="X40" s="1265"/>
      <c r="Y40" s="3505"/>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9"/>
      <c r="M41" s="2491"/>
      <c r="N41" s="2491"/>
      <c r="O41" s="2491"/>
      <c r="P41" s="3503"/>
      <c r="Q41" s="531" t="str">
        <f t="shared" si="11"/>
        <v>单套/主力户型建筑面积</v>
      </c>
      <c r="R41" s="669" t="s">
        <v>18</v>
      </c>
      <c r="S41" s="670">
        <f t="shared" si="12"/>
        <v>100</v>
      </c>
      <c r="T41" s="669" t="s">
        <v>18</v>
      </c>
      <c r="U41" s="670">
        <f t="shared" si="13"/>
        <v>100</v>
      </c>
      <c r="V41" s="669" t="s">
        <v>18</v>
      </c>
      <c r="W41" s="670">
        <f t="shared" si="14"/>
        <v>100</v>
      </c>
      <c r="X41" s="671"/>
      <c r="Y41" s="3505"/>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1760" t="s">
        <v>3403</v>
      </c>
      <c r="F42" s="400">
        <f>SUMIF(122:122,E42,123:123)-SUMIF(122:122,C42,123:123)+100</f>
        <v>100</v>
      </c>
      <c r="G42" s="1760" t="s">
        <v>3403</v>
      </c>
      <c r="H42" s="374">
        <f>SUMIF(122:122,G42,123:123)-SUMIF(122:122,C42,123:123)+100</f>
        <v>100</v>
      </c>
      <c r="I42" s="1760" t="s">
        <v>3403</v>
      </c>
      <c r="J42" s="374">
        <f>SUMIF(122:122,I42,123:123)-SUMIF(122:122,C42,123:123)+100</f>
        <v>100</v>
      </c>
      <c r="K42" s="365">
        <v>2</v>
      </c>
      <c r="L42" s="2490"/>
      <c r="M42" s="2485"/>
      <c r="N42" s="2485"/>
      <c r="O42" s="2485"/>
      <c r="P42" s="3503"/>
      <c r="Q42" s="1263" t="str">
        <f t="shared" si="11"/>
        <v>内部装修</v>
      </c>
      <c r="R42" s="667" t="s">
        <v>18</v>
      </c>
      <c r="S42" s="668">
        <f t="shared" si="12"/>
        <v>100</v>
      </c>
      <c r="T42" s="667" t="s">
        <v>18</v>
      </c>
      <c r="U42" s="668">
        <f t="shared" si="13"/>
        <v>100</v>
      </c>
      <c r="V42" s="667" t="s">
        <v>18</v>
      </c>
      <c r="W42" s="668">
        <f t="shared" si="14"/>
        <v>100</v>
      </c>
      <c r="X42" s="1265"/>
      <c r="Y42" s="3505"/>
      <c r="Z42" s="1264" t="str">
        <f t="shared" si="18"/>
        <v>内部装修</v>
      </c>
      <c r="AA42" s="1264">
        <f t="shared" si="15"/>
        <v>1</v>
      </c>
      <c r="AB42" s="1264">
        <f t="shared" si="16"/>
        <v>1</v>
      </c>
      <c r="AC42" s="1264">
        <f t="shared" si="17"/>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03"/>
      <c r="Q43" s="1263" t="str">
        <f t="shared" si="11"/>
        <v>内部装修维护情况</v>
      </c>
      <c r="R43" s="667" t="s">
        <v>18</v>
      </c>
      <c r="S43" s="668">
        <f t="shared" si="12"/>
        <v>100</v>
      </c>
      <c r="T43" s="667" t="s">
        <v>18</v>
      </c>
      <c r="U43" s="668">
        <f t="shared" si="13"/>
        <v>100</v>
      </c>
      <c r="V43" s="667" t="s">
        <v>18</v>
      </c>
      <c r="W43" s="668">
        <f t="shared" si="14"/>
        <v>100</v>
      </c>
      <c r="X43" s="1265"/>
      <c r="Y43" s="3505"/>
      <c r="Z43" s="1264" t="str">
        <f t="shared" si="18"/>
        <v>内部装修维护情况</v>
      </c>
      <c r="AA43" s="1264">
        <f t="shared" si="15"/>
        <v>1</v>
      </c>
      <c r="AB43" s="1264">
        <f t="shared" si="16"/>
        <v>1</v>
      </c>
      <c r="AC43" s="1264">
        <f t="shared" si="17"/>
        <v>1</v>
      </c>
    </row>
    <row r="44" spans="1:29" s="102" customFormat="1" ht="15">
      <c r="A44" s="410"/>
      <c r="B44" s="3145" t="s">
        <v>3465</v>
      </c>
      <c r="C44" s="3181" t="s">
        <v>3458</v>
      </c>
      <c r="D44" s="119">
        <v>100</v>
      </c>
      <c r="E44" s="3181" t="s">
        <v>3458</v>
      </c>
      <c r="F44" s="364">
        <f>SUMIF(126:126,E44,127:127)-SUMIF(126:126,C44,127:127)+100</f>
        <v>100</v>
      </c>
      <c r="G44" s="3181" t="s">
        <v>3458</v>
      </c>
      <c r="H44" s="119">
        <f>SUMIF(126:126,G44,127:127)-SUMIF(126:126,C44,127:127)+100</f>
        <v>100</v>
      </c>
      <c r="I44" s="3181" t="s">
        <v>3458</v>
      </c>
      <c r="J44" s="119">
        <f>SUMIF(126:126,I44,127:127)-SUMIF(126:126,C44,127:127)+100</f>
        <v>100</v>
      </c>
      <c r="K44" s="1748"/>
      <c r="L44" s="2486"/>
      <c r="M44" s="2437"/>
      <c r="N44" s="2437"/>
      <c r="O44" s="2437"/>
      <c r="P44" s="3503"/>
      <c r="Q44" s="530" t="str">
        <f t="shared" si="11"/>
        <v>空间布局</v>
      </c>
      <c r="R44" s="664" t="s">
        <v>18</v>
      </c>
      <c r="S44" s="665">
        <f t="shared" si="12"/>
        <v>100</v>
      </c>
      <c r="T44" s="664" t="s">
        <v>18</v>
      </c>
      <c r="U44" s="665">
        <f t="shared" si="13"/>
        <v>100</v>
      </c>
      <c r="V44" s="664" t="s">
        <v>18</v>
      </c>
      <c r="W44" s="665">
        <f t="shared" si="14"/>
        <v>100</v>
      </c>
      <c r="X44" s="666"/>
      <c r="Y44" s="3505"/>
      <c r="Z44" s="50" t="str">
        <f t="shared" si="18"/>
        <v>空间布局</v>
      </c>
      <c r="AA44" s="50">
        <f t="shared" si="15"/>
        <v>1</v>
      </c>
      <c r="AB44" s="50">
        <f t="shared" si="16"/>
        <v>1</v>
      </c>
      <c r="AC44" s="50">
        <f t="shared" si="17"/>
        <v>1</v>
      </c>
    </row>
    <row r="45" spans="1:29" ht="15">
      <c r="A45" s="409"/>
      <c r="B45" s="3145" t="s">
        <v>3441</v>
      </c>
      <c r="C45" s="3174" t="s">
        <v>3442</v>
      </c>
      <c r="D45" s="374">
        <v>100</v>
      </c>
      <c r="E45" s="3174" t="s">
        <v>3442</v>
      </c>
      <c r="F45" s="400">
        <f>SUMIF(128:128,E45,129:129)-SUMIF(128:128,C45,129:129)+100</f>
        <v>100</v>
      </c>
      <c r="G45" s="3174" t="s">
        <v>3442</v>
      </c>
      <c r="H45" s="374">
        <f>SUMIF(128:128,G45,129:129)-SUMIF(128:128,C45,129:129)+100</f>
        <v>100</v>
      </c>
      <c r="I45" s="3174" t="s">
        <v>3442</v>
      </c>
      <c r="J45" s="374">
        <f>SUMIF(128:128,I45,129:129)-SUMIF(128:128,C45,129:129)+100</f>
        <v>100</v>
      </c>
      <c r="K45" s="1748"/>
      <c r="L45" s="2490"/>
      <c r="M45" s="2485"/>
      <c r="N45" s="2485"/>
      <c r="O45" s="2485"/>
      <c r="P45" s="3503"/>
      <c r="Q45" s="1263" t="str">
        <f t="shared" si="11"/>
        <v>建筑形式</v>
      </c>
      <c r="R45" s="667" t="s">
        <v>18</v>
      </c>
      <c r="S45" s="668">
        <f t="shared" si="12"/>
        <v>100</v>
      </c>
      <c r="T45" s="667" t="s">
        <v>18</v>
      </c>
      <c r="U45" s="668">
        <f t="shared" si="13"/>
        <v>100</v>
      </c>
      <c r="V45" s="667" t="s">
        <v>18</v>
      </c>
      <c r="W45" s="668">
        <f t="shared" si="14"/>
        <v>100</v>
      </c>
      <c r="X45" s="1265"/>
      <c r="Y45" s="3505"/>
      <c r="Z45" s="1264" t="str">
        <f t="shared" si="18"/>
        <v>建筑形式</v>
      </c>
      <c r="AA45" s="1264">
        <f t="shared" si="15"/>
        <v>1</v>
      </c>
      <c r="AB45" s="1264">
        <f t="shared" si="16"/>
        <v>1</v>
      </c>
      <c r="AC45" s="1264">
        <f t="shared" si="17"/>
        <v>1</v>
      </c>
    </row>
    <row r="46" spans="1:29" ht="15.75" thickBot="1">
      <c r="A46" s="415"/>
      <c r="B46" s="3175" t="s">
        <v>3443</v>
      </c>
      <c r="C46" s="3176" t="s">
        <v>3486</v>
      </c>
      <c r="D46" s="377">
        <v>100</v>
      </c>
      <c r="E46" s="3176" t="s">
        <v>3486</v>
      </c>
      <c r="F46" s="378">
        <f>SUMIF(130:130,E46,131:131)-SUMIF(130:130,C46,131:131)+100</f>
        <v>100</v>
      </c>
      <c r="G46" s="3176" t="s">
        <v>3486</v>
      </c>
      <c r="H46" s="377">
        <f>SUMIF(130:130,G46,131:131)-SUMIF(130:130,C46,131:131)+100</f>
        <v>100</v>
      </c>
      <c r="I46" s="3176" t="s">
        <v>3486</v>
      </c>
      <c r="J46" s="377">
        <f>SUMIF(130:130,I46,131:131)-SUMIF(130:130,C46,131:131)+100</f>
        <v>100</v>
      </c>
      <c r="K46" s="1748"/>
      <c r="L46" s="2490"/>
      <c r="M46" s="2485"/>
      <c r="N46" s="2485"/>
      <c r="O46" s="2485"/>
      <c r="P46" s="3504"/>
      <c r="Q46" s="1263" t="str">
        <f t="shared" si="11"/>
        <v>设施设备状况</v>
      </c>
      <c r="R46" s="667" t="s">
        <v>17</v>
      </c>
      <c r="S46" s="668">
        <f t="shared" si="12"/>
        <v>100</v>
      </c>
      <c r="T46" s="667" t="s">
        <v>17</v>
      </c>
      <c r="U46" s="668">
        <f t="shared" si="13"/>
        <v>100</v>
      </c>
      <c r="V46" s="667" t="s">
        <v>17</v>
      </c>
      <c r="W46" s="668">
        <f t="shared" si="14"/>
        <v>100</v>
      </c>
      <c r="X46" s="1265"/>
      <c r="Y46" s="3506"/>
      <c r="Z46" s="1264" t="str">
        <f t="shared" si="18"/>
        <v>设施设备状况</v>
      </c>
      <c r="AA46" s="1264">
        <f t="shared" si="15"/>
        <v>1</v>
      </c>
      <c r="AB46" s="1264">
        <f t="shared" si="16"/>
        <v>1</v>
      </c>
      <c r="AC46" s="1264">
        <f t="shared" si="17"/>
        <v>1</v>
      </c>
    </row>
    <row r="47" spans="1:29" ht="15">
      <c r="A47" s="416" t="s">
        <v>1706</v>
      </c>
      <c r="B47" s="417"/>
      <c r="C47" s="1081" t="s">
        <v>16</v>
      </c>
      <c r="D47" s="418"/>
      <c r="E47" s="419">
        <f>'比较法-住宅（建欣苑一里）'!C49</f>
        <v>53472</v>
      </c>
      <c r="F47" s="420"/>
      <c r="G47" s="421">
        <f>'比较法-住宅（建欣苑三里）'!C49</f>
        <v>52625</v>
      </c>
      <c r="H47" s="422"/>
      <c r="I47" s="419">
        <f>'比较法-住宅（建欣苑四里）'!C49</f>
        <v>51806</v>
      </c>
      <c r="J47" s="422"/>
      <c r="K47" s="1765"/>
      <c r="L47" s="2492"/>
      <c r="M47" s="2485"/>
      <c r="N47" s="2485"/>
      <c r="O47" s="2485"/>
      <c r="P47" s="3493" t="str">
        <f>A47</f>
        <v>成交单价（元/平方米）</v>
      </c>
      <c r="Q47" s="3493"/>
      <c r="R47" s="3494">
        <f>E47</f>
        <v>53472</v>
      </c>
      <c r="S47" s="3494"/>
      <c r="T47" s="3494">
        <f>G47</f>
        <v>52625</v>
      </c>
      <c r="U47" s="3494"/>
      <c r="V47" s="3494">
        <f>I47</f>
        <v>51806</v>
      </c>
      <c r="W47" s="3494"/>
      <c r="X47" s="385"/>
      <c r="Y47" s="673"/>
      <c r="Z47" s="385"/>
      <c r="AA47" s="385"/>
      <c r="AB47" s="385"/>
      <c r="AC47" s="385"/>
    </row>
    <row r="48" spans="1:29" ht="15.75" thickBot="1">
      <c r="A48" s="423" t="s">
        <v>1707</v>
      </c>
      <c r="B48" s="424"/>
      <c r="C48" s="1082">
        <f>R49</f>
        <v>53097</v>
      </c>
      <c r="D48" s="2139" t="s">
        <v>2136</v>
      </c>
      <c r="E48" s="1083">
        <f>R48</f>
        <v>53768</v>
      </c>
      <c r="F48" s="2140"/>
      <c r="G48" s="1082">
        <f>T48</f>
        <v>52916</v>
      </c>
      <c r="H48" s="2140"/>
      <c r="I48" s="1083">
        <f>V48</f>
        <v>52608</v>
      </c>
      <c r="J48" s="2140"/>
      <c r="K48" s="2141">
        <f>F48+H48+J48</f>
        <v>0</v>
      </c>
      <c r="L48" s="2492"/>
      <c r="M48" s="2485"/>
      <c r="N48" s="2485"/>
      <c r="O48" s="2485"/>
      <c r="P48" s="3493" t="str">
        <f>A48</f>
        <v>比较价值（元/平方米）</v>
      </c>
      <c r="Q48" s="3493"/>
      <c r="R48" s="3494">
        <f>IF(F1="售价",ROUND(PRODUCT(R47,AA7:AA46),0),ROUND(PRODUCT(R47,AA7:AA46),1))</f>
        <v>53768</v>
      </c>
      <c r="S48" s="3494"/>
      <c r="T48" s="3494">
        <f>IF(F1="售价",ROUND(PRODUCT(T47,AB7:AB46),0),ROUND(PRODUCT(T47,AB7:AB46),1))</f>
        <v>52916</v>
      </c>
      <c r="U48" s="3494"/>
      <c r="V48" s="3494">
        <f>IF(F1="售价",ROUND(PRODUCT(V47,AC7:AC46),0),ROUND(PRODUCT(V47,AC7:AC46),1))</f>
        <v>52608</v>
      </c>
      <c r="W48" s="3494"/>
      <c r="X48" s="385"/>
      <c r="Y48" s="385"/>
      <c r="Z48" s="385"/>
      <c r="AA48" s="385"/>
      <c r="AB48" s="385"/>
      <c r="AC48" s="385"/>
    </row>
    <row r="49" spans="1:29" ht="15.75" thickBot="1">
      <c r="A49" s="3269" t="s">
        <v>3627</v>
      </c>
      <c r="B49" s="428"/>
      <c r="C49" s="1084">
        <f>R49</f>
        <v>53097</v>
      </c>
      <c r="D49" s="351"/>
      <c r="E49" s="351"/>
      <c r="F49" s="351"/>
      <c r="G49" s="351"/>
      <c r="H49" s="351"/>
      <c r="I49" s="351"/>
      <c r="J49" s="351"/>
      <c r="K49" s="1766"/>
      <c r="L49" s="2492"/>
      <c r="M49" s="2485"/>
      <c r="N49" s="2485"/>
      <c r="O49" s="2485"/>
      <c r="P49" s="3495" t="str">
        <f>A49</f>
        <v xml:space="preserve">   </v>
      </c>
      <c r="Q49" s="3496"/>
      <c r="R49" s="3497">
        <f>IF(F1="售价",ROUND(IF(D48="简单平均",AVERAGE(R48:V48),R48*F48+T48*H48+V48*J48),0),ROUND(IF(D48="简单平均",AVERAGE(R48:V48),R48*F48+T48*H48+V48*J48),1))</f>
        <v>53097</v>
      </c>
      <c r="S49" s="3497"/>
      <c r="T49" s="3497"/>
      <c r="U49" s="3497"/>
      <c r="V49" s="3497"/>
      <c r="W49" s="349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5.5356074207062456E-3</v>
      </c>
      <c r="F52" s="435" t="str">
        <f>IF(OR(E52&gt;=0.3,E52&lt;=-0.3),"超过30%","")</f>
        <v/>
      </c>
      <c r="G52" s="434">
        <f>IF(G47&lt;G48,G48/G47-1,G47/G48-1)</f>
        <v>5.5296912114013441E-3</v>
      </c>
      <c r="H52" s="435" t="str">
        <f>IF(OR(G52&gt;=0.3,G52&lt;=-0.3),"超过30%","")</f>
        <v/>
      </c>
      <c r="I52" s="434">
        <f>IF(I47&lt;I48,I48/I47-1,I47/I48-1)</f>
        <v>1.5480832336022932E-2</v>
      </c>
      <c r="J52" s="435" t="str">
        <f>IF(OR(I52&gt;=0.3,I52&lt;=-0.3),"超过30%","")</f>
        <v/>
      </c>
      <c r="K52" s="2497"/>
      <c r="L52" s="2493"/>
      <c r="M52" s="2485"/>
      <c r="N52" s="2485"/>
      <c r="O52" s="2485"/>
    </row>
    <row r="53" spans="1:29" ht="13.5" customHeight="1">
      <c r="A53" s="2485"/>
      <c r="B53" s="2485"/>
      <c r="C53" s="432" t="s">
        <v>1710</v>
      </c>
      <c r="D53" s="436"/>
      <c r="E53" s="434">
        <f>IF(E48&lt;G48,G48/E48-1,E48/G48-1)</f>
        <v>1.6100990248696156E-2</v>
      </c>
      <c r="F53" s="435" t="str">
        <f>IF(OR(E53&gt;=0.2,E53&lt;=-0.2),"超过20%","")</f>
        <v/>
      </c>
      <c r="G53" s="434">
        <f>IF(G48&lt;I48,I48/G48-1,G48/I48-1)</f>
        <v>5.8546228710463222E-3</v>
      </c>
      <c r="H53" s="435" t="str">
        <f>IF(OR(G53&gt;=0.2,G53&lt;=-0.2),"超过20%","")</f>
        <v/>
      </c>
      <c r="I53" s="434">
        <f>IF(I48&lt;E48,E48/I48-1,I48/E48-1)</f>
        <v>2.2049878345498763E-2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1.6095011876484655E-2</v>
      </c>
      <c r="F54" s="435" t="str">
        <f>IF(OR(E54&gt;=0.3,E54&lt;=-0.3),"超过30%","")</f>
        <v/>
      </c>
      <c r="G54" s="434">
        <f>IF(G47&lt;I47,I47/G47-1,G47/I47-1)</f>
        <v>1.5808979654866162E-2</v>
      </c>
      <c r="H54" s="435" t="str">
        <f>IF(OR(G54&gt;=0.3,G54&lt;=-0.3),"超过30%","")</f>
        <v/>
      </c>
      <c r="I54" s="434">
        <f>IF(I47&lt;E47,E47/I47-1,I47/E47-1)</f>
        <v>3.2158437246651017E-2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1677</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参数!S24</f>
        <v>100</v>
      </c>
      <c r="E59" s="445">
        <f>参数!R24</f>
        <v>99.206299999999999</v>
      </c>
      <c r="F59" s="445">
        <f>参数!Q24</f>
        <v>98.614599999999996</v>
      </c>
      <c r="G59" s="445">
        <f>参数!P24</f>
        <v>99.309700000000007</v>
      </c>
      <c r="H59" s="445">
        <f>参数!O24</f>
        <v>100.11060000000001</v>
      </c>
      <c r="I59" s="445">
        <f>参数!N24</f>
        <v>100.9179</v>
      </c>
      <c r="J59" s="445">
        <f>参数!M24</f>
        <v>101.0189</v>
      </c>
      <c r="K59" s="445">
        <f>参数!L24</f>
        <v>100.3167</v>
      </c>
      <c r="L59" s="445">
        <f>参数!K24</f>
        <v>99.225200000000001</v>
      </c>
      <c r="M59" s="445">
        <f>参数!J24</f>
        <v>98.145600000000002</v>
      </c>
      <c r="N59" s="445">
        <f>参数!I24</f>
        <v>98.440899999999999</v>
      </c>
      <c r="O59" s="445">
        <f>参数!H24</f>
        <v>98.935599999999994</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1679</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0</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99</v>
      </c>
      <c r="E79" s="475">
        <f>D79-$K17</f>
        <v>98</v>
      </c>
      <c r="F79" s="475">
        <f>E79-$K17</f>
        <v>97</v>
      </c>
      <c r="G79" s="475">
        <f>F79-$K17</f>
        <v>96</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3143"/>
      <c r="G86" s="3143"/>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
        <v>3390</v>
      </c>
      <c r="D88" s="3143" t="s">
        <v>3391</v>
      </c>
      <c r="E88" s="3143" t="s">
        <v>3392</v>
      </c>
      <c r="F88" s="3144" t="s">
        <v>3393</v>
      </c>
      <c r="G88" s="3143" t="s">
        <v>3395</v>
      </c>
      <c r="H88" s="3143" t="s">
        <v>3396</v>
      </c>
      <c r="I88" s="3143" t="s">
        <v>3397</v>
      </c>
      <c r="J88" s="3143" t="s">
        <v>3398</v>
      </c>
      <c r="K88" s="3143" t="s">
        <v>3399</v>
      </c>
      <c r="L88" s="3143" t="s">
        <v>3400</v>
      </c>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43" t="s">
        <v>3485</v>
      </c>
      <c r="D90" s="3143" t="s">
        <v>3559</v>
      </c>
      <c r="E90" s="3143" t="s">
        <v>3560</v>
      </c>
      <c r="F90" s="3143" t="s">
        <v>3561</v>
      </c>
      <c r="G90" s="3143" t="s">
        <v>3562</v>
      </c>
      <c r="H90" s="3213" t="s">
        <v>3563</v>
      </c>
      <c r="I90" s="486"/>
      <c r="J90" s="486"/>
      <c r="K90" s="486"/>
      <c r="L90" s="487"/>
      <c r="M90" s="488"/>
      <c r="N90" s="881"/>
      <c r="O90" s="881"/>
      <c r="P90" s="1774"/>
      <c r="Q90" s="490"/>
    </row>
    <row r="91" spans="1:17" s="408" customFormat="1" ht="15.75" thickBot="1">
      <c r="A91" s="484"/>
      <c r="B91" s="474"/>
      <c r="C91" s="3189"/>
      <c r="D91" s="3189"/>
      <c r="E91" s="3189"/>
      <c r="F91" s="3189"/>
      <c r="G91" s="491"/>
      <c r="H91" s="493"/>
      <c r="I91" s="493"/>
      <c r="J91" s="493"/>
      <c r="K91" s="493"/>
      <c r="L91" s="493"/>
      <c r="M91" s="494"/>
      <c r="N91" s="881"/>
      <c r="O91" s="881"/>
      <c r="P91" s="1774"/>
      <c r="Q91" s="490"/>
    </row>
    <row r="92" spans="1:17" ht="15.75" thickTop="1">
      <c r="A92" s="367"/>
      <c r="B92" s="469">
        <f>B28</f>
        <v>0</v>
      </c>
      <c r="C92" s="3143"/>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v>0.5</v>
      </c>
      <c r="D97" s="501"/>
      <c r="E97" s="501"/>
      <c r="F97" s="501"/>
      <c r="G97" s="467"/>
      <c r="H97" s="467"/>
      <c r="I97" s="467"/>
      <c r="J97" s="467"/>
      <c r="K97" s="467"/>
      <c r="L97" s="467"/>
      <c r="M97" s="468"/>
      <c r="N97" s="880"/>
      <c r="O97" s="880"/>
      <c r="P97" s="1773"/>
      <c r="Q97" s="439"/>
    </row>
    <row r="98" spans="1:17" ht="29.25" thickTop="1">
      <c r="A98" s="367"/>
      <c r="B98" s="477" t="str">
        <f>B31</f>
        <v>综合成新度</v>
      </c>
      <c r="C98" s="3197">
        <v>1</v>
      </c>
      <c r="D98" s="517" t="s">
        <v>3474</v>
      </c>
      <c r="E98" s="517" t="s">
        <v>3473</v>
      </c>
      <c r="F98" s="517" t="s">
        <v>3475</v>
      </c>
      <c r="G98" s="517" t="s">
        <v>3476</v>
      </c>
      <c r="H98" s="517" t="s">
        <v>3477</v>
      </c>
      <c r="I98" s="517" t="s">
        <v>3478</v>
      </c>
      <c r="J98" s="517" t="s">
        <v>3479</v>
      </c>
      <c r="K98" s="517" t="s">
        <v>3480</v>
      </c>
      <c r="L98" s="519"/>
      <c r="M98" s="520"/>
      <c r="N98" s="879"/>
      <c r="O98" s="879"/>
      <c r="P98" s="1773"/>
      <c r="Q98" s="439"/>
    </row>
    <row r="99" spans="1:17" ht="15.75" thickBot="1">
      <c r="A99" s="375"/>
      <c r="B99" s="500"/>
      <c r="C99" s="521">
        <v>100</v>
      </c>
      <c r="D99" s="521">
        <f>C99-$C$97</f>
        <v>99.5</v>
      </c>
      <c r="E99" s="521">
        <f t="shared" ref="E99:K99" si="25">D99-$C$97</f>
        <v>99</v>
      </c>
      <c r="F99" s="521">
        <f t="shared" si="25"/>
        <v>98.5</v>
      </c>
      <c r="G99" s="521">
        <f t="shared" si="25"/>
        <v>98</v>
      </c>
      <c r="H99" s="521">
        <f t="shared" si="25"/>
        <v>97.5</v>
      </c>
      <c r="I99" s="521">
        <f t="shared" si="25"/>
        <v>97</v>
      </c>
      <c r="J99" s="521">
        <f t="shared" si="25"/>
        <v>96.5</v>
      </c>
      <c r="K99" s="521">
        <f t="shared" si="25"/>
        <v>96</v>
      </c>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1735</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210" priority="18" stopIfTrue="1" operator="containsText" text="超过">
      <formula>NOT(ISERROR(SEARCH("超过",F52)))</formula>
    </cfRule>
  </conditionalFormatting>
  <conditionalFormatting sqref="J54">
    <cfRule type="containsText" dxfId="209" priority="17" stopIfTrue="1" operator="containsText" text="超过">
      <formula>NOT(ISERROR(SEARCH("超过",J54)))</formula>
    </cfRule>
  </conditionalFormatting>
  <conditionalFormatting sqref="H54">
    <cfRule type="containsText" dxfId="208" priority="16" stopIfTrue="1" operator="containsText" text="超过">
      <formula>NOT(ISERROR(SEARCH("超过",H54)))</formula>
    </cfRule>
  </conditionalFormatting>
  <conditionalFormatting sqref="F54">
    <cfRule type="containsText" dxfId="207" priority="15" stopIfTrue="1" operator="containsText" text="超过">
      <formula>NOT(ISERROR(SEARCH("超过",F54)))</formula>
    </cfRule>
  </conditionalFormatting>
  <conditionalFormatting sqref="F53 H53 J53">
    <cfRule type="containsText" dxfId="206" priority="14" stopIfTrue="1" operator="containsText" text="超过">
      <formula>NOT(ISERROR(SEARCH("超过",F53)))</formula>
    </cfRule>
  </conditionalFormatting>
  <conditionalFormatting sqref="E52">
    <cfRule type="expression" dxfId="205" priority="13" stopIfTrue="1">
      <formula>$F$52="超过30%"</formula>
    </cfRule>
  </conditionalFormatting>
  <conditionalFormatting sqref="G54">
    <cfRule type="expression" dxfId="204" priority="12" stopIfTrue="1">
      <formula>$H$54="超过30%"</formula>
    </cfRule>
  </conditionalFormatting>
  <conditionalFormatting sqref="E53">
    <cfRule type="expression" dxfId="203" priority="11" stopIfTrue="1">
      <formula>$F$53="超过20%"</formula>
    </cfRule>
  </conditionalFormatting>
  <conditionalFormatting sqref="E54">
    <cfRule type="expression" dxfId="202" priority="10" stopIfTrue="1">
      <formula>$F$54="超过30%"</formula>
    </cfRule>
  </conditionalFormatting>
  <conditionalFormatting sqref="G52">
    <cfRule type="expression" dxfId="201" priority="9" stopIfTrue="1">
      <formula>$H$52="超过30%"</formula>
    </cfRule>
  </conditionalFormatting>
  <conditionalFormatting sqref="G53">
    <cfRule type="expression" dxfId="200" priority="8" stopIfTrue="1">
      <formula>$H$53="超过20%"</formula>
    </cfRule>
  </conditionalFormatting>
  <conditionalFormatting sqref="I52">
    <cfRule type="expression" dxfId="199" priority="7" stopIfTrue="1">
      <formula>$J$52="超过30%"</formula>
    </cfRule>
  </conditionalFormatting>
  <conditionalFormatting sqref="I53">
    <cfRule type="expression" dxfId="198" priority="6" stopIfTrue="1">
      <formula>$J$53="超过20%"</formula>
    </cfRule>
  </conditionalFormatting>
  <conditionalFormatting sqref="I54">
    <cfRule type="expression" dxfId="197" priority="5" stopIfTrue="1">
      <formula>$J$54="超过30%"</formula>
    </cfRule>
  </conditionalFormatting>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F7:F46 H7:H46 J7:J46">
    <cfRule type="cellIs" dxfId="193"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G47" sqref="G47"/>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1662</v>
      </c>
      <c r="F2" s="1739"/>
      <c r="G2" s="3177"/>
      <c r="H2" s="854"/>
      <c r="I2" s="3177"/>
      <c r="J2" s="854"/>
      <c r="K2" s="854"/>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53472</v>
      </c>
      <c r="C3" s="344" t="s">
        <v>1663</v>
      </c>
      <c r="D3" s="343">
        <f>IF(D1="",'数据-汇总表'!E3,SUMIF('数据-汇总表'!$C19:$C33,D1,'数据-汇总表'!$E19:$E33))</f>
        <v>0</v>
      </c>
      <c r="E3" s="854"/>
      <c r="F3" s="1743"/>
      <c r="G3" s="3177"/>
      <c r="H3" s="3178"/>
      <c r="I3" s="3177"/>
      <c r="J3" s="3177"/>
      <c r="K3" s="3193"/>
      <c r="L3" s="3190"/>
      <c r="M3" s="3191"/>
      <c r="N3" s="3192"/>
      <c r="O3" s="2483"/>
      <c r="P3" s="1741"/>
      <c r="Q3" s="1742"/>
      <c r="R3" s="1742"/>
      <c r="S3" s="1742"/>
      <c r="T3" s="1742"/>
      <c r="U3" s="1742"/>
      <c r="V3" s="1742"/>
      <c r="W3" s="1742"/>
      <c r="X3" s="1742"/>
      <c r="Y3" s="1742"/>
      <c r="Z3" s="1742"/>
      <c r="AA3" s="1742"/>
      <c r="AB3" s="1742"/>
      <c r="AC3" s="998"/>
    </row>
    <row r="4" spans="1:29" ht="15">
      <c r="A4" s="345" t="s">
        <v>1664</v>
      </c>
      <c r="B4" s="346"/>
      <c r="C4" s="3520" t="s">
        <v>1665</v>
      </c>
      <c r="D4" s="3521"/>
      <c r="E4" s="3522" t="s">
        <v>1666</v>
      </c>
      <c r="F4" s="3523"/>
      <c r="G4" s="3520" t="s">
        <v>1667</v>
      </c>
      <c r="H4" s="3521"/>
      <c r="I4" s="3520" t="s">
        <v>1668</v>
      </c>
      <c r="J4" s="3521"/>
      <c r="K4" s="1744" t="s">
        <v>1669</v>
      </c>
      <c r="L4" s="2484"/>
      <c r="M4" s="2485"/>
      <c r="N4" s="2485"/>
      <c r="O4" s="2485"/>
      <c r="P4" s="3524" t="s">
        <v>1670</v>
      </c>
      <c r="Q4" s="3525"/>
      <c r="R4" s="3510" t="s">
        <v>1666</v>
      </c>
      <c r="S4" s="3511"/>
      <c r="T4" s="3510" t="s">
        <v>1667</v>
      </c>
      <c r="U4" s="3511"/>
      <c r="V4" s="3494" t="s">
        <v>1668</v>
      </c>
      <c r="W4" s="3494"/>
      <c r="X4" s="1265"/>
      <c r="Y4" s="3510" t="s">
        <v>1670</v>
      </c>
      <c r="Z4" s="3511"/>
      <c r="AA4" s="3516" t="s">
        <v>1666</v>
      </c>
      <c r="AB4" s="3516" t="s">
        <v>1667</v>
      </c>
      <c r="AC4" s="3516" t="s">
        <v>1668</v>
      </c>
    </row>
    <row r="5" spans="1:29" ht="15">
      <c r="A5" s="348"/>
      <c r="B5" s="349"/>
      <c r="C5" s="3530" t="s">
        <v>1671</v>
      </c>
      <c r="D5" s="3531"/>
      <c r="E5" s="3532" t="str">
        <f>成交案例!A2</f>
        <v>建欣苑一里</v>
      </c>
      <c r="F5" s="3533"/>
      <c r="G5" s="3530" t="str">
        <f>成交案例!A2</f>
        <v>建欣苑一里</v>
      </c>
      <c r="H5" s="3531"/>
      <c r="I5" s="3530" t="str">
        <f>成交案例!A2</f>
        <v>建欣苑一里</v>
      </c>
      <c r="J5" s="3531"/>
      <c r="K5" s="1745"/>
      <c r="L5" s="2484"/>
      <c r="M5" s="2485"/>
      <c r="N5" s="2485"/>
      <c r="O5" s="2485"/>
      <c r="P5" s="3526"/>
      <c r="Q5" s="3527"/>
      <c r="R5" s="3512"/>
      <c r="S5" s="3513"/>
      <c r="T5" s="3512"/>
      <c r="U5" s="3513"/>
      <c r="V5" s="3494"/>
      <c r="W5" s="3494"/>
      <c r="X5" s="1265"/>
      <c r="Y5" s="3512"/>
      <c r="Z5" s="3513"/>
      <c r="AA5" s="3517"/>
      <c r="AB5" s="3517"/>
      <c r="AC5" s="3517"/>
    </row>
    <row r="6" spans="1:29" ht="15.75" customHeight="1" thickBot="1">
      <c r="A6" s="350"/>
      <c r="B6" s="351"/>
      <c r="C6" s="3534" t="s">
        <v>1675</v>
      </c>
      <c r="D6" s="3535"/>
      <c r="E6" s="3538" t="s">
        <v>3419</v>
      </c>
      <c r="F6" s="3537"/>
      <c r="G6" s="3534" t="str">
        <f>E6</f>
        <v>丰台区大红门春泽路</v>
      </c>
      <c r="H6" s="3535"/>
      <c r="I6" s="3534" t="str">
        <f>E6</f>
        <v>丰台区大红门春泽路</v>
      </c>
      <c r="J6" s="3535"/>
      <c r="K6" s="1745"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f>成交案例!G15</f>
        <v>44966</v>
      </c>
      <c r="F7" s="357">
        <f>SUMIF(58:58,YEAR(E7)&amp;"-"&amp;MONTH(E7),59:59)</f>
        <v>100.3167</v>
      </c>
      <c r="G7" s="356">
        <f>成交案例!G17</f>
        <v>44880</v>
      </c>
      <c r="H7" s="355">
        <f>SUMIF(58:58,YEAR(G7)&amp;"-"&amp;MONTH(G7),59:59)</f>
        <v>98.440899999999999</v>
      </c>
      <c r="I7" s="356">
        <f>成交案例!G14</f>
        <v>44969</v>
      </c>
      <c r="J7" s="355">
        <f>SUMIF(58:58,YEAR(I7)&amp;"-"&amp;MONTH(I7),59:59)</f>
        <v>100.3167</v>
      </c>
      <c r="K7" s="1746"/>
      <c r="L7" s="2486"/>
      <c r="M7" s="2437"/>
      <c r="N7" s="2437"/>
      <c r="O7" s="2437"/>
      <c r="P7" s="3507" t="s">
        <v>1678</v>
      </c>
      <c r="Q7" s="3519"/>
      <c r="R7" s="664" t="s">
        <v>20</v>
      </c>
      <c r="S7" s="665">
        <f t="shared" ref="S7:S15" si="0">F7</f>
        <v>100.3167</v>
      </c>
      <c r="T7" s="664" t="s">
        <v>20</v>
      </c>
      <c r="U7" s="665">
        <f t="shared" ref="U7:U15" si="1">H7</f>
        <v>98.440899999999999</v>
      </c>
      <c r="V7" s="664" t="s">
        <v>20</v>
      </c>
      <c r="W7" s="665">
        <f t="shared" ref="W7:W15" si="2">J7</f>
        <v>100.3167</v>
      </c>
      <c r="X7" s="666"/>
      <c r="Y7" s="3507" t="s">
        <v>1678</v>
      </c>
      <c r="Z7" s="3508"/>
      <c r="AA7" s="50">
        <f>D7/F7</f>
        <v>0.99684299822462263</v>
      </c>
      <c r="AB7" s="50">
        <f>D7/H7</f>
        <v>1.0158379291534312</v>
      </c>
      <c r="AC7" s="50">
        <f>D7/J7</f>
        <v>0.99684299822462263</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07" t="s">
        <v>1681</v>
      </c>
      <c r="Q8" s="3508"/>
      <c r="R8" s="664" t="s">
        <v>20</v>
      </c>
      <c r="S8" s="665">
        <f t="shared" si="0"/>
        <v>100</v>
      </c>
      <c r="T8" s="664" t="s">
        <v>20</v>
      </c>
      <c r="U8" s="665">
        <f t="shared" si="1"/>
        <v>100</v>
      </c>
      <c r="V8" s="664" t="s">
        <v>20</v>
      </c>
      <c r="W8" s="665">
        <f t="shared" si="2"/>
        <v>100</v>
      </c>
      <c r="X8" s="666"/>
      <c r="Y8" s="3507" t="s">
        <v>1681</v>
      </c>
      <c r="Z8" s="3508"/>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09"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0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09"/>
      <c r="Q11" s="530" t="str">
        <f t="shared" si="6"/>
        <v>容积率</v>
      </c>
      <c r="R11" s="664" t="s">
        <v>18</v>
      </c>
      <c r="S11" s="665">
        <f t="shared" si="0"/>
        <v>100</v>
      </c>
      <c r="T11" s="664" t="s">
        <v>18</v>
      </c>
      <c r="U11" s="665">
        <f t="shared" si="1"/>
        <v>100</v>
      </c>
      <c r="V11" s="664" t="s">
        <v>18</v>
      </c>
      <c r="W11" s="665">
        <f t="shared" si="2"/>
        <v>100</v>
      </c>
      <c r="X11" s="666"/>
      <c r="Y11" s="3371"/>
      <c r="Z11" s="50" t="str">
        <f t="shared" si="7"/>
        <v>容积率</v>
      </c>
      <c r="AA11" s="50">
        <f t="shared" si="3"/>
        <v>1</v>
      </c>
      <c r="AB11" s="50">
        <f t="shared" si="4"/>
        <v>1</v>
      </c>
      <c r="AC11" s="50">
        <f t="shared" si="5"/>
        <v>1</v>
      </c>
    </row>
    <row r="12" spans="1:29" s="102" customFormat="1" ht="15">
      <c r="A12" s="370"/>
      <c r="B12" s="3148" t="s">
        <v>3464</v>
      </c>
      <c r="C12" s="3168" t="s">
        <v>3447</v>
      </c>
      <c r="D12" s="372">
        <v>100</v>
      </c>
      <c r="E12" s="3168" t="s">
        <v>3447</v>
      </c>
      <c r="F12" s="364">
        <f>SUMIF(70:70,E12,71:71)-SUMIF(70:70,C12,71:71)+100</f>
        <v>100</v>
      </c>
      <c r="G12" s="3168" t="s">
        <v>3447</v>
      </c>
      <c r="H12" s="119">
        <f>SUMIF(70:70,G12,71:71)-SUMIF(70:70,C12,71:71)+100</f>
        <v>100</v>
      </c>
      <c r="I12" s="3168" t="s">
        <v>3447</v>
      </c>
      <c r="J12" s="119">
        <f>SUMIF(70:70,I12,71:71)-SUMIF(70:70,C12,71:71)+100</f>
        <v>100</v>
      </c>
      <c r="K12" s="1748"/>
      <c r="L12" s="2486"/>
      <c r="M12" s="2437"/>
      <c r="N12" s="2437"/>
      <c r="O12" s="2437"/>
      <c r="P12" s="3509"/>
      <c r="Q12" s="530" t="str">
        <f t="shared" si="6"/>
        <v>产权性质</v>
      </c>
      <c r="R12" s="664" t="s">
        <v>18</v>
      </c>
      <c r="S12" s="665">
        <f t="shared" si="0"/>
        <v>100</v>
      </c>
      <c r="T12" s="664" t="s">
        <v>18</v>
      </c>
      <c r="U12" s="665">
        <f t="shared" si="1"/>
        <v>100</v>
      </c>
      <c r="V12" s="664" t="s">
        <v>18</v>
      </c>
      <c r="W12" s="665">
        <f t="shared" si="2"/>
        <v>100</v>
      </c>
      <c r="X12" s="666"/>
      <c r="Y12" s="3371"/>
      <c r="Z12" s="50" t="str">
        <f t="shared" si="7"/>
        <v>产权性质</v>
      </c>
      <c r="AA12" s="50">
        <f>D12/F12</f>
        <v>1</v>
      </c>
      <c r="AB12" s="50">
        <f>D12/H12</f>
        <v>1</v>
      </c>
      <c r="AC12" s="50">
        <f>D12/J12</f>
        <v>1</v>
      </c>
    </row>
    <row r="13" spans="1:29" ht="15">
      <c r="A13" s="367"/>
      <c r="B13" s="3148" t="s">
        <v>3462</v>
      </c>
      <c r="C13" s="3174" t="s">
        <v>3463</v>
      </c>
      <c r="D13" s="374">
        <v>100</v>
      </c>
      <c r="E13" s="3174" t="s">
        <v>3463</v>
      </c>
      <c r="F13" s="364">
        <f>SUMIF(72:72,E13,73:73)-SUMIF(72:72,C13,73:73)+100</f>
        <v>100</v>
      </c>
      <c r="G13" s="3174" t="s">
        <v>3463</v>
      </c>
      <c r="H13" s="374">
        <f>SUMIF(72:72,G13,73:73)-SUMIF(72:72,C13,73:73)+100</f>
        <v>100</v>
      </c>
      <c r="I13" s="3174" t="s">
        <v>3463</v>
      </c>
      <c r="J13" s="374">
        <f>SUMIF(72:72,I13,73:73)-SUMIF(72:72,C13,73:73)+100</f>
        <v>100</v>
      </c>
      <c r="K13" s="1748"/>
      <c r="L13" s="2490"/>
      <c r="M13" s="2485"/>
      <c r="N13" s="2485"/>
      <c r="O13" s="2485"/>
      <c r="P13" s="3509"/>
      <c r="Q13" s="530" t="str">
        <f t="shared" si="6"/>
        <v>其他权利情况</v>
      </c>
      <c r="R13" s="664" t="s">
        <v>18</v>
      </c>
      <c r="S13" s="665">
        <f t="shared" si="0"/>
        <v>100</v>
      </c>
      <c r="T13" s="664" t="s">
        <v>18</v>
      </c>
      <c r="U13" s="665">
        <f t="shared" si="1"/>
        <v>100</v>
      </c>
      <c r="V13" s="664" t="s">
        <v>18</v>
      </c>
      <c r="W13" s="665">
        <f t="shared" si="2"/>
        <v>100</v>
      </c>
      <c r="X13" s="666"/>
      <c r="Y13" s="3371"/>
      <c r="Z13" s="50" t="str">
        <f t="shared" si="7"/>
        <v>其他权利情况</v>
      </c>
      <c r="AA13" s="50">
        <f t="shared" si="3"/>
        <v>1</v>
      </c>
      <c r="AB13" s="50">
        <f t="shared" si="4"/>
        <v>1</v>
      </c>
      <c r="AC13" s="50">
        <f t="shared" si="5"/>
        <v>1</v>
      </c>
    </row>
    <row r="14" spans="1:29" ht="15.75" thickBot="1">
      <c r="A14" s="375"/>
      <c r="B14" s="3175" t="s">
        <v>3470</v>
      </c>
      <c r="C14" s="3176"/>
      <c r="D14" s="377">
        <v>100</v>
      </c>
      <c r="E14" s="3176">
        <f>成交案例!P15</f>
        <v>2001</v>
      </c>
      <c r="F14" s="378">
        <f>SUMIF(74:74,E14,75:75)-SUMIF(74:74,C14,75:75)+100</f>
        <v>100</v>
      </c>
      <c r="G14" s="3176">
        <f>成交案例!P16</f>
        <v>2001</v>
      </c>
      <c r="H14" s="377">
        <f>SUMIF(74:74,G14,75:75)-SUMIF(74:74,C14,75:75)+100</f>
        <v>100</v>
      </c>
      <c r="I14" s="3176">
        <f>成交案例!P14</f>
        <v>2001</v>
      </c>
      <c r="J14" s="377">
        <f>SUMIF(74:74,I14,75:75)-SUMIF(74:74,C14,75:75)+100</f>
        <v>100</v>
      </c>
      <c r="K14" s="1748"/>
      <c r="L14" s="2490"/>
      <c r="M14" s="2485"/>
      <c r="N14" s="2485"/>
      <c r="O14" s="2485"/>
      <c r="P14" s="3509"/>
      <c r="Q14" s="530" t="str">
        <f t="shared" si="6"/>
        <v>建成年代</v>
      </c>
      <c r="R14" s="664" t="s">
        <v>18</v>
      </c>
      <c r="S14" s="665">
        <f t="shared" si="0"/>
        <v>100</v>
      </c>
      <c r="T14" s="664" t="s">
        <v>18</v>
      </c>
      <c r="U14" s="665">
        <f t="shared" si="1"/>
        <v>100</v>
      </c>
      <c r="V14" s="664" t="s">
        <v>18</v>
      </c>
      <c r="W14" s="665">
        <f t="shared" si="2"/>
        <v>100</v>
      </c>
      <c r="X14" s="666"/>
      <c r="Y14" s="3371"/>
      <c r="Z14" s="50" t="str">
        <f t="shared" si="7"/>
        <v>建成年代</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98" t="s">
        <v>1689</v>
      </c>
      <c r="Q15" s="1263" t="str">
        <f t="shared" si="6"/>
        <v>居住社区成熟度</v>
      </c>
      <c r="R15" s="667" t="s">
        <v>18</v>
      </c>
      <c r="S15" s="668">
        <f t="shared" si="0"/>
        <v>100</v>
      </c>
      <c r="T15" s="667" t="s">
        <v>18</v>
      </c>
      <c r="U15" s="668">
        <f t="shared" si="1"/>
        <v>100</v>
      </c>
      <c r="V15" s="667" t="s">
        <v>18</v>
      </c>
      <c r="W15" s="668">
        <f t="shared" si="2"/>
        <v>100</v>
      </c>
      <c r="X15" s="1265"/>
      <c r="Y15" s="3500"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99"/>
      <c r="Q16" s="1263"/>
      <c r="R16" s="667"/>
      <c r="S16" s="668"/>
      <c r="T16" s="667"/>
      <c r="U16" s="668"/>
      <c r="V16" s="667"/>
      <c r="W16" s="668"/>
      <c r="X16" s="1265"/>
      <c r="Y16" s="3501"/>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99"/>
      <c r="Q17" s="1263" t="str">
        <f>B17</f>
        <v>交通便捷度</v>
      </c>
      <c r="R17" s="667" t="s">
        <v>18</v>
      </c>
      <c r="S17" s="668">
        <f>F17</f>
        <v>100</v>
      </c>
      <c r="T17" s="667" t="s">
        <v>18</v>
      </c>
      <c r="U17" s="668">
        <f>H17</f>
        <v>100</v>
      </c>
      <c r="V17" s="667" t="s">
        <v>18</v>
      </c>
      <c r="W17" s="668">
        <f>J17</f>
        <v>100</v>
      </c>
      <c r="X17" s="1265"/>
      <c r="Y17" s="350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99"/>
      <c r="Q18" s="1263"/>
      <c r="R18" s="667"/>
      <c r="S18" s="668"/>
      <c r="T18" s="667"/>
      <c r="U18" s="668"/>
      <c r="V18" s="667"/>
      <c r="W18" s="668"/>
      <c r="X18" s="1265"/>
      <c r="Y18" s="3501"/>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99"/>
      <c r="Q19" s="1263" t="str">
        <f>B19</f>
        <v>公共配套设施</v>
      </c>
      <c r="R19" s="667" t="s">
        <v>18</v>
      </c>
      <c r="S19" s="668">
        <f>F19</f>
        <v>100</v>
      </c>
      <c r="T19" s="667" t="s">
        <v>18</v>
      </c>
      <c r="U19" s="668">
        <f>H19</f>
        <v>100</v>
      </c>
      <c r="V19" s="667" t="s">
        <v>18</v>
      </c>
      <c r="W19" s="668">
        <f>J19</f>
        <v>100</v>
      </c>
      <c r="X19" s="1265"/>
      <c r="Y19" s="350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99"/>
      <c r="Q20" s="1263"/>
      <c r="R20" s="667"/>
      <c r="S20" s="668"/>
      <c r="T20" s="667"/>
      <c r="U20" s="668"/>
      <c r="V20" s="667"/>
      <c r="W20" s="668"/>
      <c r="X20" s="1265"/>
      <c r="Y20" s="3501"/>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99"/>
      <c r="Q21" s="1263" t="str">
        <f>B21</f>
        <v>基础设施水平</v>
      </c>
      <c r="R21" s="667" t="s">
        <v>14</v>
      </c>
      <c r="S21" s="668">
        <f>F21</f>
        <v>100</v>
      </c>
      <c r="T21" s="667" t="s">
        <v>14</v>
      </c>
      <c r="U21" s="668">
        <f>H21</f>
        <v>100</v>
      </c>
      <c r="V21" s="667" t="s">
        <v>14</v>
      </c>
      <c r="W21" s="668">
        <f>J21</f>
        <v>100</v>
      </c>
      <c r="X21" s="1265"/>
      <c r="Y21" s="35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99"/>
      <c r="Q22" s="1263"/>
      <c r="R22" s="667"/>
      <c r="S22" s="668"/>
      <c r="T22" s="667"/>
      <c r="U22" s="668"/>
      <c r="V22" s="667"/>
      <c r="W22" s="668"/>
      <c r="X22" s="1265"/>
      <c r="Y22" s="3501"/>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99"/>
      <c r="Q23" s="1263" t="str">
        <f>B23</f>
        <v>自然及人文环境</v>
      </c>
      <c r="R23" s="667" t="s">
        <v>18</v>
      </c>
      <c r="S23" s="668">
        <f>F23</f>
        <v>100</v>
      </c>
      <c r="T23" s="667" t="s">
        <v>18</v>
      </c>
      <c r="U23" s="668">
        <f>H23</f>
        <v>100</v>
      </c>
      <c r="V23" s="667" t="s">
        <v>18</v>
      </c>
      <c r="W23" s="668">
        <f>J23</f>
        <v>100</v>
      </c>
      <c r="X23" s="1265"/>
      <c r="Y23" s="350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99"/>
      <c r="Q24" s="1263"/>
      <c r="R24" s="667"/>
      <c r="S24" s="668"/>
      <c r="T24" s="667"/>
      <c r="U24" s="668"/>
      <c r="V24" s="667"/>
      <c r="W24" s="668"/>
      <c r="X24" s="1265"/>
      <c r="Y24" s="3501"/>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85"/>
      <c r="M25" s="2485"/>
      <c r="N25" s="2485"/>
      <c r="O25" s="2485"/>
      <c r="P25" s="34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01"/>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3394</v>
      </c>
      <c r="F26" s="374">
        <f>SUMIF(88:88,E26,89:89)-SUMIF(88:88,C26,89:89)+100</f>
        <v>100</v>
      </c>
      <c r="G26" s="399" t="s">
        <v>3394</v>
      </c>
      <c r="H26" s="374">
        <f>SUMIF(88:88,G26,89:89)-SUMIF(88:88,C26,89:89)+100</f>
        <v>100</v>
      </c>
      <c r="I26" s="399" t="s">
        <v>3394</v>
      </c>
      <c r="J26" s="374">
        <f>SUMIF(88:88,I26,89:89)-SUMIF(88:88,C26,89:89)+100</f>
        <v>100</v>
      </c>
      <c r="K26" s="365">
        <f>'比较法-住宅（标准房屋）'!K26</f>
        <v>0.5</v>
      </c>
      <c r="L26" s="2485"/>
      <c r="M26" s="2485"/>
      <c r="N26" s="2485"/>
      <c r="O26" s="2485"/>
      <c r="P26" s="3499"/>
      <c r="Q26" s="1263" t="str">
        <f t="shared" si="11"/>
        <v>朝向</v>
      </c>
      <c r="R26" s="667" t="s">
        <v>18</v>
      </c>
      <c r="S26" s="668">
        <f t="shared" si="12"/>
        <v>100</v>
      </c>
      <c r="T26" s="667" t="s">
        <v>18</v>
      </c>
      <c r="U26" s="668">
        <f t="shared" si="13"/>
        <v>100</v>
      </c>
      <c r="V26" s="667" t="s">
        <v>18</v>
      </c>
      <c r="W26" s="668">
        <f t="shared" si="14"/>
        <v>100</v>
      </c>
      <c r="X26" s="1265"/>
      <c r="Y26" s="3501"/>
      <c r="Z26" s="1264" t="str">
        <f>Q26</f>
        <v>朝向</v>
      </c>
      <c r="AA26" s="1264">
        <f t="shared" si="15"/>
        <v>1</v>
      </c>
      <c r="AB26" s="1264">
        <f t="shared" si="16"/>
        <v>1</v>
      </c>
      <c r="AC26" s="1264">
        <f t="shared" si="17"/>
        <v>1</v>
      </c>
    </row>
    <row r="27" spans="1:29" s="102" customFormat="1" ht="15">
      <c r="A27" s="370"/>
      <c r="B27" s="3169" t="s">
        <v>3450</v>
      </c>
      <c r="C27" s="3170" t="s">
        <v>3440</v>
      </c>
      <c r="D27" s="401">
        <v>100</v>
      </c>
      <c r="E27" s="3633" t="str">
        <f>成交案例!J15</f>
        <v>中层</v>
      </c>
      <c r="F27" s="401">
        <f>SUMIF(90:90,E27,91:91)-SUMIF(90:90,C27,91:91)+100</f>
        <v>101.5</v>
      </c>
      <c r="G27" s="3633" t="str">
        <f>成交案例!J17</f>
        <v>底层</v>
      </c>
      <c r="H27" s="401">
        <f>SUMIF(90:90,G27,91:91)-SUMIF(90:90,C27,91:91)+100</f>
        <v>99</v>
      </c>
      <c r="I27" s="3633" t="str">
        <f>成交案例!J14</f>
        <v>低层</v>
      </c>
      <c r="J27" s="401">
        <f>SUMIF(90:90,I27,91:91)-SUMIF(90:90,C27,91:91)+100</f>
        <v>100</v>
      </c>
      <c r="K27" s="1748"/>
      <c r="L27" s="2485"/>
      <c r="M27" s="2485"/>
      <c r="N27" s="2437"/>
      <c r="O27" s="2437"/>
      <c r="P27" s="3499"/>
      <c r="Q27" s="530" t="str">
        <f t="shared" si="11"/>
        <v>楼层</v>
      </c>
      <c r="R27" s="664" t="s">
        <v>18</v>
      </c>
      <c r="S27" s="665">
        <f t="shared" si="12"/>
        <v>101.5</v>
      </c>
      <c r="T27" s="664" t="s">
        <v>18</v>
      </c>
      <c r="U27" s="665">
        <f t="shared" si="13"/>
        <v>99</v>
      </c>
      <c r="V27" s="664" t="s">
        <v>18</v>
      </c>
      <c r="W27" s="665">
        <f t="shared" si="14"/>
        <v>100</v>
      </c>
      <c r="X27" s="666"/>
      <c r="Y27" s="3501"/>
      <c r="Z27" s="50" t="str">
        <f>Q27</f>
        <v>楼层</v>
      </c>
      <c r="AA27" s="1264">
        <f t="shared" si="15"/>
        <v>0.98522167487684731</v>
      </c>
      <c r="AB27" s="1264">
        <f t="shared" si="16"/>
        <v>1.0101010101010102</v>
      </c>
      <c r="AC27" s="1264">
        <f t="shared" si="17"/>
        <v>1</v>
      </c>
    </row>
    <row r="28" spans="1:29" ht="15">
      <c r="A28" s="367"/>
      <c r="B28" s="3145"/>
      <c r="C28" s="373"/>
      <c r="D28" s="374">
        <v>100</v>
      </c>
      <c r="E28" s="3634" t="str">
        <f>成交案例!L15</f>
        <v>东西</v>
      </c>
      <c r="F28" s="374">
        <f>SUMIF(92:92,E28,93:93)-SUMIF(92:92,C28,93:93)+100</f>
        <v>100</v>
      </c>
      <c r="G28" s="3635" t="str">
        <f>成交案例!L17</f>
        <v>东西</v>
      </c>
      <c r="H28" s="374">
        <f>SUMIF(92:92,G28,93:93)-SUMIF(92:92,C28,93:93)+100</f>
        <v>100</v>
      </c>
      <c r="I28" s="3634" t="str">
        <f>成交案例!L14</f>
        <v>东西</v>
      </c>
      <c r="J28" s="374">
        <f>SUMIF(92:92,I28,93:93)-SUMIF(92:92,C28,93:93)+100</f>
        <v>100</v>
      </c>
      <c r="K28" s="1748"/>
      <c r="L28" s="2485"/>
      <c r="M28" s="2485"/>
      <c r="N28" s="2485"/>
      <c r="O28" s="2485"/>
      <c r="P28" s="3499"/>
      <c r="Q28" s="1263">
        <f t="shared" si="11"/>
        <v>0</v>
      </c>
      <c r="R28" s="667" t="s">
        <v>18</v>
      </c>
      <c r="S28" s="668">
        <f t="shared" si="12"/>
        <v>100</v>
      </c>
      <c r="T28" s="667" t="s">
        <v>18</v>
      </c>
      <c r="U28" s="668">
        <f t="shared" si="13"/>
        <v>100</v>
      </c>
      <c r="V28" s="667" t="s">
        <v>18</v>
      </c>
      <c r="W28" s="668">
        <f t="shared" si="14"/>
        <v>100</v>
      </c>
      <c r="X28" s="1265"/>
      <c r="Y28" s="3501"/>
      <c r="Z28" s="1264">
        <f t="shared" ref="Z28:Z46" si="18">Q28</f>
        <v>0</v>
      </c>
      <c r="AA28" s="1264">
        <f t="shared" si="15"/>
        <v>1</v>
      </c>
      <c r="AB28" s="1264">
        <f t="shared" si="16"/>
        <v>1</v>
      </c>
      <c r="AC28" s="1264">
        <f t="shared" si="17"/>
        <v>1</v>
      </c>
    </row>
    <row r="29" spans="1:29" ht="15">
      <c r="A29" s="367"/>
      <c r="B29" s="3145"/>
      <c r="C29" s="373"/>
      <c r="D29" s="374">
        <v>100</v>
      </c>
      <c r="E29" s="3634" t="str">
        <f>成交案例!N15</f>
        <v>简装</v>
      </c>
      <c r="F29" s="374">
        <f>SUMIF(94:94,E29,95:95)-SUMIF(94:94,C29,95:95)+100</f>
        <v>100</v>
      </c>
      <c r="G29" s="3635" t="str">
        <f>成交案例!N17</f>
        <v>简装</v>
      </c>
      <c r="H29" s="374">
        <f>SUMIF(94:94,G29,95:95)-SUMIF(94:94,C29,95:95)+100</f>
        <v>100</v>
      </c>
      <c r="I29" s="3634" t="str">
        <f>成交案例!N14</f>
        <v>简装</v>
      </c>
      <c r="J29" s="374">
        <f>SUMIF(94:94,I29,95:95)-SUMIF(94:94,C29,95:95)+100</f>
        <v>100</v>
      </c>
      <c r="K29" s="1748"/>
      <c r="L29" s="2485"/>
      <c r="M29" s="2485"/>
      <c r="N29" s="2485"/>
      <c r="O29" s="2485"/>
      <c r="P29" s="3499"/>
      <c r="Q29" s="1263">
        <f t="shared" si="11"/>
        <v>0</v>
      </c>
      <c r="R29" s="667" t="s">
        <v>18</v>
      </c>
      <c r="S29" s="668">
        <f t="shared" si="12"/>
        <v>100</v>
      </c>
      <c r="T29" s="667" t="s">
        <v>18</v>
      </c>
      <c r="U29" s="668">
        <f t="shared" si="13"/>
        <v>100</v>
      </c>
      <c r="V29" s="667" t="s">
        <v>18</v>
      </c>
      <c r="W29" s="668">
        <f t="shared" si="14"/>
        <v>100</v>
      </c>
      <c r="X29" s="1265"/>
      <c r="Y29" s="3501"/>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5"/>
      <c r="M30" s="2485"/>
      <c r="N30" s="2485"/>
      <c r="O30" s="2485"/>
      <c r="P30" s="3499"/>
      <c r="Q30" s="1263">
        <f t="shared" si="11"/>
        <v>0</v>
      </c>
      <c r="R30" s="667" t="s">
        <v>18</v>
      </c>
      <c r="S30" s="668">
        <f t="shared" si="12"/>
        <v>100</v>
      </c>
      <c r="T30" s="667" t="s">
        <v>18</v>
      </c>
      <c r="U30" s="668">
        <f t="shared" si="13"/>
        <v>100</v>
      </c>
      <c r="V30" s="667" t="s">
        <v>18</v>
      </c>
      <c r="W30" s="668">
        <f t="shared" si="14"/>
        <v>100</v>
      </c>
      <c r="X30" s="1265"/>
      <c r="Y30" s="3501"/>
      <c r="Z30" s="1264">
        <f t="shared" si="18"/>
        <v>0</v>
      </c>
      <c r="AA30" s="1264">
        <f t="shared" si="15"/>
        <v>1</v>
      </c>
      <c r="AB30" s="1264">
        <f t="shared" si="16"/>
        <v>1</v>
      </c>
      <c r="AC30" s="1264">
        <f t="shared" si="17"/>
        <v>1</v>
      </c>
    </row>
    <row r="31" spans="1:29" ht="15.75" thickBot="1">
      <c r="A31" s="375"/>
      <c r="B31" s="1066"/>
      <c r="C31" s="376"/>
      <c r="D31" s="377">
        <v>100</v>
      </c>
      <c r="E31" s="376"/>
      <c r="F31" s="377">
        <f>SUMIF(98:98,E31,99:99)-SUMIF(98:98,C31,99:99)+100</f>
        <v>100</v>
      </c>
      <c r="G31" s="3203"/>
      <c r="H31" s="377">
        <f>SUMIF(98:98,G31,99:99)-SUMIF(98:98,C31,99:99)+100</f>
        <v>100</v>
      </c>
      <c r="I31" s="376"/>
      <c r="J31" s="377">
        <f>SUMIF(98:98,I31,99:99)-SUMIF(98:98,C31,99:99)+100</f>
        <v>100</v>
      </c>
      <c r="K31" s="1748"/>
      <c r="L31" s="2485"/>
      <c r="M31" s="2485"/>
      <c r="N31" s="2485"/>
      <c r="O31" s="2485"/>
      <c r="P31" s="3499"/>
      <c r="Q31" s="1263">
        <f t="shared" si="11"/>
        <v>0</v>
      </c>
      <c r="R31" s="667" t="s">
        <v>18</v>
      </c>
      <c r="S31" s="668">
        <f t="shared" si="12"/>
        <v>100</v>
      </c>
      <c r="T31" s="667" t="s">
        <v>18</v>
      </c>
      <c r="U31" s="668">
        <f t="shared" si="13"/>
        <v>100</v>
      </c>
      <c r="V31" s="667" t="s">
        <v>18</v>
      </c>
      <c r="W31" s="668">
        <f t="shared" si="14"/>
        <v>100</v>
      </c>
      <c r="X31" s="1265"/>
      <c r="Y31" s="3501"/>
      <c r="Z31" s="1264">
        <f t="shared" si="18"/>
        <v>0</v>
      </c>
      <c r="AA31" s="1264">
        <f t="shared" si="15"/>
        <v>1</v>
      </c>
      <c r="AB31" s="1264">
        <f t="shared" si="16"/>
        <v>1</v>
      </c>
      <c r="AC31" s="1264">
        <f t="shared" si="17"/>
        <v>1</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85"/>
      <c r="M32" s="2485"/>
      <c r="N32" s="2485"/>
      <c r="O32" s="2485"/>
      <c r="P32" s="3502" t="s">
        <v>1694</v>
      </c>
      <c r="Q32" s="1263" t="str">
        <f t="shared" si="11"/>
        <v>建筑类型</v>
      </c>
      <c r="R32" s="667" t="s">
        <v>18</v>
      </c>
      <c r="S32" s="668">
        <f t="shared" si="12"/>
        <v>100</v>
      </c>
      <c r="T32" s="667" t="s">
        <v>18</v>
      </c>
      <c r="U32" s="668">
        <f t="shared" si="13"/>
        <v>100</v>
      </c>
      <c r="V32" s="667" t="s">
        <v>18</v>
      </c>
      <c r="W32" s="668">
        <f t="shared" si="14"/>
        <v>100</v>
      </c>
      <c r="X32" s="1265"/>
      <c r="Y32" s="350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f>成交案例!B15</f>
        <v>59.48</v>
      </c>
      <c r="F33" s="364">
        <f>LOOKUP(E33,103:103,104:104)-LOOKUP(C33,103:103,104:104)+100</f>
        <v>100</v>
      </c>
      <c r="G33" s="368">
        <f>成交案例!B17</f>
        <v>64.64</v>
      </c>
      <c r="H33" s="119">
        <f>LOOKUP(G33,103:103,104:104)-LOOKUP(C33,103:103,104:104)+100</f>
        <v>100</v>
      </c>
      <c r="I33" s="369">
        <f>成交案例!B14</f>
        <v>65.31</v>
      </c>
      <c r="J33" s="119">
        <f>LOOKUP(I33,103:103,104:104)-LOOKUP(C33,103:103,104:104)+100</f>
        <v>100</v>
      </c>
      <c r="K33" s="1748"/>
      <c r="L33" s="2485"/>
      <c r="M33" s="2485"/>
      <c r="N33" s="2491"/>
      <c r="O33" s="2491"/>
      <c r="P33" s="3503"/>
      <c r="Q33" s="531" t="str">
        <f t="shared" si="11"/>
        <v>项目建筑规模</v>
      </c>
      <c r="R33" s="669" t="s">
        <v>18</v>
      </c>
      <c r="S33" s="670">
        <f t="shared" si="12"/>
        <v>100</v>
      </c>
      <c r="T33" s="669" t="s">
        <v>18</v>
      </c>
      <c r="U33" s="670">
        <f t="shared" si="13"/>
        <v>100</v>
      </c>
      <c r="V33" s="669" t="s">
        <v>18</v>
      </c>
      <c r="W33" s="670">
        <f t="shared" si="14"/>
        <v>100</v>
      </c>
      <c r="X33" s="671"/>
      <c r="Y33" s="3505"/>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85"/>
      <c r="M34" s="2485"/>
      <c r="N34" s="2485"/>
      <c r="O34" s="2485"/>
      <c r="P34" s="3503"/>
      <c r="Q34" s="1263" t="str">
        <f t="shared" si="11"/>
        <v>建筑结构</v>
      </c>
      <c r="R34" s="667" t="s">
        <v>18</v>
      </c>
      <c r="S34" s="668">
        <f t="shared" si="12"/>
        <v>100</v>
      </c>
      <c r="T34" s="667" t="s">
        <v>18</v>
      </c>
      <c r="U34" s="668">
        <f t="shared" si="13"/>
        <v>100</v>
      </c>
      <c r="V34" s="667" t="s">
        <v>18</v>
      </c>
      <c r="W34" s="668">
        <f t="shared" si="14"/>
        <v>100</v>
      </c>
      <c r="X34" s="1265"/>
      <c r="Y34" s="3505"/>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85"/>
      <c r="M35" s="2485"/>
      <c r="N35" s="2485"/>
      <c r="O35" s="2485"/>
      <c r="P35" s="3503"/>
      <c r="Q35" s="1263" t="str">
        <f t="shared" si="11"/>
        <v>建筑品质</v>
      </c>
      <c r="R35" s="667" t="s">
        <v>18</v>
      </c>
      <c r="S35" s="668">
        <f t="shared" si="12"/>
        <v>100</v>
      </c>
      <c r="T35" s="667" t="s">
        <v>18</v>
      </c>
      <c r="U35" s="668">
        <f t="shared" si="13"/>
        <v>100</v>
      </c>
      <c r="V35" s="667" t="s">
        <v>18</v>
      </c>
      <c r="W35" s="668">
        <f t="shared" si="14"/>
        <v>100</v>
      </c>
      <c r="X35" s="1265"/>
      <c r="Y35" s="3505"/>
      <c r="Z35" s="1264" t="str">
        <f t="shared" si="18"/>
        <v>建筑品质</v>
      </c>
      <c r="AA35" s="1264">
        <f t="shared" si="15"/>
        <v>1</v>
      </c>
      <c r="AB35" s="1264">
        <f t="shared" si="16"/>
        <v>1</v>
      </c>
      <c r="AC35" s="1264">
        <f t="shared" si="17"/>
        <v>1</v>
      </c>
    </row>
    <row r="36" spans="1:29" ht="15">
      <c r="A36" s="409"/>
      <c r="B36" s="364" t="s">
        <v>1698</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85"/>
      <c r="M36" s="2485"/>
      <c r="N36" s="2485"/>
      <c r="O36" s="2485"/>
      <c r="P36" s="3503"/>
      <c r="Q36" s="1263" t="str">
        <f t="shared" si="11"/>
        <v>公共部分装修</v>
      </c>
      <c r="R36" s="667" t="s">
        <v>18</v>
      </c>
      <c r="S36" s="668">
        <f t="shared" si="12"/>
        <v>100</v>
      </c>
      <c r="T36" s="667" t="s">
        <v>18</v>
      </c>
      <c r="U36" s="668">
        <f t="shared" si="13"/>
        <v>100</v>
      </c>
      <c r="V36" s="667" t="s">
        <v>18</v>
      </c>
      <c r="W36" s="668">
        <f t="shared" si="14"/>
        <v>100</v>
      </c>
      <c r="X36" s="1265"/>
      <c r="Y36" s="3505"/>
      <c r="Z36" s="1264" t="str">
        <f t="shared" si="18"/>
        <v>公共部分装修</v>
      </c>
      <c r="AA36" s="1264">
        <f t="shared" si="15"/>
        <v>1</v>
      </c>
      <c r="AB36" s="1264">
        <f t="shared" si="16"/>
        <v>1</v>
      </c>
      <c r="AC36" s="1264">
        <f t="shared" si="17"/>
        <v>1</v>
      </c>
    </row>
    <row r="37" spans="1:29" s="102" customFormat="1" ht="15">
      <c r="A37" s="410"/>
      <c r="B37" s="364" t="s">
        <v>1699</v>
      </c>
      <c r="C37" s="3194">
        <f>成交案例!C5</f>
        <v>0.79400000000000004</v>
      </c>
      <c r="D37" s="119">
        <v>100</v>
      </c>
      <c r="E37" s="3194">
        <f>C37</f>
        <v>0.79400000000000004</v>
      </c>
      <c r="F37" s="364">
        <f>LOOKUP(E37,112:112,113:113)-LOOKUP(C37,112:112,113:113)+100</f>
        <v>100</v>
      </c>
      <c r="G37" s="3196">
        <f>C37</f>
        <v>0.79400000000000004</v>
      </c>
      <c r="H37" s="119">
        <f>LOOKUP(G37,112:112,113:113)-LOOKUP(C37,112:112,113:113)+100</f>
        <v>100</v>
      </c>
      <c r="I37" s="3195">
        <f>C37</f>
        <v>0.79400000000000004</v>
      </c>
      <c r="J37" s="119">
        <f>LOOKUP(I37,112:112,113:113)-LOOKUP(C37,112:112,113:113)+100</f>
        <v>100</v>
      </c>
      <c r="K37" s="365"/>
      <c r="L37" s="2485"/>
      <c r="M37" s="2485"/>
      <c r="N37" s="2437"/>
      <c r="O37" s="2437"/>
      <c r="P37" s="3503"/>
      <c r="Q37" s="530" t="str">
        <f t="shared" si="11"/>
        <v>成新度</v>
      </c>
      <c r="R37" s="664" t="s">
        <v>18</v>
      </c>
      <c r="S37" s="665">
        <f t="shared" si="12"/>
        <v>100</v>
      </c>
      <c r="T37" s="664" t="s">
        <v>18</v>
      </c>
      <c r="U37" s="665">
        <f t="shared" si="13"/>
        <v>100</v>
      </c>
      <c r="V37" s="664" t="s">
        <v>18</v>
      </c>
      <c r="W37" s="665">
        <f t="shared" si="14"/>
        <v>100</v>
      </c>
      <c r="X37" s="666"/>
      <c r="Y37" s="3505"/>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85"/>
      <c r="M38" s="2485"/>
      <c r="N38" s="2485"/>
      <c r="O38" s="2485"/>
      <c r="P38" s="3503" t="s">
        <v>1694</v>
      </c>
      <c r="Q38" s="1263" t="str">
        <f t="shared" si="11"/>
        <v>物业管理</v>
      </c>
      <c r="R38" s="667" t="s">
        <v>18</v>
      </c>
      <c r="S38" s="668">
        <f t="shared" si="12"/>
        <v>100</v>
      </c>
      <c r="T38" s="667" t="s">
        <v>18</v>
      </c>
      <c r="U38" s="668">
        <f t="shared" si="13"/>
        <v>100</v>
      </c>
      <c r="V38" s="667" t="s">
        <v>18</v>
      </c>
      <c r="W38" s="668">
        <f t="shared" si="14"/>
        <v>100</v>
      </c>
      <c r="X38" s="1265"/>
      <c r="Y38" s="3505"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85"/>
      <c r="M39" s="2485"/>
      <c r="N39" s="2485"/>
      <c r="O39" s="2485"/>
      <c r="P39" s="3503"/>
      <c r="Q39" s="1263" t="str">
        <f t="shared" si="11"/>
        <v>市政基础设施</v>
      </c>
      <c r="R39" s="667" t="s">
        <v>18</v>
      </c>
      <c r="S39" s="668">
        <f t="shared" si="12"/>
        <v>100</v>
      </c>
      <c r="T39" s="667" t="s">
        <v>18</v>
      </c>
      <c r="U39" s="668">
        <f t="shared" si="13"/>
        <v>100</v>
      </c>
      <c r="V39" s="667" t="s">
        <v>18</v>
      </c>
      <c r="W39" s="668">
        <f t="shared" si="14"/>
        <v>100</v>
      </c>
      <c r="X39" s="1265"/>
      <c r="Y39" s="3505"/>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85"/>
      <c r="M40" s="2485"/>
      <c r="N40" s="2485"/>
      <c r="O40" s="2485"/>
      <c r="P40" s="3503"/>
      <c r="Q40" s="1263" t="str">
        <f t="shared" si="11"/>
        <v>房型</v>
      </c>
      <c r="R40" s="667" t="s">
        <v>18</v>
      </c>
      <c r="S40" s="668">
        <f t="shared" si="12"/>
        <v>100</v>
      </c>
      <c r="T40" s="667" t="s">
        <v>18</v>
      </c>
      <c r="U40" s="668">
        <f t="shared" si="13"/>
        <v>100</v>
      </c>
      <c r="V40" s="667" t="s">
        <v>18</v>
      </c>
      <c r="W40" s="668">
        <f t="shared" si="14"/>
        <v>100</v>
      </c>
      <c r="X40" s="1265"/>
      <c r="Y40" s="3505"/>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5"/>
      <c r="M41" s="2485"/>
      <c r="N41" s="2491"/>
      <c r="O41" s="2491"/>
      <c r="P41" s="3503"/>
      <c r="Q41" s="531" t="str">
        <f t="shared" si="11"/>
        <v>单套/主力户型建筑面积</v>
      </c>
      <c r="R41" s="669" t="s">
        <v>18</v>
      </c>
      <c r="S41" s="670">
        <f t="shared" si="12"/>
        <v>100</v>
      </c>
      <c r="T41" s="669" t="s">
        <v>18</v>
      </c>
      <c r="U41" s="670">
        <f t="shared" si="13"/>
        <v>100</v>
      </c>
      <c r="V41" s="669" t="s">
        <v>18</v>
      </c>
      <c r="W41" s="670">
        <f t="shared" si="14"/>
        <v>100</v>
      </c>
      <c r="X41" s="671"/>
      <c r="Y41" s="3505"/>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3173" t="s">
        <v>3403</v>
      </c>
      <c r="F42" s="400">
        <f>SUMIF(122:122,E42,123:123)-SUMIF(122:122,C42,123:123)+100</f>
        <v>100</v>
      </c>
      <c r="G42" s="3173" t="s">
        <v>3403</v>
      </c>
      <c r="H42" s="374">
        <f>SUMIF(122:122,G42,123:123)-SUMIF(122:122,C42,123:123)+100</f>
        <v>100</v>
      </c>
      <c r="I42" s="3173" t="s">
        <v>3403</v>
      </c>
      <c r="J42" s="374">
        <f>SUMIF(122:122,I42,123:123)-SUMIF(122:122,C42,123:123)+100</f>
        <v>100</v>
      </c>
      <c r="K42" s="365">
        <f>'比较法-住宅（标准房屋）'!K42</f>
        <v>2</v>
      </c>
      <c r="L42" s="2485"/>
      <c r="M42" s="2485"/>
      <c r="N42" s="2485"/>
      <c r="O42" s="2485"/>
      <c r="P42" s="3503"/>
      <c r="Q42" s="1263" t="str">
        <f t="shared" si="11"/>
        <v>内部装修</v>
      </c>
      <c r="R42" s="667" t="s">
        <v>18</v>
      </c>
      <c r="S42" s="668">
        <f t="shared" si="12"/>
        <v>100</v>
      </c>
      <c r="T42" s="667" t="s">
        <v>18</v>
      </c>
      <c r="U42" s="668">
        <f t="shared" si="13"/>
        <v>100</v>
      </c>
      <c r="V42" s="667" t="s">
        <v>18</v>
      </c>
      <c r="W42" s="668">
        <f t="shared" si="14"/>
        <v>100</v>
      </c>
      <c r="X42" s="1265"/>
      <c r="Y42" s="3505"/>
      <c r="Z42" s="1264" t="str">
        <f t="shared" si="18"/>
        <v>内部装修</v>
      </c>
      <c r="AA42" s="1264">
        <f t="shared" si="15"/>
        <v>1</v>
      </c>
      <c r="AB42" s="1264">
        <f t="shared" si="16"/>
        <v>1</v>
      </c>
      <c r="AC42" s="1264">
        <f t="shared" si="17"/>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03"/>
      <c r="Q43" s="1263" t="str">
        <f t="shared" si="11"/>
        <v>内部装修维护情况</v>
      </c>
      <c r="R43" s="667" t="s">
        <v>18</v>
      </c>
      <c r="S43" s="668">
        <f t="shared" si="12"/>
        <v>100</v>
      </c>
      <c r="T43" s="667" t="s">
        <v>18</v>
      </c>
      <c r="U43" s="668">
        <f t="shared" si="13"/>
        <v>100</v>
      </c>
      <c r="V43" s="667" t="s">
        <v>18</v>
      </c>
      <c r="W43" s="668">
        <f t="shared" si="14"/>
        <v>100</v>
      </c>
      <c r="X43" s="1265"/>
      <c r="Y43" s="3505"/>
      <c r="Z43" s="1264" t="str">
        <f t="shared" si="18"/>
        <v>内部装修维护情况</v>
      </c>
      <c r="AA43" s="1264">
        <f t="shared" si="15"/>
        <v>1</v>
      </c>
      <c r="AB43" s="1264">
        <f t="shared" si="16"/>
        <v>1</v>
      </c>
      <c r="AC43" s="1264">
        <f t="shared" si="17"/>
        <v>1</v>
      </c>
    </row>
    <row r="44" spans="1:29" s="102" customFormat="1" ht="15">
      <c r="A44" s="410"/>
      <c r="B44" s="3145" t="s">
        <v>3465</v>
      </c>
      <c r="C44" s="3181" t="s">
        <v>3458</v>
      </c>
      <c r="D44" s="119">
        <v>100</v>
      </c>
      <c r="E44" s="3181" t="s">
        <v>3458</v>
      </c>
      <c r="F44" s="364">
        <f>SUMIF(126:126,E44,127:127)-SUMIF(126:126,C44,127:127)+100</f>
        <v>100</v>
      </c>
      <c r="G44" s="3181" t="s">
        <v>3458</v>
      </c>
      <c r="H44" s="119">
        <f>SUMIF(126:126,G44,127:127)-SUMIF(126:126,C44,127:127)+100</f>
        <v>100</v>
      </c>
      <c r="I44" s="3181" t="s">
        <v>3458</v>
      </c>
      <c r="J44" s="119">
        <f>SUMIF(126:126,I44,127:127)-SUMIF(126:126,C44,127:127)+100</f>
        <v>100</v>
      </c>
      <c r="K44" s="1748"/>
      <c r="L44" s="2486"/>
      <c r="M44" s="2437"/>
      <c r="N44" s="2437"/>
      <c r="O44" s="2437"/>
      <c r="P44" s="3503"/>
      <c r="Q44" s="530" t="str">
        <f t="shared" si="11"/>
        <v>空间布局</v>
      </c>
      <c r="R44" s="664" t="s">
        <v>18</v>
      </c>
      <c r="S44" s="665">
        <f t="shared" si="12"/>
        <v>100</v>
      </c>
      <c r="T44" s="664" t="s">
        <v>18</v>
      </c>
      <c r="U44" s="665">
        <f t="shared" si="13"/>
        <v>100</v>
      </c>
      <c r="V44" s="664" t="s">
        <v>18</v>
      </c>
      <c r="W44" s="665">
        <f t="shared" si="14"/>
        <v>100</v>
      </c>
      <c r="X44" s="666"/>
      <c r="Y44" s="3505"/>
      <c r="Z44" s="50" t="str">
        <f t="shared" si="18"/>
        <v>空间布局</v>
      </c>
      <c r="AA44" s="50">
        <f t="shared" si="15"/>
        <v>1</v>
      </c>
      <c r="AB44" s="50">
        <f t="shared" si="16"/>
        <v>1</v>
      </c>
      <c r="AC44" s="50">
        <f t="shared" si="17"/>
        <v>1</v>
      </c>
    </row>
    <row r="45" spans="1:29" ht="15">
      <c r="A45" s="409"/>
      <c r="B45" s="3145" t="s">
        <v>3441</v>
      </c>
      <c r="C45" s="3174" t="s">
        <v>3442</v>
      </c>
      <c r="D45" s="374">
        <v>100</v>
      </c>
      <c r="E45" s="3174" t="s">
        <v>3442</v>
      </c>
      <c r="F45" s="400">
        <f>SUMIF(128:128,E45,129:129)-SUMIF(128:128,C45,129:129)+100</f>
        <v>100</v>
      </c>
      <c r="G45" s="3174" t="s">
        <v>3442</v>
      </c>
      <c r="H45" s="374">
        <f>SUMIF(128:128,G45,129:129)-SUMIF(128:128,C45,129:129)+100</f>
        <v>100</v>
      </c>
      <c r="I45" s="3174" t="s">
        <v>3442</v>
      </c>
      <c r="J45" s="374">
        <f>SUMIF(128:128,I45,129:129)-SUMIF(128:128,C45,129:129)+100</f>
        <v>100</v>
      </c>
      <c r="K45" s="1748"/>
      <c r="L45" s="2490"/>
      <c r="M45" s="2485"/>
      <c r="N45" s="2485"/>
      <c r="O45" s="2485"/>
      <c r="P45" s="3503"/>
      <c r="Q45" s="1263" t="str">
        <f t="shared" si="11"/>
        <v>建筑形式</v>
      </c>
      <c r="R45" s="667" t="s">
        <v>18</v>
      </c>
      <c r="S45" s="668">
        <f t="shared" si="12"/>
        <v>100</v>
      </c>
      <c r="T45" s="667" t="s">
        <v>18</v>
      </c>
      <c r="U45" s="668">
        <f t="shared" si="13"/>
        <v>100</v>
      </c>
      <c r="V45" s="667" t="s">
        <v>18</v>
      </c>
      <c r="W45" s="668">
        <f t="shared" si="14"/>
        <v>100</v>
      </c>
      <c r="X45" s="1265"/>
      <c r="Y45" s="3505"/>
      <c r="Z45" s="1264" t="str">
        <f t="shared" si="18"/>
        <v>建筑形式</v>
      </c>
      <c r="AA45" s="1264">
        <f t="shared" si="15"/>
        <v>1</v>
      </c>
      <c r="AB45" s="1264">
        <f t="shared" si="16"/>
        <v>1</v>
      </c>
      <c r="AC45" s="1264">
        <f t="shared" si="17"/>
        <v>1</v>
      </c>
    </row>
    <row r="46" spans="1:29" ht="15.75" thickBot="1">
      <c r="A46" s="415"/>
      <c r="B46" s="3175" t="s">
        <v>3443</v>
      </c>
      <c r="C46" s="3176" t="s">
        <v>3486</v>
      </c>
      <c r="D46" s="377">
        <v>100</v>
      </c>
      <c r="E46" s="3176" t="s">
        <v>3486</v>
      </c>
      <c r="F46" s="378">
        <f>SUMIF(130:130,E46,131:131)-SUMIF(130:130,C46,131:131)+100</f>
        <v>100</v>
      </c>
      <c r="G46" s="3176" t="s">
        <v>3486</v>
      </c>
      <c r="H46" s="377">
        <f>SUMIF(130:130,G46,131:131)-SUMIF(130:130,C46,131:131)+100</f>
        <v>100</v>
      </c>
      <c r="I46" s="3176" t="s">
        <v>3486</v>
      </c>
      <c r="J46" s="377">
        <f>SUMIF(130:130,I46,131:131)-SUMIF(130:130,C46,131:131)+100</f>
        <v>100</v>
      </c>
      <c r="K46" s="1748"/>
      <c r="L46" s="2490"/>
      <c r="M46" s="2485"/>
      <c r="N46" s="2485"/>
      <c r="O46" s="2485"/>
      <c r="P46" s="3504"/>
      <c r="Q46" s="1263" t="str">
        <f t="shared" si="11"/>
        <v>设施设备状况</v>
      </c>
      <c r="R46" s="667" t="s">
        <v>17</v>
      </c>
      <c r="S46" s="668">
        <f t="shared" si="12"/>
        <v>100</v>
      </c>
      <c r="T46" s="667" t="s">
        <v>17</v>
      </c>
      <c r="U46" s="668">
        <f t="shared" si="13"/>
        <v>100</v>
      </c>
      <c r="V46" s="667" t="s">
        <v>17</v>
      </c>
      <c r="W46" s="668">
        <f t="shared" si="14"/>
        <v>100</v>
      </c>
      <c r="X46" s="1265"/>
      <c r="Y46" s="3506"/>
      <c r="Z46" s="1264" t="str">
        <f t="shared" si="18"/>
        <v>设施设备状况</v>
      </c>
      <c r="AA46" s="1264">
        <f t="shared" si="15"/>
        <v>1</v>
      </c>
      <c r="AB46" s="1264">
        <f t="shared" si="16"/>
        <v>1</v>
      </c>
      <c r="AC46" s="1264">
        <f t="shared" si="17"/>
        <v>1</v>
      </c>
    </row>
    <row r="47" spans="1:29" ht="15">
      <c r="A47" s="416" t="s">
        <v>1706</v>
      </c>
      <c r="B47" s="417"/>
      <c r="C47" s="1081" t="s">
        <v>16</v>
      </c>
      <c r="D47" s="418"/>
      <c r="E47" s="419">
        <f>成交案例!F15</f>
        <v>52707</v>
      </c>
      <c r="F47" s="420"/>
      <c r="G47" s="3636">
        <f>成交案例!F17</f>
        <v>53527</v>
      </c>
      <c r="H47" s="422"/>
      <c r="I47" s="419">
        <f>成交案例!F14</f>
        <v>53897</v>
      </c>
      <c r="J47" s="422"/>
      <c r="K47" s="1765"/>
      <c r="L47" s="2492"/>
      <c r="M47" s="2485"/>
      <c r="N47" s="2485"/>
      <c r="O47" s="2485"/>
      <c r="P47" s="3493" t="str">
        <f>A47</f>
        <v>成交单价（元/平方米）</v>
      </c>
      <c r="Q47" s="3493"/>
      <c r="R47" s="3494">
        <f>E47</f>
        <v>52707</v>
      </c>
      <c r="S47" s="3494"/>
      <c r="T47" s="3494">
        <f>G47</f>
        <v>53527</v>
      </c>
      <c r="U47" s="3494"/>
      <c r="V47" s="3494">
        <f>I47</f>
        <v>53897</v>
      </c>
      <c r="W47" s="3494"/>
      <c r="X47" s="385"/>
      <c r="Y47" s="673"/>
      <c r="Z47" s="385"/>
      <c r="AA47" s="385"/>
      <c r="AB47" s="385"/>
      <c r="AC47" s="385"/>
    </row>
    <row r="48" spans="1:29" ht="15.75" thickBot="1">
      <c r="A48" s="423" t="s">
        <v>1707</v>
      </c>
      <c r="B48" s="424"/>
      <c r="C48" s="1082">
        <f>R49</f>
        <v>53472</v>
      </c>
      <c r="D48" s="2139" t="s">
        <v>2136</v>
      </c>
      <c r="E48" s="1083">
        <f>R48</f>
        <v>51764</v>
      </c>
      <c r="F48" s="2140"/>
      <c r="G48" s="1082">
        <f>T48</f>
        <v>54924</v>
      </c>
      <c r="H48" s="2140"/>
      <c r="I48" s="1083">
        <f>V48</f>
        <v>53727</v>
      </c>
      <c r="J48" s="2140"/>
      <c r="K48" s="2141">
        <f>F48+H48+J48</f>
        <v>0</v>
      </c>
      <c r="L48" s="2492"/>
      <c r="M48" s="2485"/>
      <c r="N48" s="2485"/>
      <c r="O48" s="2485"/>
      <c r="P48" s="3493" t="str">
        <f>A48</f>
        <v>比较价值（元/平方米）</v>
      </c>
      <c r="Q48" s="3493"/>
      <c r="R48" s="3494">
        <f>IF(F1="售价",ROUND(PRODUCT(R47,AA7:AA46),0),ROUND(PRODUCT(R47,AA7:AA46),1))</f>
        <v>51764</v>
      </c>
      <c r="S48" s="3494"/>
      <c r="T48" s="3494">
        <f>IF(F1="售价",ROUND(PRODUCT(T47,AB7:AB46),0),ROUND(PRODUCT(T47,AB7:AB46),1))</f>
        <v>54924</v>
      </c>
      <c r="U48" s="3494"/>
      <c r="V48" s="3494">
        <f>IF(F1="售价",ROUND(PRODUCT(V47,AC7:AC46),0),ROUND(PRODUCT(V47,AC7:AC46),1))</f>
        <v>53727</v>
      </c>
      <c r="W48" s="3494"/>
      <c r="X48" s="385"/>
      <c r="Y48" s="385"/>
      <c r="Z48" s="385"/>
      <c r="AA48" s="385"/>
      <c r="AB48" s="385"/>
      <c r="AC48" s="385"/>
    </row>
    <row r="49" spans="1:29" ht="15.75" thickBot="1">
      <c r="A49" s="427" t="s">
        <v>1708</v>
      </c>
      <c r="B49" s="428"/>
      <c r="C49" s="1084">
        <f>R49</f>
        <v>53472</v>
      </c>
      <c r="D49" s="351"/>
      <c r="E49" s="351"/>
      <c r="F49" s="351"/>
      <c r="G49" s="351"/>
      <c r="H49" s="351"/>
      <c r="I49" s="351"/>
      <c r="J49" s="351"/>
      <c r="K49" s="1766"/>
      <c r="L49" s="2492"/>
      <c r="M49" s="2485"/>
      <c r="N49" s="2485"/>
      <c r="O49" s="2485"/>
      <c r="P49" s="3495" t="str">
        <f>A49</f>
        <v>估价对象XX用房的比较价值（楼面单价，元/平方米）</v>
      </c>
      <c r="Q49" s="3496"/>
      <c r="R49" s="3497">
        <f>IF(F1="售价",ROUND(IF(D48="简单平均",AVERAGE(R48:V48),R48*F48+T48*H48+V48*J48),0),ROUND(IF(D48="简单平均",AVERAGE(R48:V48),R48*F48+T48*H48+V48*J48),1))</f>
        <v>53472</v>
      </c>
      <c r="S49" s="3497"/>
      <c r="T49" s="3497"/>
      <c r="U49" s="3497"/>
      <c r="V49" s="3497"/>
      <c r="W49" s="3497"/>
      <c r="X49" s="385"/>
      <c r="Y49" s="385"/>
      <c r="Z49" s="385"/>
      <c r="AA49" s="385"/>
      <c r="AB49" s="385"/>
      <c r="AC49" s="385"/>
    </row>
    <row r="50" spans="1:29">
      <c r="A50" s="2485"/>
      <c r="B50" s="2485"/>
      <c r="C50" s="2485"/>
      <c r="D50" s="2485"/>
      <c r="E50" s="2485"/>
      <c r="F50" s="2485"/>
      <c r="G50" s="2485"/>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1.8217293872189178E-2</v>
      </c>
      <c r="F52" s="435" t="str">
        <f>IF(OR(E52&gt;=0.3,E52&lt;=-0.3),"超过30%","")</f>
        <v/>
      </c>
      <c r="G52" s="434">
        <f>IF(G47&lt;G48,G48/G47-1,G47/G48-1)</f>
        <v>2.6098978085825841E-2</v>
      </c>
      <c r="H52" s="435" t="str">
        <f>IF(OR(G52&gt;=0.3,G52&lt;=-0.3),"超过30%","")</f>
        <v/>
      </c>
      <c r="I52" s="434">
        <f>IF(I47&lt;I48,I48/I47-1,I47/I48-1)</f>
        <v>3.1641446572487908E-3</v>
      </c>
      <c r="J52" s="435" t="str">
        <f>IF(OR(I52&gt;=0.3,I52&lt;=-0.3),"超过30%","")</f>
        <v/>
      </c>
      <c r="K52" s="2497"/>
      <c r="L52" s="2493"/>
      <c r="M52" s="2485"/>
      <c r="N52" s="2485"/>
      <c r="O52" s="2485"/>
    </row>
    <row r="53" spans="1:29" ht="13.5" customHeight="1">
      <c r="A53" s="2485"/>
      <c r="B53" s="2485"/>
      <c r="C53" s="432" t="s">
        <v>1710</v>
      </c>
      <c r="D53" s="436"/>
      <c r="E53" s="434">
        <f>IF(E48&lt;G48,G48/E48-1,E48/G48-1)</f>
        <v>6.1046286994822729E-2</v>
      </c>
      <c r="F53" s="435" t="str">
        <f>IF(OR(E53&gt;=0.2,E53&lt;=-0.2),"超过20%","")</f>
        <v/>
      </c>
      <c r="G53" s="434">
        <f>IF(G48&lt;I48,I48/G48-1,G48/I48-1)</f>
        <v>2.2279300910156952E-2</v>
      </c>
      <c r="H53" s="435" t="str">
        <f>IF(OR(G53&gt;=0.2,G53&lt;=-0.2),"超过20%","")</f>
        <v/>
      </c>
      <c r="I53" s="434">
        <f>IF(I48&lt;E48,E48/I48-1,I48/E48-1)</f>
        <v>3.7922108028745738E-2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1.555770580757776E-2</v>
      </c>
      <c r="F54" s="435" t="str">
        <f>IF(OR(E54&gt;=0.3,E54&lt;=-0.3),"超过30%","")</f>
        <v/>
      </c>
      <c r="G54" s="434">
        <f>IF(G47&lt;I47,I47/G47-1,G47/I47-1)</f>
        <v>6.912399349860765E-3</v>
      </c>
      <c r="H54" s="435" t="str">
        <f>IF(OR(G54&gt;=0.3,G54&lt;=-0.3),"超过30%","")</f>
        <v/>
      </c>
      <c r="I54" s="434">
        <f>IF(I47&lt;E47,E47/I47-1,I47/E47-1)</f>
        <v>2.2577646232948112E-2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1713</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99.206299999999999</v>
      </c>
      <c r="F59" s="445">
        <f>'比较法-住宅（标准房屋）'!F59</f>
        <v>98.614599999999996</v>
      </c>
      <c r="G59" s="445">
        <f>'比较法-住宅（标准房屋）'!G59</f>
        <v>99.309700000000007</v>
      </c>
      <c r="H59" s="445">
        <f>'比较法-住宅（标准房屋）'!H59</f>
        <v>100.11060000000001</v>
      </c>
      <c r="I59" s="445">
        <f>'比较法-住宅（标准房屋）'!I59</f>
        <v>100.9179</v>
      </c>
      <c r="J59" s="445">
        <f>'比较法-住宅（标准房屋）'!J59</f>
        <v>101.0189</v>
      </c>
      <c r="K59" s="445">
        <f>'比较法-住宅（标准房屋）'!K59</f>
        <v>100.3167</v>
      </c>
      <c r="L59" s="445">
        <f>'比较法-住宅（标准房屋）'!L59</f>
        <v>99.225200000000001</v>
      </c>
      <c r="M59" s="445">
        <f>'比较法-住宅（标准房屋）'!M59</f>
        <v>98.145600000000002</v>
      </c>
      <c r="N59" s="445">
        <f>'比较法-住宅（标准房屋）'!N59</f>
        <v>98.440899999999999</v>
      </c>
      <c r="O59" s="445">
        <f>'比较法-住宅（标准房屋）'!O59</f>
        <v>98.935599999999994</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1715</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tr">
        <f>'比较法-住宅（标准房屋）'!C88</f>
        <v>南北</v>
      </c>
      <c r="D88" s="3143" t="str">
        <f>'比较法-住宅（标准房屋）'!D88</f>
        <v>南</v>
      </c>
      <c r="E88" s="3143" t="str">
        <f>'比较法-住宅（标准房屋）'!E88</f>
        <v>东南</v>
      </c>
      <c r="F88" s="3143" t="str">
        <f>'比较法-住宅（标准房屋）'!F88</f>
        <v>西南</v>
      </c>
      <c r="G88" s="3143" t="str">
        <f>'比较法-住宅（标准房屋）'!G88</f>
        <v>东西</v>
      </c>
      <c r="H88" s="3143" t="str">
        <f>'比较法-住宅（标准房屋）'!H88</f>
        <v>东</v>
      </c>
      <c r="I88" s="3143" t="str">
        <f>'比较法-住宅（标准房屋）'!I88</f>
        <v>西</v>
      </c>
      <c r="J88" s="3143" t="str">
        <f>'比较法-住宅（标准房屋）'!J88</f>
        <v>东北</v>
      </c>
      <c r="K88" s="3143" t="str">
        <f>'比较法-住宅（标准房屋）'!K88</f>
        <v>西北</v>
      </c>
      <c r="L88" s="3143" t="str">
        <f>'比较法-住宅（标准房屋）'!L88</f>
        <v>北</v>
      </c>
      <c r="M88" s="3143">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1" t="str">
        <f>'比较法-住宅（标准房屋）'!C90</f>
        <v>底层</v>
      </c>
      <c r="D90" s="3171" t="str">
        <f>'比较法-住宅（标准房屋）'!D90</f>
        <v>低层</v>
      </c>
      <c r="E90" s="3171" t="str">
        <f>'比较法-住宅（标准房屋）'!E90</f>
        <v>中层</v>
      </c>
      <c r="F90" s="3171" t="str">
        <f>'比较法-住宅（标准房屋）'!F90</f>
        <v>高层</v>
      </c>
      <c r="G90" s="3171" t="str">
        <f>'比较法-住宅（标准房屋）'!G90</f>
        <v>顶层</v>
      </c>
      <c r="H90" s="3171" t="str">
        <f>'比较法-住宅（标准房屋）'!H90</f>
        <v>标准层</v>
      </c>
      <c r="I90" s="486"/>
      <c r="J90" s="486"/>
      <c r="K90" s="486"/>
      <c r="L90" s="487"/>
      <c r="M90" s="488"/>
      <c r="N90" s="881"/>
      <c r="O90" s="881"/>
      <c r="P90" s="1774"/>
      <c r="Q90" s="490"/>
    </row>
    <row r="91" spans="1:17" s="408" customFormat="1" ht="15.75" thickBot="1">
      <c r="A91" s="484"/>
      <c r="B91" s="474"/>
      <c r="C91" s="3172">
        <v>99</v>
      </c>
      <c r="D91" s="3172">
        <v>100</v>
      </c>
      <c r="E91" s="3172">
        <v>101.5</v>
      </c>
      <c r="F91" s="491">
        <v>100.5</v>
      </c>
      <c r="G91" s="491">
        <v>96</v>
      </c>
      <c r="H91" s="467">
        <v>100</v>
      </c>
      <c r="I91" s="493"/>
      <c r="J91" s="493"/>
      <c r="K91" s="493"/>
      <c r="L91" s="493"/>
      <c r="M91" s="494"/>
      <c r="N91" s="881"/>
      <c r="O91" s="881"/>
      <c r="P91" s="1774"/>
      <c r="Q91" s="490"/>
    </row>
    <row r="92" spans="1:17" ht="15.75" thickTop="1">
      <c r="A92" s="367"/>
      <c r="B92" s="469">
        <f>B28</f>
        <v>0</v>
      </c>
      <c r="C92" s="3143" t="s">
        <v>3584</v>
      </c>
      <c r="D92" s="485" t="s">
        <v>3585</v>
      </c>
      <c r="E92" s="485" t="s">
        <v>3583</v>
      </c>
      <c r="F92" s="3143" t="s">
        <v>3587</v>
      </c>
      <c r="G92" s="513" t="s">
        <v>3586</v>
      </c>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1735</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G6:H6"/>
    <mergeCell ref="AA4:AA6"/>
    <mergeCell ref="AB4:AB6"/>
    <mergeCell ref="Y7:Z7"/>
    <mergeCell ref="R4:S6"/>
    <mergeCell ref="P9:P14"/>
    <mergeCell ref="Y9:Y14"/>
    <mergeCell ref="P8:Q8"/>
    <mergeCell ref="Y8:Z8"/>
    <mergeCell ref="P7:Q7"/>
    <mergeCell ref="AC4:AC6"/>
    <mergeCell ref="C4:D4"/>
    <mergeCell ref="E4:F4"/>
    <mergeCell ref="G4:H4"/>
    <mergeCell ref="I4:J4"/>
    <mergeCell ref="P4:Q6"/>
    <mergeCell ref="T4:U6"/>
    <mergeCell ref="V4:W6"/>
    <mergeCell ref="I6:J6"/>
    <mergeCell ref="G5:H5"/>
    <mergeCell ref="Y4:Z6"/>
    <mergeCell ref="E5:F5"/>
    <mergeCell ref="C5:D5"/>
    <mergeCell ref="C6:D6"/>
    <mergeCell ref="I5:J5"/>
    <mergeCell ref="E6:F6"/>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2"/>
      <c r="F1" s="1735"/>
      <c r="G1" s="1152" t="s">
        <v>1765</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1462</v>
      </c>
      <c r="B3" s="536" t="e">
        <f>IF(C2="——",C49,ROUND(B2*10000/D3,0))</f>
        <v>#DIV/0!</v>
      </c>
      <c r="C3" s="344" t="s">
        <v>1766</v>
      </c>
      <c r="D3" s="343">
        <f>IF(D1="",'数据-汇总表'!E3,SUMIF('数据-汇总表'!$C19:$C33,D1,'数据-汇总表'!$E19:$E33))</f>
        <v>0</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1767</v>
      </c>
      <c r="B4" s="346"/>
      <c r="C4" s="3520" t="s">
        <v>1768</v>
      </c>
      <c r="D4" s="3521"/>
      <c r="E4" s="3522" t="s">
        <v>1769</v>
      </c>
      <c r="F4" s="3523"/>
      <c r="G4" s="3520" t="s">
        <v>1770</v>
      </c>
      <c r="H4" s="3521"/>
      <c r="I4" s="3520" t="s">
        <v>1771</v>
      </c>
      <c r="J4" s="3521"/>
      <c r="K4" s="537" t="s">
        <v>1772</v>
      </c>
      <c r="L4" s="2484"/>
      <c r="M4" s="2485"/>
      <c r="N4" s="2485"/>
      <c r="O4" s="2485"/>
      <c r="P4" s="3524" t="s">
        <v>1773</v>
      </c>
      <c r="Q4" s="3525"/>
      <c r="R4" s="3510" t="s">
        <v>1769</v>
      </c>
      <c r="S4" s="3511"/>
      <c r="T4" s="3510" t="s">
        <v>1770</v>
      </c>
      <c r="U4" s="3511"/>
      <c r="V4" s="3494" t="s">
        <v>1771</v>
      </c>
      <c r="W4" s="3494"/>
      <c r="X4" s="1265"/>
      <c r="Y4" s="3510" t="s">
        <v>1773</v>
      </c>
      <c r="Z4" s="3511"/>
      <c r="AA4" s="3516" t="s">
        <v>1769</v>
      </c>
      <c r="AB4" s="3494" t="s">
        <v>1770</v>
      </c>
      <c r="AC4" s="3516" t="s">
        <v>1771</v>
      </c>
    </row>
    <row r="5" spans="1:29" ht="15">
      <c r="A5" s="348"/>
      <c r="B5" s="349"/>
      <c r="C5" s="3530" t="s">
        <v>1671</v>
      </c>
      <c r="D5" s="3531"/>
      <c r="E5" s="3532" t="s">
        <v>1672</v>
      </c>
      <c r="F5" s="3533"/>
      <c r="G5" s="3530" t="s">
        <v>1673</v>
      </c>
      <c r="H5" s="3531"/>
      <c r="I5" s="3530" t="s">
        <v>1674</v>
      </c>
      <c r="J5" s="3531"/>
      <c r="K5" s="537"/>
      <c r="L5" s="2484"/>
      <c r="M5" s="2485"/>
      <c r="N5" s="2485"/>
      <c r="O5" s="2485"/>
      <c r="P5" s="3526"/>
      <c r="Q5" s="3527"/>
      <c r="R5" s="3512"/>
      <c r="S5" s="3513"/>
      <c r="T5" s="3512"/>
      <c r="U5" s="3513"/>
      <c r="V5" s="3494"/>
      <c r="W5" s="3494"/>
      <c r="X5" s="1265"/>
      <c r="Y5" s="3512"/>
      <c r="Z5" s="3513"/>
      <c r="AA5" s="3517"/>
      <c r="AB5" s="3494"/>
      <c r="AC5" s="3517"/>
    </row>
    <row r="6" spans="1:29" ht="15.75" thickBot="1">
      <c r="A6" s="350"/>
      <c r="B6" s="351"/>
      <c r="C6" s="3534" t="s">
        <v>1675</v>
      </c>
      <c r="D6" s="3535"/>
      <c r="E6" s="3536" t="s">
        <v>1675</v>
      </c>
      <c r="F6" s="3537"/>
      <c r="G6" s="3534" t="s">
        <v>1675</v>
      </c>
      <c r="H6" s="3535"/>
      <c r="I6" s="3534" t="s">
        <v>1675</v>
      </c>
      <c r="J6" s="3535"/>
      <c r="K6" s="537" t="s">
        <v>1676</v>
      </c>
      <c r="L6" s="2484"/>
      <c r="M6" s="2485"/>
      <c r="N6" s="2485"/>
      <c r="O6" s="2485"/>
      <c r="P6" s="3528"/>
      <c r="Q6" s="3529"/>
      <c r="R6" s="3512"/>
      <c r="S6" s="3513"/>
      <c r="T6" s="3514"/>
      <c r="U6" s="3515"/>
      <c r="V6" s="3494"/>
      <c r="W6" s="3494"/>
      <c r="X6" s="1265"/>
      <c r="Y6" s="3514"/>
      <c r="Z6" s="3515"/>
      <c r="AA6" s="3518"/>
      <c r="AB6" s="3494"/>
      <c r="AC6" s="3518"/>
    </row>
    <row r="7" spans="1:29" s="102" customFormat="1" ht="15.75" thickBot="1">
      <c r="A7" s="352" t="s">
        <v>1677</v>
      </c>
      <c r="B7" s="353"/>
      <c r="C7" s="354">
        <f>'数据-取费表'!B2</f>
        <v>45221</v>
      </c>
      <c r="D7" s="355">
        <v>100</v>
      </c>
      <c r="E7" s="356"/>
      <c r="F7" s="357">
        <f>SUMIF(58:58,YEAR(E7)&amp;"-"&amp;MONTH(E7),59:59)</f>
        <v>0</v>
      </c>
      <c r="G7" s="356"/>
      <c r="H7" s="355">
        <f>SUMIF(58:58,YEAR(G7)&amp;"-"&amp;MONTH(G7),59:59)</f>
        <v>0</v>
      </c>
      <c r="I7" s="356"/>
      <c r="J7" s="355">
        <f>SUMIF(58:58,YEAR(I7)&amp;"-"&amp;MONTH(I7),59:59)</f>
        <v>0</v>
      </c>
      <c r="K7" s="38"/>
      <c r="L7" s="2486"/>
      <c r="M7" s="2437"/>
      <c r="N7" s="2437"/>
      <c r="O7" s="2437"/>
      <c r="P7" s="3507" t="s">
        <v>1678</v>
      </c>
      <c r="Q7" s="3519"/>
      <c r="R7" s="664" t="s">
        <v>14</v>
      </c>
      <c r="S7" s="665">
        <f t="shared" ref="S7:S15" si="0">F7</f>
        <v>0</v>
      </c>
      <c r="T7" s="664" t="s">
        <v>14</v>
      </c>
      <c r="U7" s="665">
        <f t="shared" ref="U7:U15" si="1">H7</f>
        <v>0</v>
      </c>
      <c r="V7" s="664" t="s">
        <v>14</v>
      </c>
      <c r="W7" s="665">
        <f t="shared" ref="W7:W15" si="2">J7</f>
        <v>0</v>
      </c>
      <c r="X7" s="666"/>
      <c r="Y7" s="3507" t="s">
        <v>1678</v>
      </c>
      <c r="Z7" s="3508"/>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507" t="s">
        <v>1681</v>
      </c>
      <c r="Q8" s="3508"/>
      <c r="R8" s="664" t="s">
        <v>14</v>
      </c>
      <c r="S8" s="665">
        <f t="shared" si="0"/>
        <v>100</v>
      </c>
      <c r="T8" s="664" t="s">
        <v>14</v>
      </c>
      <c r="U8" s="665">
        <f t="shared" si="1"/>
        <v>100</v>
      </c>
      <c r="V8" s="664" t="s">
        <v>14</v>
      </c>
      <c r="W8" s="665">
        <f t="shared" si="2"/>
        <v>100</v>
      </c>
      <c r="X8" s="666"/>
      <c r="Y8" s="3507" t="s">
        <v>1681</v>
      </c>
      <c r="Z8" s="3508"/>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509"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50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509"/>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509"/>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509"/>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509"/>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98" t="s">
        <v>1689</v>
      </c>
      <c r="Q15" s="1263" t="str">
        <f t="shared" si="6"/>
        <v>商业繁华度</v>
      </c>
      <c r="R15" s="667" t="s">
        <v>14</v>
      </c>
      <c r="S15" s="668">
        <f t="shared" si="0"/>
        <v>100</v>
      </c>
      <c r="T15" s="667" t="s">
        <v>14</v>
      </c>
      <c r="U15" s="668">
        <f t="shared" si="1"/>
        <v>100</v>
      </c>
      <c r="V15" s="667" t="s">
        <v>14</v>
      </c>
      <c r="W15" s="668">
        <f t="shared" si="2"/>
        <v>100</v>
      </c>
      <c r="X15" s="1265"/>
      <c r="Y15" s="3500"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99"/>
      <c r="Q16" s="1263"/>
      <c r="R16" s="667"/>
      <c r="S16" s="668"/>
      <c r="T16" s="667"/>
      <c r="U16" s="668"/>
      <c r="V16" s="667"/>
      <c r="W16" s="668"/>
      <c r="X16" s="1265"/>
      <c r="Y16" s="3501"/>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99"/>
      <c r="Q17" s="1263" t="str">
        <f>B17</f>
        <v>交通便捷度</v>
      </c>
      <c r="R17" s="667" t="s">
        <v>14</v>
      </c>
      <c r="S17" s="668">
        <f>F17</f>
        <v>100</v>
      </c>
      <c r="T17" s="667" t="s">
        <v>14</v>
      </c>
      <c r="U17" s="668">
        <f>H17</f>
        <v>100</v>
      </c>
      <c r="V17" s="667" t="s">
        <v>14</v>
      </c>
      <c r="W17" s="668">
        <f>J17</f>
        <v>100</v>
      </c>
      <c r="X17" s="1265"/>
      <c r="Y17" s="350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99"/>
      <c r="Q18" s="1263"/>
      <c r="R18" s="667"/>
      <c r="S18" s="668"/>
      <c r="T18" s="667"/>
      <c r="U18" s="668"/>
      <c r="V18" s="667"/>
      <c r="W18" s="668"/>
      <c r="X18" s="1265"/>
      <c r="Y18" s="3501"/>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99"/>
      <c r="Q19" s="1263" t="str">
        <f>B19</f>
        <v>公共配套设施</v>
      </c>
      <c r="R19" s="667" t="s">
        <v>14</v>
      </c>
      <c r="S19" s="668">
        <f>F19</f>
        <v>100</v>
      </c>
      <c r="T19" s="667" t="s">
        <v>14</v>
      </c>
      <c r="U19" s="668">
        <f>H19</f>
        <v>100</v>
      </c>
      <c r="V19" s="667" t="s">
        <v>14</v>
      </c>
      <c r="W19" s="668">
        <f>J19</f>
        <v>100</v>
      </c>
      <c r="X19" s="1265"/>
      <c r="Y19" s="350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99"/>
      <c r="Q20" s="1263"/>
      <c r="R20" s="667"/>
      <c r="S20" s="668"/>
      <c r="T20" s="667"/>
      <c r="U20" s="668"/>
      <c r="V20" s="667"/>
      <c r="W20" s="668"/>
      <c r="X20" s="1265"/>
      <c r="Y20" s="3501"/>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99"/>
      <c r="Q21" s="1263" t="str">
        <f>B21</f>
        <v>基础设施水平</v>
      </c>
      <c r="R21" s="667" t="s">
        <v>14</v>
      </c>
      <c r="S21" s="668">
        <f>F21</f>
        <v>100</v>
      </c>
      <c r="T21" s="667" t="s">
        <v>14</v>
      </c>
      <c r="U21" s="668">
        <f>H21</f>
        <v>100</v>
      </c>
      <c r="V21" s="667" t="s">
        <v>14</v>
      </c>
      <c r="W21" s="668">
        <f>J21</f>
        <v>100</v>
      </c>
      <c r="X21" s="1265"/>
      <c r="Y21" s="35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99"/>
      <c r="Q22" s="1263"/>
      <c r="R22" s="667"/>
      <c r="S22" s="668"/>
      <c r="T22" s="667"/>
      <c r="U22" s="668"/>
      <c r="V22" s="667"/>
      <c r="W22" s="668"/>
      <c r="X22" s="1265"/>
      <c r="Y22" s="3501"/>
      <c r="Z22" s="1264"/>
      <c r="AA22" s="1264">
        <v>1</v>
      </c>
      <c r="AB22" s="1264">
        <v>1</v>
      </c>
      <c r="AC22" s="1264">
        <v>1</v>
      </c>
    </row>
    <row r="23" spans="1:29" ht="57">
      <c r="A23" s="367"/>
      <c r="B23" s="390" t="s">
        <v>1259</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99"/>
      <c r="Q23" s="1263" t="str">
        <f>B23</f>
        <v>自然及人文环境</v>
      </c>
      <c r="R23" s="667" t="s">
        <v>14</v>
      </c>
      <c r="S23" s="668">
        <f>F23</f>
        <v>100</v>
      </c>
      <c r="T23" s="667" t="s">
        <v>14</v>
      </c>
      <c r="U23" s="668">
        <f>H23</f>
        <v>100</v>
      </c>
      <c r="V23" s="667" t="s">
        <v>14</v>
      </c>
      <c r="W23" s="668">
        <f>J23</f>
        <v>100</v>
      </c>
      <c r="X23" s="1265"/>
      <c r="Y23" s="350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99"/>
      <c r="Q24" s="1263"/>
      <c r="R24" s="667"/>
      <c r="S24" s="668"/>
      <c r="T24" s="667"/>
      <c r="U24" s="668"/>
      <c r="V24" s="667"/>
      <c r="W24" s="668"/>
      <c r="X24" s="1265"/>
      <c r="Y24" s="3501"/>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99"/>
      <c r="Q25" s="1263" t="str">
        <f t="shared" ref="Q25:Q46" si="11">B25</f>
        <v>临街状况</v>
      </c>
      <c r="R25" s="667" t="s">
        <v>14</v>
      </c>
      <c r="S25" s="668">
        <f>F25</f>
        <v>100</v>
      </c>
      <c r="T25" s="667" t="s">
        <v>14</v>
      </c>
      <c r="U25" s="668">
        <f>H25</f>
        <v>100</v>
      </c>
      <c r="V25" s="667" t="s">
        <v>14</v>
      </c>
      <c r="W25" s="668">
        <f>J25</f>
        <v>100</v>
      </c>
      <c r="X25" s="1265"/>
      <c r="Y25" s="3501"/>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99"/>
      <c r="Q26" s="1263" t="str">
        <f t="shared" si="11"/>
        <v>平面位置/可视性</v>
      </c>
      <c r="R26" s="667" t="s">
        <v>14</v>
      </c>
      <c r="S26" s="668">
        <f>F26</f>
        <v>100</v>
      </c>
      <c r="T26" s="667" t="s">
        <v>14</v>
      </c>
      <c r="U26" s="668">
        <f>H26</f>
        <v>100</v>
      </c>
      <c r="V26" s="667" t="s">
        <v>14</v>
      </c>
      <c r="W26" s="668">
        <f>J26</f>
        <v>100</v>
      </c>
      <c r="X26" s="1265"/>
      <c r="Y26" s="3501"/>
      <c r="Z26" s="1264" t="str">
        <f>Q26</f>
        <v>平面位置/可视性</v>
      </c>
      <c r="AA26" s="1264">
        <f t="shared" si="3"/>
        <v>1</v>
      </c>
      <c r="AB26" s="1264">
        <f t="shared" si="4"/>
        <v>1</v>
      </c>
      <c r="AC26" s="1264">
        <f t="shared" si="5"/>
        <v>1</v>
      </c>
    </row>
    <row r="27" spans="1:29" s="102" customFormat="1" ht="15">
      <c r="A27" s="370"/>
      <c r="B27" s="390" t="s">
        <v>1780</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99"/>
      <c r="Q27" s="530" t="str">
        <f t="shared" si="11"/>
        <v>人流量</v>
      </c>
      <c r="R27" s="664" t="s">
        <v>14</v>
      </c>
      <c r="S27" s="665">
        <f>F27</f>
        <v>100</v>
      </c>
      <c r="T27" s="664" t="s">
        <v>14</v>
      </c>
      <c r="U27" s="665">
        <f>H27</f>
        <v>100</v>
      </c>
      <c r="V27" s="664" t="s">
        <v>14</v>
      </c>
      <c r="W27" s="665">
        <f>J27</f>
        <v>100</v>
      </c>
      <c r="X27" s="666"/>
      <c r="Y27" s="3501"/>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9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0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99"/>
      <c r="Q29" s="1263">
        <f t="shared" si="11"/>
        <v>111</v>
      </c>
      <c r="R29" s="667" t="s">
        <v>14</v>
      </c>
      <c r="S29" s="668">
        <f t="shared" si="12"/>
        <v>100</v>
      </c>
      <c r="T29" s="667" t="s">
        <v>14</v>
      </c>
      <c r="U29" s="668">
        <f t="shared" si="13"/>
        <v>100</v>
      </c>
      <c r="V29" s="667" t="s">
        <v>14</v>
      </c>
      <c r="W29" s="668">
        <f t="shared" si="14"/>
        <v>100</v>
      </c>
      <c r="X29" s="1265"/>
      <c r="Y29" s="350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99"/>
      <c r="Q30" s="1263">
        <f t="shared" si="11"/>
        <v>111</v>
      </c>
      <c r="R30" s="667" t="s">
        <v>14</v>
      </c>
      <c r="S30" s="668">
        <f t="shared" si="12"/>
        <v>100</v>
      </c>
      <c r="T30" s="667" t="s">
        <v>14</v>
      </c>
      <c r="U30" s="668">
        <f t="shared" si="13"/>
        <v>100</v>
      </c>
      <c r="V30" s="667" t="s">
        <v>14</v>
      </c>
      <c r="W30" s="668">
        <f t="shared" si="14"/>
        <v>100</v>
      </c>
      <c r="X30" s="1265"/>
      <c r="Y30" s="350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99"/>
      <c r="Q31" s="1263">
        <f t="shared" si="11"/>
        <v>111</v>
      </c>
      <c r="R31" s="667" t="s">
        <v>14</v>
      </c>
      <c r="S31" s="668">
        <f t="shared" si="12"/>
        <v>100</v>
      </c>
      <c r="T31" s="667" t="s">
        <v>14</v>
      </c>
      <c r="U31" s="668">
        <f t="shared" si="13"/>
        <v>100</v>
      </c>
      <c r="V31" s="667" t="s">
        <v>14</v>
      </c>
      <c r="W31" s="668">
        <f t="shared" si="14"/>
        <v>100</v>
      </c>
      <c r="X31" s="1265"/>
      <c r="Y31" s="3501"/>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502" t="s">
        <v>1694</v>
      </c>
      <c r="Q32" s="1263" t="str">
        <f t="shared" si="11"/>
        <v>商业类型</v>
      </c>
      <c r="R32" s="667" t="s">
        <v>14</v>
      </c>
      <c r="S32" s="668">
        <f t="shared" si="12"/>
        <v>100</v>
      </c>
      <c r="T32" s="667" t="s">
        <v>14</v>
      </c>
      <c r="U32" s="668">
        <f t="shared" si="13"/>
        <v>100</v>
      </c>
      <c r="V32" s="667" t="s">
        <v>14</v>
      </c>
      <c r="W32" s="668">
        <f t="shared" si="14"/>
        <v>100</v>
      </c>
      <c r="X32" s="1265"/>
      <c r="Y32" s="3505"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503"/>
      <c r="Q33" s="531" t="str">
        <f t="shared" si="11"/>
        <v>项目建筑规模</v>
      </c>
      <c r="R33" s="669" t="s">
        <v>14</v>
      </c>
      <c r="S33" s="670" t="e">
        <f t="shared" si="12"/>
        <v>#N/A</v>
      </c>
      <c r="T33" s="669" t="s">
        <v>14</v>
      </c>
      <c r="U33" s="670" t="e">
        <f t="shared" si="13"/>
        <v>#N/A</v>
      </c>
      <c r="V33" s="669" t="s">
        <v>14</v>
      </c>
      <c r="W33" s="670" t="e">
        <f t="shared" si="14"/>
        <v>#N/A</v>
      </c>
      <c r="X33" s="671"/>
      <c r="Y33" s="3505"/>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503"/>
      <c r="Q34" s="1263" t="str">
        <f t="shared" si="11"/>
        <v>建筑结构</v>
      </c>
      <c r="R34" s="667" t="s">
        <v>14</v>
      </c>
      <c r="S34" s="668">
        <f t="shared" si="12"/>
        <v>100</v>
      </c>
      <c r="T34" s="667" t="s">
        <v>14</v>
      </c>
      <c r="U34" s="668">
        <f t="shared" si="13"/>
        <v>100</v>
      </c>
      <c r="V34" s="667" t="s">
        <v>14</v>
      </c>
      <c r="W34" s="668">
        <f t="shared" si="14"/>
        <v>100</v>
      </c>
      <c r="X34" s="1265"/>
      <c r="Y34" s="3505"/>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503"/>
      <c r="Q35" s="1263" t="str">
        <f t="shared" si="11"/>
        <v>公共部分装修</v>
      </c>
      <c r="R35" s="667" t="s">
        <v>14</v>
      </c>
      <c r="S35" s="668">
        <f t="shared" si="12"/>
        <v>100</v>
      </c>
      <c r="T35" s="667" t="s">
        <v>14</v>
      </c>
      <c r="U35" s="668">
        <f t="shared" si="13"/>
        <v>100</v>
      </c>
      <c r="V35" s="667" t="s">
        <v>14</v>
      </c>
      <c r="W35" s="668">
        <f t="shared" si="14"/>
        <v>100</v>
      </c>
      <c r="X35" s="1265"/>
      <c r="Y35" s="3505"/>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503"/>
      <c r="Q36" s="1263" t="str">
        <f t="shared" si="11"/>
        <v>成新度</v>
      </c>
      <c r="R36" s="667" t="s">
        <v>14</v>
      </c>
      <c r="S36" s="668" t="e">
        <f t="shared" si="12"/>
        <v>#N/A</v>
      </c>
      <c r="T36" s="667" t="s">
        <v>14</v>
      </c>
      <c r="U36" s="668" t="e">
        <f t="shared" si="13"/>
        <v>#N/A</v>
      </c>
      <c r="V36" s="667" t="s">
        <v>14</v>
      </c>
      <c r="W36" s="668" t="e">
        <f t="shared" si="14"/>
        <v>#N/A</v>
      </c>
      <c r="X36" s="1265"/>
      <c r="Y36" s="3505"/>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7"/>
      <c r="N37" s="2437"/>
      <c r="O37" s="2437"/>
      <c r="P37" s="3503"/>
      <c r="Q37" s="530" t="str">
        <f t="shared" si="11"/>
        <v>市政基础设施</v>
      </c>
      <c r="R37" s="664" t="s">
        <v>14</v>
      </c>
      <c r="S37" s="665">
        <f t="shared" si="12"/>
        <v>100</v>
      </c>
      <c r="T37" s="664" t="s">
        <v>14</v>
      </c>
      <c r="U37" s="665">
        <f t="shared" si="13"/>
        <v>100</v>
      </c>
      <c r="V37" s="664" t="s">
        <v>14</v>
      </c>
      <c r="W37" s="665">
        <f t="shared" si="14"/>
        <v>100</v>
      </c>
      <c r="X37" s="666"/>
      <c r="Y37" s="3505"/>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503" t="s">
        <v>1694</v>
      </c>
      <c r="Q38" s="1263" t="str">
        <f t="shared" si="11"/>
        <v>业态</v>
      </c>
      <c r="R38" s="667" t="s">
        <v>14</v>
      </c>
      <c r="S38" s="668">
        <f t="shared" si="12"/>
        <v>100</v>
      </c>
      <c r="T38" s="667" t="s">
        <v>14</v>
      </c>
      <c r="U38" s="668">
        <f t="shared" si="13"/>
        <v>100</v>
      </c>
      <c r="V38" s="667" t="s">
        <v>14</v>
      </c>
      <c r="W38" s="668">
        <f t="shared" si="14"/>
        <v>100</v>
      </c>
      <c r="X38" s="1265"/>
      <c r="Y38" s="3505"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503"/>
      <c r="Q39" s="1263" t="str">
        <f t="shared" si="11"/>
        <v>层高</v>
      </c>
      <c r="R39" s="667" t="s">
        <v>14</v>
      </c>
      <c r="S39" s="668">
        <f t="shared" si="12"/>
        <v>100</v>
      </c>
      <c r="T39" s="667" t="s">
        <v>14</v>
      </c>
      <c r="U39" s="668">
        <f t="shared" si="13"/>
        <v>100</v>
      </c>
      <c r="V39" s="667" t="s">
        <v>14</v>
      </c>
      <c r="W39" s="668">
        <f t="shared" si="14"/>
        <v>100</v>
      </c>
      <c r="X39" s="1265"/>
      <c r="Y39" s="3505"/>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03"/>
      <c r="Q40" s="1263" t="str">
        <f t="shared" si="11"/>
        <v>单套建筑面积</v>
      </c>
      <c r="R40" s="667" t="s">
        <v>14</v>
      </c>
      <c r="S40" s="668">
        <f t="shared" si="12"/>
        <v>100</v>
      </c>
      <c r="T40" s="667" t="s">
        <v>14</v>
      </c>
      <c r="U40" s="668">
        <f t="shared" si="13"/>
        <v>100</v>
      </c>
      <c r="V40" s="667" t="s">
        <v>14</v>
      </c>
      <c r="W40" s="668">
        <f t="shared" si="14"/>
        <v>100</v>
      </c>
      <c r="X40" s="1265"/>
      <c r="Y40" s="3505"/>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03"/>
      <c r="Q41" s="531" t="str">
        <f t="shared" si="11"/>
        <v>进深比</v>
      </c>
      <c r="R41" s="669" t="s">
        <v>14</v>
      </c>
      <c r="S41" s="670">
        <f t="shared" si="12"/>
        <v>100</v>
      </c>
      <c r="T41" s="669" t="s">
        <v>14</v>
      </c>
      <c r="U41" s="670">
        <f t="shared" si="13"/>
        <v>100</v>
      </c>
      <c r="V41" s="669" t="s">
        <v>14</v>
      </c>
      <c r="W41" s="670">
        <f t="shared" si="14"/>
        <v>100</v>
      </c>
      <c r="X41" s="671"/>
      <c r="Y41" s="3505"/>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503"/>
      <c r="Q42" s="1263" t="str">
        <f t="shared" si="11"/>
        <v>内部装修</v>
      </c>
      <c r="R42" s="667" t="s">
        <v>14</v>
      </c>
      <c r="S42" s="668">
        <f t="shared" si="12"/>
        <v>100</v>
      </c>
      <c r="T42" s="667" t="s">
        <v>14</v>
      </c>
      <c r="U42" s="668">
        <f t="shared" si="13"/>
        <v>100</v>
      </c>
      <c r="V42" s="667" t="s">
        <v>14</v>
      </c>
      <c r="W42" s="668">
        <f t="shared" si="14"/>
        <v>100</v>
      </c>
      <c r="X42" s="1265"/>
      <c r="Y42" s="3505"/>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503"/>
      <c r="Q43" s="1263" t="str">
        <f t="shared" si="11"/>
        <v>内部装修维护情况</v>
      </c>
      <c r="R43" s="667" t="s">
        <v>14</v>
      </c>
      <c r="S43" s="668">
        <f t="shared" si="12"/>
        <v>100</v>
      </c>
      <c r="T43" s="667" t="s">
        <v>14</v>
      </c>
      <c r="U43" s="668">
        <f t="shared" si="13"/>
        <v>100</v>
      </c>
      <c r="V43" s="667" t="s">
        <v>14</v>
      </c>
      <c r="W43" s="668">
        <f t="shared" si="14"/>
        <v>100</v>
      </c>
      <c r="X43" s="1265"/>
      <c r="Y43" s="350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503"/>
      <c r="Q44" s="530">
        <f t="shared" si="11"/>
        <v>111</v>
      </c>
      <c r="R44" s="664" t="s">
        <v>14</v>
      </c>
      <c r="S44" s="665">
        <f t="shared" si="12"/>
        <v>100</v>
      </c>
      <c r="T44" s="664" t="s">
        <v>14</v>
      </c>
      <c r="U44" s="665">
        <f t="shared" si="13"/>
        <v>100</v>
      </c>
      <c r="V44" s="664" t="s">
        <v>14</v>
      </c>
      <c r="W44" s="665">
        <f t="shared" si="14"/>
        <v>100</v>
      </c>
      <c r="X44" s="666"/>
      <c r="Y44" s="350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503"/>
      <c r="Q45" s="1263">
        <f t="shared" si="11"/>
        <v>111</v>
      </c>
      <c r="R45" s="667" t="s">
        <v>14</v>
      </c>
      <c r="S45" s="668">
        <f t="shared" si="12"/>
        <v>100</v>
      </c>
      <c r="T45" s="667" t="s">
        <v>14</v>
      </c>
      <c r="U45" s="668">
        <f t="shared" si="13"/>
        <v>100</v>
      </c>
      <c r="V45" s="667" t="s">
        <v>14</v>
      </c>
      <c r="W45" s="668">
        <f t="shared" si="14"/>
        <v>100</v>
      </c>
      <c r="X45" s="1265"/>
      <c r="Y45" s="350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504"/>
      <c r="Q46" s="1263">
        <f t="shared" si="11"/>
        <v>111</v>
      </c>
      <c r="R46" s="667" t="s">
        <v>14</v>
      </c>
      <c r="S46" s="668">
        <f t="shared" si="12"/>
        <v>100</v>
      </c>
      <c r="T46" s="667" t="s">
        <v>14</v>
      </c>
      <c r="U46" s="668">
        <f t="shared" si="13"/>
        <v>100</v>
      </c>
      <c r="V46" s="667" t="s">
        <v>14</v>
      </c>
      <c r="W46" s="668">
        <f t="shared" si="14"/>
        <v>100</v>
      </c>
      <c r="X46" s="1265"/>
      <c r="Y46" s="3506"/>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2"/>
      <c r="M47" s="2485"/>
      <c r="N47" s="2485"/>
      <c r="O47" s="2485"/>
      <c r="P47" s="3493" t="str">
        <f>A47</f>
        <v>成交单价（元/平方米）</v>
      </c>
      <c r="Q47" s="3493"/>
      <c r="R47" s="3494">
        <f>E47</f>
        <v>0</v>
      </c>
      <c r="S47" s="3494"/>
      <c r="T47" s="3494">
        <f>G47</f>
        <v>0</v>
      </c>
      <c r="U47" s="3494"/>
      <c r="V47" s="3494">
        <f>I47</f>
        <v>0</v>
      </c>
      <c r="W47" s="3494"/>
      <c r="X47" s="385"/>
      <c r="Y47" s="673"/>
      <c r="Z47" s="385"/>
      <c r="AA47" s="385"/>
      <c r="AB47" s="385"/>
      <c r="AC47" s="385"/>
    </row>
    <row r="48" spans="1:29" ht="15.75" thickBot="1">
      <c r="A48" s="423" t="s">
        <v>1791</v>
      </c>
      <c r="B48" s="424"/>
      <c r="C48" s="1082" t="e">
        <f>R49</f>
        <v>#DIV/0!</v>
      </c>
      <c r="D48" s="2139" t="s">
        <v>2136</v>
      </c>
      <c r="E48" s="1083" t="e">
        <f>R48</f>
        <v>#DIV/0!</v>
      </c>
      <c r="F48" s="2140"/>
      <c r="G48" s="1082" t="e">
        <f>T48</f>
        <v>#DIV/0!</v>
      </c>
      <c r="H48" s="2140"/>
      <c r="I48" s="1083" t="e">
        <f>V48</f>
        <v>#DIV/0!</v>
      </c>
      <c r="J48" s="2140"/>
      <c r="K48" s="2142">
        <f>F48+H48+J48</f>
        <v>0</v>
      </c>
      <c r="L48" s="2492"/>
      <c r="M48" s="2485"/>
      <c r="N48" s="2485"/>
      <c r="O48" s="2485"/>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2"/>
      <c r="M49" s="2485"/>
      <c r="N49" s="2485"/>
      <c r="O49" s="2485"/>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1796</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1677</v>
      </c>
      <c r="B58" s="441"/>
      <c r="C58" s="1103" t="str">
        <f>YEAR(C7)&amp;"-"&amp;MONTH(C7)</f>
        <v>2023-10</v>
      </c>
      <c r="D58" s="1104">
        <f>EDATE(C58,-1)</f>
        <v>45170</v>
      </c>
      <c r="E58" s="1104">
        <f t="shared" ref="E58:N58" si="16">EDATE(D58,-1)</f>
        <v>45139</v>
      </c>
      <c r="F58" s="1104">
        <f t="shared" si="16"/>
        <v>45108</v>
      </c>
      <c r="G58" s="1104">
        <f t="shared" si="16"/>
        <v>45078</v>
      </c>
      <c r="H58" s="1104">
        <f t="shared" si="16"/>
        <v>45047</v>
      </c>
      <c r="I58" s="1104">
        <f t="shared" si="16"/>
        <v>45017</v>
      </c>
      <c r="J58" s="1104">
        <f t="shared" si="16"/>
        <v>44986</v>
      </c>
      <c r="K58" s="1104">
        <f t="shared" si="16"/>
        <v>44958</v>
      </c>
      <c r="L58" s="1104">
        <f t="shared" si="16"/>
        <v>44927</v>
      </c>
      <c r="M58" s="1104">
        <f t="shared" si="16"/>
        <v>44896</v>
      </c>
      <c r="N58" s="1104">
        <f t="shared" si="16"/>
        <v>44866</v>
      </c>
      <c r="O58" s="1104">
        <f>EDATE(N58,-1)</f>
        <v>44835</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1714</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1679</v>
      </c>
      <c r="B61" s="444"/>
      <c r="C61" s="456" t="s">
        <v>1774</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1717</v>
      </c>
      <c r="B63" s="460" t="s">
        <v>1683</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1686</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1688</v>
      </c>
      <c r="B76" s="460" t="s">
        <v>1718</v>
      </c>
      <c r="C76" s="504" t="s">
        <v>1719</v>
      </c>
      <c r="D76" s="504" t="s">
        <v>1720</v>
      </c>
      <c r="E76" s="504" t="s">
        <v>1721</v>
      </c>
      <c r="F76" s="504" t="s">
        <v>1722</v>
      </c>
      <c r="G76" s="504" t="s">
        <v>1723</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1724</v>
      </c>
      <c r="C78" s="509" t="s">
        <v>1719</v>
      </c>
      <c r="D78" s="509" t="s">
        <v>1720</v>
      </c>
      <c r="E78" s="509" t="s">
        <v>1721</v>
      </c>
      <c r="F78" s="509" t="s">
        <v>1722</v>
      </c>
      <c r="G78" s="509" t="s">
        <v>1723</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1725</v>
      </c>
      <c r="C80" s="509" t="s">
        <v>1719</v>
      </c>
      <c r="D80" s="509" t="s">
        <v>1720</v>
      </c>
      <c r="E80" s="509" t="s">
        <v>1721</v>
      </c>
      <c r="F80" s="509" t="s">
        <v>1722</v>
      </c>
      <c r="G80" s="509" t="s">
        <v>1723</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1777</v>
      </c>
      <c r="C82" s="581" t="s">
        <v>1797</v>
      </c>
      <c r="D82" s="581" t="s">
        <v>1798</v>
      </c>
      <c r="E82" s="581" t="s">
        <v>1799</v>
      </c>
      <c r="F82" s="581" t="s">
        <v>1800</v>
      </c>
      <c r="G82" s="581" t="s">
        <v>1801</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1731</v>
      </c>
      <c r="C84" s="509" t="s">
        <v>1719</v>
      </c>
      <c r="D84" s="509" t="s">
        <v>1720</v>
      </c>
      <c r="E84" s="509" t="s">
        <v>1721</v>
      </c>
      <c r="F84" s="509" t="s">
        <v>1722</v>
      </c>
      <c r="G84" s="509" t="s">
        <v>1723</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1802</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1692</v>
      </c>
      <c r="B100" s="460" t="s">
        <v>1803</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1736</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1738</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1740</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1804</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1805</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1806</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1807</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1742</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3" width="15.6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806" t="s">
        <v>1808</v>
      </c>
      <c r="C1" s="1141" t="s">
        <v>1660</v>
      </c>
      <c r="D1" s="1142"/>
      <c r="E1" s="3129"/>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IF(C2="——",C50,ROUND(B2*10000/D3,0))</f>
        <v>#DIV/0!</v>
      </c>
      <c r="C3" s="344" t="s">
        <v>1766</v>
      </c>
      <c r="D3" s="343">
        <f>IF(D1="",'数据-汇总表'!E3,SUMIF('数据-汇总表'!$C19:$C33,D1,'数据-汇总表'!$E19:$E33))</f>
        <v>0</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1767</v>
      </c>
      <c r="B4" s="346"/>
      <c r="C4" s="3520" t="s">
        <v>1768</v>
      </c>
      <c r="D4" s="3521"/>
      <c r="E4" s="3522" t="s">
        <v>1769</v>
      </c>
      <c r="F4" s="3523"/>
      <c r="G4" s="3520" t="s">
        <v>1770</v>
      </c>
      <c r="H4" s="3521"/>
      <c r="I4" s="3520" t="s">
        <v>1771</v>
      </c>
      <c r="J4" s="3521"/>
      <c r="K4" s="537" t="s">
        <v>1772</v>
      </c>
      <c r="L4" s="2484"/>
      <c r="M4" s="2485"/>
      <c r="N4" s="2485"/>
      <c r="O4" s="2485"/>
      <c r="P4" s="3545" t="s">
        <v>1773</v>
      </c>
      <c r="Q4" s="3546"/>
      <c r="R4" s="3549" t="s">
        <v>1769</v>
      </c>
      <c r="S4" s="3550"/>
      <c r="T4" s="3549" t="s">
        <v>1770</v>
      </c>
      <c r="U4" s="3550"/>
      <c r="V4" s="3551" t="s">
        <v>1771</v>
      </c>
      <c r="W4" s="3551"/>
      <c r="X4" s="1807"/>
      <c r="Y4" s="3549" t="s">
        <v>1773</v>
      </c>
      <c r="Z4" s="3550"/>
      <c r="AA4" s="3553" t="s">
        <v>1769</v>
      </c>
      <c r="AB4" s="3553" t="s">
        <v>1770</v>
      </c>
      <c r="AC4" s="3542" t="s">
        <v>1771</v>
      </c>
    </row>
    <row r="5" spans="1:29" ht="15">
      <c r="A5" s="348"/>
      <c r="B5" s="349"/>
      <c r="C5" s="3530" t="s">
        <v>1671</v>
      </c>
      <c r="D5" s="3531"/>
      <c r="E5" s="3532" t="s">
        <v>1672</v>
      </c>
      <c r="F5" s="3533"/>
      <c r="G5" s="3530" t="s">
        <v>1673</v>
      </c>
      <c r="H5" s="3531"/>
      <c r="I5" s="3530" t="s">
        <v>1674</v>
      </c>
      <c r="J5" s="3531"/>
      <c r="K5" s="537"/>
      <c r="L5" s="2484"/>
      <c r="M5" s="2485"/>
      <c r="N5" s="2485"/>
      <c r="O5" s="2485"/>
      <c r="P5" s="3547"/>
      <c r="Q5" s="3527"/>
      <c r="R5" s="3512"/>
      <c r="S5" s="3513"/>
      <c r="T5" s="3512"/>
      <c r="U5" s="3513"/>
      <c r="V5" s="3494"/>
      <c r="W5" s="3494"/>
      <c r="X5" s="1265"/>
      <c r="Y5" s="3512"/>
      <c r="Z5" s="3513"/>
      <c r="AA5" s="3517"/>
      <c r="AB5" s="3517"/>
      <c r="AC5" s="3543"/>
    </row>
    <row r="6" spans="1:29" ht="15.75" thickBot="1">
      <c r="A6" s="350"/>
      <c r="B6" s="351"/>
      <c r="C6" s="3534" t="s">
        <v>1675</v>
      </c>
      <c r="D6" s="3535"/>
      <c r="E6" s="3536" t="s">
        <v>1675</v>
      </c>
      <c r="F6" s="3537"/>
      <c r="G6" s="3534" t="s">
        <v>1675</v>
      </c>
      <c r="H6" s="3535"/>
      <c r="I6" s="3534" t="s">
        <v>1675</v>
      </c>
      <c r="J6" s="3535"/>
      <c r="K6" s="537" t="s">
        <v>1676</v>
      </c>
      <c r="L6" s="2484"/>
      <c r="M6" s="2485"/>
      <c r="N6" s="2485"/>
      <c r="O6" s="2485"/>
      <c r="P6" s="3548"/>
      <c r="Q6" s="3529"/>
      <c r="R6" s="3512"/>
      <c r="S6" s="3513"/>
      <c r="T6" s="3514"/>
      <c r="U6" s="3515"/>
      <c r="V6" s="3494"/>
      <c r="W6" s="3494"/>
      <c r="X6" s="1265"/>
      <c r="Y6" s="3514"/>
      <c r="Z6" s="3515"/>
      <c r="AA6" s="3518"/>
      <c r="AB6" s="3518"/>
      <c r="AC6" s="3544"/>
    </row>
    <row r="7" spans="1:29" s="102" customFormat="1" ht="15.75" thickBot="1">
      <c r="A7" s="352" t="s">
        <v>1677</v>
      </c>
      <c r="B7" s="353"/>
      <c r="C7" s="354">
        <f>'数据-取费表'!B2</f>
        <v>45221</v>
      </c>
      <c r="D7" s="355">
        <v>100</v>
      </c>
      <c r="E7" s="356"/>
      <c r="F7" s="357">
        <f>SUMIF(59:59,YEAR(E7)&amp;"-"&amp;MONTH(E7),60:60)</f>
        <v>0</v>
      </c>
      <c r="G7" s="356"/>
      <c r="H7" s="355">
        <f>SUMIF(59:59,YEAR(G7)&amp;"-"&amp;MONTH(G7),60:60)</f>
        <v>0</v>
      </c>
      <c r="I7" s="356"/>
      <c r="J7" s="355">
        <f>SUMIF(59:59,YEAR(I7)&amp;"-"&amp;MONTH(I7),60:60)</f>
        <v>0</v>
      </c>
      <c r="K7" s="38"/>
      <c r="L7" s="2486"/>
      <c r="M7" s="2437"/>
      <c r="N7" s="2437"/>
      <c r="O7" s="2437"/>
      <c r="P7" s="3552" t="s">
        <v>1678</v>
      </c>
      <c r="Q7" s="3519"/>
      <c r="R7" s="664" t="s">
        <v>14</v>
      </c>
      <c r="S7" s="665">
        <f t="shared" ref="S7:S15" si="0">F7</f>
        <v>0</v>
      </c>
      <c r="T7" s="664" t="s">
        <v>14</v>
      </c>
      <c r="U7" s="665">
        <f t="shared" ref="U7:U15" si="1">H7</f>
        <v>0</v>
      </c>
      <c r="V7" s="664" t="s">
        <v>14</v>
      </c>
      <c r="W7" s="665">
        <f t="shared" ref="W7:W15" si="2">J7</f>
        <v>0</v>
      </c>
      <c r="X7" s="666"/>
      <c r="Y7" s="3507" t="s">
        <v>1678</v>
      </c>
      <c r="Z7" s="3508"/>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552" t="s">
        <v>1681</v>
      </c>
      <c r="Q8" s="3508"/>
      <c r="R8" s="664" t="s">
        <v>14</v>
      </c>
      <c r="S8" s="665">
        <f t="shared" si="0"/>
        <v>100</v>
      </c>
      <c r="T8" s="664" t="s">
        <v>14</v>
      </c>
      <c r="U8" s="665">
        <f t="shared" si="1"/>
        <v>100</v>
      </c>
      <c r="V8" s="664" t="s">
        <v>14</v>
      </c>
      <c r="W8" s="665">
        <f t="shared" si="2"/>
        <v>100</v>
      </c>
      <c r="X8" s="666"/>
      <c r="Y8" s="3507" t="s">
        <v>1681</v>
      </c>
      <c r="Z8" s="3508"/>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509"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802">
        <f t="shared" si="5"/>
        <v>1</v>
      </c>
    </row>
    <row r="10" spans="1:29" s="366" customFormat="1" ht="27">
      <c r="A10" s="363"/>
      <c r="B10" s="364" t="s">
        <v>1686</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50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509"/>
      <c r="Q11" s="530" t="str">
        <f t="shared" si="6"/>
        <v>容积率</v>
      </c>
      <c r="R11" s="664" t="s">
        <v>14</v>
      </c>
      <c r="S11" s="665">
        <f t="shared" si="0"/>
        <v>100</v>
      </c>
      <c r="T11" s="664" t="s">
        <v>14</v>
      </c>
      <c r="U11" s="665">
        <f t="shared" si="1"/>
        <v>100</v>
      </c>
      <c r="V11" s="664" t="s">
        <v>14</v>
      </c>
      <c r="W11" s="665">
        <f t="shared" si="2"/>
        <v>100</v>
      </c>
      <c r="X11" s="666"/>
      <c r="Y11" s="33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509"/>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509"/>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509"/>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802">
        <f t="shared" si="5"/>
        <v>1</v>
      </c>
    </row>
    <row r="15" spans="1:29" ht="71.25">
      <c r="A15" s="379" t="s">
        <v>1688</v>
      </c>
      <c r="B15" s="554" t="s">
        <v>1809</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98" t="s">
        <v>1689</v>
      </c>
      <c r="Q15" s="1263" t="str">
        <f t="shared" si="6"/>
        <v>办公集聚程度</v>
      </c>
      <c r="R15" s="667" t="s">
        <v>14</v>
      </c>
      <c r="S15" s="668">
        <f t="shared" si="0"/>
        <v>100</v>
      </c>
      <c r="T15" s="667" t="s">
        <v>14</v>
      </c>
      <c r="U15" s="668">
        <f t="shared" si="1"/>
        <v>100</v>
      </c>
      <c r="V15" s="667" t="s">
        <v>14</v>
      </c>
      <c r="W15" s="668">
        <f t="shared" si="2"/>
        <v>100</v>
      </c>
      <c r="X15" s="1265"/>
      <c r="Y15" s="3500" t="s">
        <v>1689</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0"/>
      <c r="M16" s="2485"/>
      <c r="N16" s="2485"/>
      <c r="O16" s="2485"/>
      <c r="P16" s="3499"/>
      <c r="Q16" s="1263"/>
      <c r="R16" s="667"/>
      <c r="S16" s="668"/>
      <c r="T16" s="667"/>
      <c r="U16" s="668"/>
      <c r="V16" s="667"/>
      <c r="W16" s="668"/>
      <c r="X16" s="1265"/>
      <c r="Y16" s="3501"/>
      <c r="Z16" s="1264"/>
      <c r="AA16" s="1264">
        <v>1</v>
      </c>
      <c r="AB16" s="1264">
        <v>1</v>
      </c>
      <c r="AC16" s="1810">
        <v>1</v>
      </c>
    </row>
    <row r="17" spans="1:29" ht="71.25">
      <c r="A17" s="367"/>
      <c r="B17" s="556" t="s">
        <v>1257</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99"/>
      <c r="Q17" s="1263" t="str">
        <f>B17</f>
        <v>交通便捷度</v>
      </c>
      <c r="R17" s="667" t="s">
        <v>14</v>
      </c>
      <c r="S17" s="668">
        <f>F17</f>
        <v>100</v>
      </c>
      <c r="T17" s="667" t="s">
        <v>14</v>
      </c>
      <c r="U17" s="668">
        <f>H17</f>
        <v>100</v>
      </c>
      <c r="V17" s="667" t="s">
        <v>14</v>
      </c>
      <c r="W17" s="668">
        <f>J17</f>
        <v>100</v>
      </c>
      <c r="X17" s="1265"/>
      <c r="Y17" s="3501"/>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0"/>
      <c r="M18" s="2485"/>
      <c r="N18" s="2485"/>
      <c r="O18" s="2485"/>
      <c r="P18" s="3499"/>
      <c r="Q18" s="1263"/>
      <c r="R18" s="667"/>
      <c r="S18" s="668"/>
      <c r="T18" s="667"/>
      <c r="U18" s="668"/>
      <c r="V18" s="667"/>
      <c r="W18" s="668"/>
      <c r="X18" s="1265"/>
      <c r="Y18" s="3501"/>
      <c r="Z18" s="1264"/>
      <c r="AA18" s="1264">
        <v>1</v>
      </c>
      <c r="AB18" s="1264">
        <v>1</v>
      </c>
      <c r="AC18" s="1810">
        <v>1</v>
      </c>
    </row>
    <row r="19" spans="1:29" ht="42.75">
      <c r="A19" s="367"/>
      <c r="B19" s="556" t="s">
        <v>1810</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99"/>
      <c r="Q19" s="1263" t="str">
        <f>B19</f>
        <v>公共配套设施</v>
      </c>
      <c r="R19" s="667" t="s">
        <v>14</v>
      </c>
      <c r="S19" s="668">
        <f>F19</f>
        <v>100</v>
      </c>
      <c r="T19" s="667" t="s">
        <v>14</v>
      </c>
      <c r="U19" s="668">
        <f>H19</f>
        <v>100</v>
      </c>
      <c r="V19" s="667" t="s">
        <v>14</v>
      </c>
      <c r="W19" s="668">
        <f>J19</f>
        <v>100</v>
      </c>
      <c r="X19" s="1265"/>
      <c r="Y19" s="3501"/>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0"/>
      <c r="M20" s="2485"/>
      <c r="N20" s="2485"/>
      <c r="O20" s="2485"/>
      <c r="P20" s="3499"/>
      <c r="Q20" s="1263"/>
      <c r="R20" s="667"/>
      <c r="S20" s="668"/>
      <c r="T20" s="667"/>
      <c r="U20" s="668"/>
      <c r="V20" s="667"/>
      <c r="W20" s="668"/>
      <c r="X20" s="1265"/>
      <c r="Y20" s="3501"/>
      <c r="Z20" s="1264"/>
      <c r="AA20" s="1264">
        <v>1</v>
      </c>
      <c r="AB20" s="1264">
        <v>1</v>
      </c>
      <c r="AC20" s="1810">
        <v>1</v>
      </c>
    </row>
    <row r="21" spans="1:29" ht="28.5">
      <c r="A21" s="367"/>
      <c r="B21" s="557" t="s">
        <v>1811</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99"/>
      <c r="Q21" s="1263" t="str">
        <f>B21</f>
        <v>基础设施水平</v>
      </c>
      <c r="R21" s="667" t="s">
        <v>14</v>
      </c>
      <c r="S21" s="668">
        <f>F21</f>
        <v>100</v>
      </c>
      <c r="T21" s="667" t="s">
        <v>14</v>
      </c>
      <c r="U21" s="668">
        <f>H21</f>
        <v>100</v>
      </c>
      <c r="V21" s="667" t="s">
        <v>14</v>
      </c>
      <c r="W21" s="668">
        <f>J21</f>
        <v>100</v>
      </c>
      <c r="X21" s="1265"/>
      <c r="Y21" s="3501"/>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0"/>
      <c r="M22" s="2485"/>
      <c r="N22" s="2485"/>
      <c r="O22" s="2485"/>
      <c r="P22" s="3499"/>
      <c r="Q22" s="1263"/>
      <c r="R22" s="667"/>
      <c r="S22" s="668"/>
      <c r="T22" s="667"/>
      <c r="U22" s="668"/>
      <c r="V22" s="667"/>
      <c r="W22" s="668"/>
      <c r="X22" s="1265"/>
      <c r="Y22" s="3501"/>
      <c r="Z22" s="1264"/>
      <c r="AA22" s="1264">
        <v>1</v>
      </c>
      <c r="AB22" s="1264">
        <v>1</v>
      </c>
      <c r="AC22" s="1810">
        <v>1</v>
      </c>
    </row>
    <row r="23" spans="1:29" ht="42.75">
      <c r="A23" s="367"/>
      <c r="B23" s="556" t="s">
        <v>1812</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99"/>
      <c r="Q23" s="1263" t="str">
        <f>B23</f>
        <v>环境质量</v>
      </c>
      <c r="R23" s="667" t="s">
        <v>14</v>
      </c>
      <c r="S23" s="668">
        <f>F23</f>
        <v>100</v>
      </c>
      <c r="T23" s="667" t="s">
        <v>14</v>
      </c>
      <c r="U23" s="668">
        <f>H23</f>
        <v>100</v>
      </c>
      <c r="V23" s="667" t="s">
        <v>14</v>
      </c>
      <c r="W23" s="668">
        <f>J23</f>
        <v>100</v>
      </c>
      <c r="X23" s="1265"/>
      <c r="Y23" s="3501"/>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0"/>
      <c r="M24" s="2485"/>
      <c r="N24" s="2485"/>
      <c r="O24" s="2485"/>
      <c r="P24" s="3499"/>
      <c r="Q24" s="1263"/>
      <c r="R24" s="667"/>
      <c r="S24" s="668"/>
      <c r="T24" s="667"/>
      <c r="U24" s="668"/>
      <c r="V24" s="667"/>
      <c r="W24" s="668"/>
      <c r="X24" s="1265"/>
      <c r="Y24" s="3501"/>
      <c r="Z24" s="1264"/>
      <c r="AA24" s="1264">
        <v>1</v>
      </c>
      <c r="AB24" s="1264">
        <v>1</v>
      </c>
      <c r="AC24" s="1810">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99"/>
      <c r="Q25" s="1263" t="str">
        <f>B25</f>
        <v>毗邻道路的类型与等级</v>
      </c>
      <c r="R25" s="667" t="s">
        <v>14</v>
      </c>
      <c r="S25" s="668">
        <f>F25</f>
        <v>100</v>
      </c>
      <c r="T25" s="667" t="s">
        <v>14</v>
      </c>
      <c r="U25" s="668">
        <f>H25</f>
        <v>100</v>
      </c>
      <c r="V25" s="667" t="s">
        <v>14</v>
      </c>
      <c r="W25" s="668">
        <f>J25</f>
        <v>100</v>
      </c>
      <c r="X25" s="1265"/>
      <c r="Y25" s="3501"/>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0"/>
      <c r="M26" s="2485"/>
      <c r="N26" s="2485"/>
      <c r="O26" s="2485"/>
      <c r="P26" s="3499"/>
      <c r="Q26" s="1263"/>
      <c r="R26" s="667"/>
      <c r="S26" s="668"/>
      <c r="T26" s="667"/>
      <c r="U26" s="668"/>
      <c r="V26" s="667"/>
      <c r="W26" s="668"/>
      <c r="X26" s="1265"/>
      <c r="Y26" s="3501"/>
      <c r="Z26" s="1264"/>
      <c r="AA26" s="1264">
        <v>1</v>
      </c>
      <c r="AB26" s="1264">
        <v>1</v>
      </c>
      <c r="AC26" s="1810">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99"/>
      <c r="Q27" s="1263" t="str">
        <f t="shared" ref="Q27:Q47" si="11">B27</f>
        <v>楼层</v>
      </c>
      <c r="R27" s="667" t="s">
        <v>14</v>
      </c>
      <c r="S27" s="668">
        <f>F27</f>
        <v>100</v>
      </c>
      <c r="T27" s="667" t="s">
        <v>14</v>
      </c>
      <c r="U27" s="668">
        <f>H27</f>
        <v>100</v>
      </c>
      <c r="V27" s="667" t="s">
        <v>14</v>
      </c>
      <c r="W27" s="668">
        <f>J27</f>
        <v>100</v>
      </c>
      <c r="X27" s="1265"/>
      <c r="Y27" s="3501"/>
      <c r="Z27" s="1264" t="str">
        <f>Q27</f>
        <v>楼层</v>
      </c>
      <c r="AA27" s="1264">
        <f t="shared" si="3"/>
        <v>1</v>
      </c>
      <c r="AB27" s="1264">
        <f t="shared" si="4"/>
        <v>1</v>
      </c>
      <c r="AC27" s="1810">
        <f t="shared" si="5"/>
        <v>1</v>
      </c>
    </row>
    <row r="28" spans="1:29" s="102" customFormat="1" ht="15">
      <c r="A28" s="370"/>
      <c r="B28" s="556" t="s">
        <v>1814</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99"/>
      <c r="Q28" s="530" t="str">
        <f t="shared" si="11"/>
        <v>朝向</v>
      </c>
      <c r="R28" s="664" t="s">
        <v>14</v>
      </c>
      <c r="S28" s="665">
        <f>F28</f>
        <v>100</v>
      </c>
      <c r="T28" s="664" t="s">
        <v>14</v>
      </c>
      <c r="U28" s="665">
        <f>H28</f>
        <v>100</v>
      </c>
      <c r="V28" s="664" t="s">
        <v>14</v>
      </c>
      <c r="W28" s="665">
        <f>J28</f>
        <v>100</v>
      </c>
      <c r="X28" s="666"/>
      <c r="Y28" s="3501"/>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99"/>
      <c r="Q29" s="1263">
        <f t="shared" si="11"/>
        <v>111</v>
      </c>
      <c r="R29" s="667" t="s">
        <v>14</v>
      </c>
      <c r="S29" s="668">
        <f t="shared" ref="S29:S47" si="12">F29</f>
        <v>100</v>
      </c>
      <c r="T29" s="667" t="s">
        <v>14</v>
      </c>
      <c r="U29" s="668">
        <f t="shared" ref="U29:U47" si="13">H29</f>
        <v>100</v>
      </c>
      <c r="V29" s="667" t="s">
        <v>14</v>
      </c>
      <c r="W29" s="668">
        <f t="shared" ref="W29:W47" si="14">J29</f>
        <v>100</v>
      </c>
      <c r="X29" s="1265"/>
      <c r="Y29" s="3501"/>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99"/>
      <c r="Q30" s="1263">
        <f t="shared" si="11"/>
        <v>111</v>
      </c>
      <c r="R30" s="667" t="s">
        <v>14</v>
      </c>
      <c r="S30" s="668">
        <f t="shared" si="12"/>
        <v>100</v>
      </c>
      <c r="T30" s="667" t="s">
        <v>14</v>
      </c>
      <c r="U30" s="668">
        <f t="shared" si="13"/>
        <v>100</v>
      </c>
      <c r="V30" s="667" t="s">
        <v>14</v>
      </c>
      <c r="W30" s="668">
        <f t="shared" si="14"/>
        <v>100</v>
      </c>
      <c r="X30" s="1265"/>
      <c r="Y30" s="3501"/>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99"/>
      <c r="Q31" s="1263">
        <f t="shared" si="11"/>
        <v>111</v>
      </c>
      <c r="R31" s="667" t="s">
        <v>14</v>
      </c>
      <c r="S31" s="668">
        <f t="shared" si="12"/>
        <v>100</v>
      </c>
      <c r="T31" s="667" t="s">
        <v>14</v>
      </c>
      <c r="U31" s="668">
        <f t="shared" si="13"/>
        <v>100</v>
      </c>
      <c r="V31" s="667" t="s">
        <v>14</v>
      </c>
      <c r="W31" s="668">
        <f t="shared" si="14"/>
        <v>100</v>
      </c>
      <c r="X31" s="1265"/>
      <c r="Y31" s="3501"/>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99"/>
      <c r="Q32" s="1263">
        <f t="shared" si="11"/>
        <v>111</v>
      </c>
      <c r="R32" s="667" t="s">
        <v>14</v>
      </c>
      <c r="S32" s="668">
        <f t="shared" si="12"/>
        <v>100</v>
      </c>
      <c r="T32" s="667" t="s">
        <v>14</v>
      </c>
      <c r="U32" s="668">
        <f t="shared" si="13"/>
        <v>100</v>
      </c>
      <c r="V32" s="667" t="s">
        <v>14</v>
      </c>
      <c r="W32" s="668">
        <f t="shared" si="14"/>
        <v>100</v>
      </c>
      <c r="X32" s="1265"/>
      <c r="Y32" s="3501"/>
      <c r="Z32" s="1264">
        <f t="shared" si="15"/>
        <v>111</v>
      </c>
      <c r="AA32" s="1264">
        <f t="shared" si="3"/>
        <v>1</v>
      </c>
      <c r="AB32" s="1264">
        <f t="shared" si="4"/>
        <v>1</v>
      </c>
      <c r="AC32" s="1810">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502" t="s">
        <v>1694</v>
      </c>
      <c r="Q33" s="1263" t="str">
        <f t="shared" si="11"/>
        <v>建筑类型</v>
      </c>
      <c r="R33" s="667" t="s">
        <v>14</v>
      </c>
      <c r="S33" s="668">
        <f t="shared" si="12"/>
        <v>100</v>
      </c>
      <c r="T33" s="667" t="s">
        <v>14</v>
      </c>
      <c r="U33" s="668">
        <f t="shared" si="13"/>
        <v>100</v>
      </c>
      <c r="V33" s="667" t="s">
        <v>14</v>
      </c>
      <c r="W33" s="668">
        <f t="shared" si="14"/>
        <v>100</v>
      </c>
      <c r="X33" s="1265"/>
      <c r="Y33" s="3505" t="s">
        <v>1694</v>
      </c>
      <c r="Z33" s="1264" t="str">
        <f t="shared" si="15"/>
        <v>建筑类型</v>
      </c>
      <c r="AA33" s="1264">
        <f t="shared" si="3"/>
        <v>1</v>
      </c>
      <c r="AB33" s="1264">
        <f t="shared" si="4"/>
        <v>1</v>
      </c>
      <c r="AC33" s="1810">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503"/>
      <c r="Q34" s="531" t="str">
        <f t="shared" si="11"/>
        <v>项目建筑规模</v>
      </c>
      <c r="R34" s="669" t="s">
        <v>14</v>
      </c>
      <c r="S34" s="670" t="e">
        <f t="shared" si="12"/>
        <v>#N/A</v>
      </c>
      <c r="T34" s="669" t="s">
        <v>14</v>
      </c>
      <c r="U34" s="670" t="e">
        <f t="shared" si="13"/>
        <v>#N/A</v>
      </c>
      <c r="V34" s="669" t="s">
        <v>14</v>
      </c>
      <c r="W34" s="670" t="e">
        <f t="shared" si="14"/>
        <v>#N/A</v>
      </c>
      <c r="X34" s="671"/>
      <c r="Y34" s="3505"/>
      <c r="Z34" s="672" t="str">
        <f t="shared" si="15"/>
        <v>项目建筑规模</v>
      </c>
      <c r="AA34" s="1264" t="e">
        <f t="shared" si="3"/>
        <v>#N/A</v>
      </c>
      <c r="AB34" s="1264" t="e">
        <f t="shared" si="4"/>
        <v>#N/A</v>
      </c>
      <c r="AC34" s="1810"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503"/>
      <c r="Q35" s="1263" t="str">
        <f t="shared" si="11"/>
        <v>建筑结构</v>
      </c>
      <c r="R35" s="667" t="s">
        <v>14</v>
      </c>
      <c r="S35" s="668">
        <f t="shared" si="12"/>
        <v>100</v>
      </c>
      <c r="T35" s="667" t="s">
        <v>14</v>
      </c>
      <c r="U35" s="668">
        <f t="shared" si="13"/>
        <v>100</v>
      </c>
      <c r="V35" s="667" t="s">
        <v>14</v>
      </c>
      <c r="W35" s="668">
        <f t="shared" si="14"/>
        <v>100</v>
      </c>
      <c r="X35" s="1265"/>
      <c r="Y35" s="3505"/>
      <c r="Z35" s="1264" t="str">
        <f t="shared" si="15"/>
        <v>建筑结构</v>
      </c>
      <c r="AA35" s="1264">
        <f t="shared" si="3"/>
        <v>1</v>
      </c>
      <c r="AB35" s="1264">
        <f t="shared" si="4"/>
        <v>1</v>
      </c>
      <c r="AC35" s="1810">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503"/>
      <c r="Q36" s="1263" t="str">
        <f t="shared" si="11"/>
        <v>公共部分装修</v>
      </c>
      <c r="R36" s="667" t="s">
        <v>14</v>
      </c>
      <c r="S36" s="668">
        <f t="shared" si="12"/>
        <v>100</v>
      </c>
      <c r="T36" s="667" t="s">
        <v>14</v>
      </c>
      <c r="U36" s="668">
        <f t="shared" si="13"/>
        <v>100</v>
      </c>
      <c r="V36" s="667" t="s">
        <v>14</v>
      </c>
      <c r="W36" s="668">
        <f t="shared" si="14"/>
        <v>100</v>
      </c>
      <c r="X36" s="1265"/>
      <c r="Y36" s="3505"/>
      <c r="Z36" s="1264" t="str">
        <f t="shared" si="15"/>
        <v>公共部分装修</v>
      </c>
      <c r="AA36" s="1264">
        <f t="shared" si="3"/>
        <v>1</v>
      </c>
      <c r="AB36" s="1264">
        <f t="shared" si="4"/>
        <v>1</v>
      </c>
      <c r="AC36" s="1810">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503"/>
      <c r="Q37" s="1263" t="str">
        <f t="shared" si="11"/>
        <v>成新度</v>
      </c>
      <c r="R37" s="667" t="s">
        <v>14</v>
      </c>
      <c r="S37" s="668" t="e">
        <f t="shared" si="12"/>
        <v>#N/A</v>
      </c>
      <c r="T37" s="667" t="s">
        <v>14</v>
      </c>
      <c r="U37" s="668" t="e">
        <f t="shared" si="13"/>
        <v>#N/A</v>
      </c>
      <c r="V37" s="667" t="s">
        <v>14</v>
      </c>
      <c r="W37" s="668" t="e">
        <f t="shared" si="14"/>
        <v>#N/A</v>
      </c>
      <c r="X37" s="1265"/>
      <c r="Y37" s="3505"/>
      <c r="Z37" s="1264" t="str">
        <f t="shared" si="15"/>
        <v>成新度</v>
      </c>
      <c r="AA37" s="1264" t="e">
        <f t="shared" si="3"/>
        <v>#N/A</v>
      </c>
      <c r="AB37" s="1264" t="e">
        <f t="shared" si="4"/>
        <v>#N/A</v>
      </c>
      <c r="AC37" s="1810"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503"/>
      <c r="Q38" s="530" t="str">
        <f t="shared" si="11"/>
        <v>写字楼等级</v>
      </c>
      <c r="R38" s="664" t="s">
        <v>14</v>
      </c>
      <c r="S38" s="665">
        <f t="shared" si="12"/>
        <v>100</v>
      </c>
      <c r="T38" s="664" t="s">
        <v>14</v>
      </c>
      <c r="U38" s="665">
        <f t="shared" si="13"/>
        <v>100</v>
      </c>
      <c r="V38" s="664" t="s">
        <v>14</v>
      </c>
      <c r="W38" s="665">
        <f t="shared" si="14"/>
        <v>100</v>
      </c>
      <c r="X38" s="666"/>
      <c r="Y38" s="3505"/>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503" t="s">
        <v>1694</v>
      </c>
      <c r="Q39" s="1263" t="str">
        <f t="shared" si="11"/>
        <v>物业管理</v>
      </c>
      <c r="R39" s="667" t="s">
        <v>14</v>
      </c>
      <c r="S39" s="668">
        <f t="shared" si="12"/>
        <v>100</v>
      </c>
      <c r="T39" s="667" t="s">
        <v>14</v>
      </c>
      <c r="U39" s="668">
        <f t="shared" si="13"/>
        <v>100</v>
      </c>
      <c r="V39" s="667" t="s">
        <v>14</v>
      </c>
      <c r="W39" s="668">
        <f t="shared" si="14"/>
        <v>100</v>
      </c>
      <c r="X39" s="1265"/>
      <c r="Y39" s="3505" t="s">
        <v>1694</v>
      </c>
      <c r="Z39" s="1264" t="str">
        <f t="shared" si="15"/>
        <v>物业管理</v>
      </c>
      <c r="AA39" s="1264">
        <f t="shared" si="3"/>
        <v>1</v>
      </c>
      <c r="AB39" s="1264">
        <f t="shared" si="4"/>
        <v>1</v>
      </c>
      <c r="AC39" s="1810">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503"/>
      <c r="Q40" s="1263" t="str">
        <f t="shared" si="11"/>
        <v>市政基础设施</v>
      </c>
      <c r="R40" s="667" t="s">
        <v>14</v>
      </c>
      <c r="S40" s="668">
        <f t="shared" si="12"/>
        <v>100</v>
      </c>
      <c r="T40" s="667" t="s">
        <v>14</v>
      </c>
      <c r="U40" s="668">
        <f t="shared" si="13"/>
        <v>100</v>
      </c>
      <c r="V40" s="667" t="s">
        <v>14</v>
      </c>
      <c r="W40" s="668">
        <f t="shared" si="14"/>
        <v>100</v>
      </c>
      <c r="X40" s="1265"/>
      <c r="Y40" s="3505"/>
      <c r="Z40" s="1264" t="str">
        <f t="shared" si="15"/>
        <v>市政基础设施</v>
      </c>
      <c r="AA40" s="1264">
        <f t="shared" si="3"/>
        <v>1</v>
      </c>
      <c r="AB40" s="1264">
        <f t="shared" si="4"/>
        <v>1</v>
      </c>
      <c r="AC40" s="1810">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503"/>
      <c r="Q41" s="1263" t="str">
        <f t="shared" si="11"/>
        <v>层高</v>
      </c>
      <c r="R41" s="667" t="s">
        <v>14</v>
      </c>
      <c r="S41" s="668">
        <f t="shared" si="12"/>
        <v>100</v>
      </c>
      <c r="T41" s="667" t="s">
        <v>14</v>
      </c>
      <c r="U41" s="668">
        <f t="shared" si="13"/>
        <v>100</v>
      </c>
      <c r="V41" s="667" t="s">
        <v>14</v>
      </c>
      <c r="W41" s="668">
        <f t="shared" si="14"/>
        <v>100</v>
      </c>
      <c r="X41" s="1265"/>
      <c r="Y41" s="3505"/>
      <c r="Z41" s="1264" t="str">
        <f t="shared" si="15"/>
        <v>层高</v>
      </c>
      <c r="AA41" s="1264">
        <f t="shared" si="3"/>
        <v>1</v>
      </c>
      <c r="AB41" s="1264">
        <f t="shared" si="4"/>
        <v>1</v>
      </c>
      <c r="AC41" s="1810">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503"/>
      <c r="Q42" s="531" t="str">
        <f t="shared" si="11"/>
        <v>单套建筑面积</v>
      </c>
      <c r="R42" s="669" t="s">
        <v>14</v>
      </c>
      <c r="S42" s="670">
        <f t="shared" si="12"/>
        <v>100</v>
      </c>
      <c r="T42" s="669" t="s">
        <v>14</v>
      </c>
      <c r="U42" s="670">
        <f t="shared" si="13"/>
        <v>100</v>
      </c>
      <c r="V42" s="669" t="s">
        <v>14</v>
      </c>
      <c r="W42" s="670">
        <f t="shared" si="14"/>
        <v>100</v>
      </c>
      <c r="X42" s="671"/>
      <c r="Y42" s="3505"/>
      <c r="Z42" s="672" t="str">
        <f t="shared" si="15"/>
        <v>单套建筑面积</v>
      </c>
      <c r="AA42" s="1264">
        <f t="shared" si="3"/>
        <v>1</v>
      </c>
      <c r="AB42" s="1264">
        <f t="shared" si="4"/>
        <v>1</v>
      </c>
      <c r="AC42" s="1810">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503"/>
      <c r="Q43" s="1263" t="str">
        <f t="shared" si="11"/>
        <v>内部装修</v>
      </c>
      <c r="R43" s="667" t="s">
        <v>14</v>
      </c>
      <c r="S43" s="668">
        <f t="shared" si="12"/>
        <v>100</v>
      </c>
      <c r="T43" s="667" t="s">
        <v>14</v>
      </c>
      <c r="U43" s="668">
        <f t="shared" si="13"/>
        <v>100</v>
      </c>
      <c r="V43" s="667" t="s">
        <v>14</v>
      </c>
      <c r="W43" s="668">
        <f t="shared" si="14"/>
        <v>100</v>
      </c>
      <c r="X43" s="1265"/>
      <c r="Y43" s="3505"/>
      <c r="Z43" s="1264" t="str">
        <f t="shared" si="15"/>
        <v>内部装修</v>
      </c>
      <c r="AA43" s="1264">
        <f t="shared" si="3"/>
        <v>1</v>
      </c>
      <c r="AB43" s="1264">
        <f t="shared" si="4"/>
        <v>1</v>
      </c>
      <c r="AC43" s="1810">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503"/>
      <c r="Q44" s="1263" t="str">
        <f t="shared" si="11"/>
        <v>内部装修维护情况</v>
      </c>
      <c r="R44" s="667" t="s">
        <v>14</v>
      </c>
      <c r="S44" s="668">
        <f t="shared" si="12"/>
        <v>100</v>
      </c>
      <c r="T44" s="667" t="s">
        <v>14</v>
      </c>
      <c r="U44" s="668">
        <f t="shared" si="13"/>
        <v>100</v>
      </c>
      <c r="V44" s="667" t="s">
        <v>14</v>
      </c>
      <c r="W44" s="668">
        <f t="shared" si="14"/>
        <v>100</v>
      </c>
      <c r="X44" s="1265"/>
      <c r="Y44" s="3505"/>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503"/>
      <c r="Q45" s="530">
        <f t="shared" si="11"/>
        <v>111</v>
      </c>
      <c r="R45" s="664" t="s">
        <v>14</v>
      </c>
      <c r="S45" s="665">
        <f t="shared" si="12"/>
        <v>100</v>
      </c>
      <c r="T45" s="664" t="s">
        <v>14</v>
      </c>
      <c r="U45" s="665">
        <f t="shared" si="13"/>
        <v>100</v>
      </c>
      <c r="V45" s="664" t="s">
        <v>14</v>
      </c>
      <c r="W45" s="665">
        <f t="shared" si="14"/>
        <v>100</v>
      </c>
      <c r="X45" s="666"/>
      <c r="Y45" s="350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503"/>
      <c r="Q46" s="1263">
        <f t="shared" si="11"/>
        <v>111</v>
      </c>
      <c r="R46" s="667" t="s">
        <v>14</v>
      </c>
      <c r="S46" s="668">
        <f t="shared" si="12"/>
        <v>100</v>
      </c>
      <c r="T46" s="667" t="s">
        <v>14</v>
      </c>
      <c r="U46" s="668">
        <f t="shared" si="13"/>
        <v>100</v>
      </c>
      <c r="V46" s="667" t="s">
        <v>14</v>
      </c>
      <c r="W46" s="668">
        <f t="shared" si="14"/>
        <v>100</v>
      </c>
      <c r="X46" s="1265"/>
      <c r="Y46" s="3505"/>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504"/>
      <c r="Q47" s="1263">
        <f t="shared" si="11"/>
        <v>111</v>
      </c>
      <c r="R47" s="667" t="s">
        <v>14</v>
      </c>
      <c r="S47" s="668">
        <f t="shared" si="12"/>
        <v>100</v>
      </c>
      <c r="T47" s="667" t="s">
        <v>14</v>
      </c>
      <c r="U47" s="668">
        <f t="shared" si="13"/>
        <v>100</v>
      </c>
      <c r="V47" s="667" t="s">
        <v>14</v>
      </c>
      <c r="W47" s="668">
        <f t="shared" si="14"/>
        <v>100</v>
      </c>
      <c r="X47" s="1265"/>
      <c r="Y47" s="3506"/>
      <c r="Z47" s="1264">
        <f t="shared" si="15"/>
        <v>111</v>
      </c>
      <c r="AA47" s="1264">
        <f t="shared" si="3"/>
        <v>1</v>
      </c>
      <c r="AB47" s="1264">
        <f t="shared" si="4"/>
        <v>1</v>
      </c>
      <c r="AC47" s="1810">
        <f t="shared" si="5"/>
        <v>1</v>
      </c>
    </row>
    <row r="48" spans="1:29" ht="15">
      <c r="A48" s="416" t="s">
        <v>1706</v>
      </c>
      <c r="B48" s="417"/>
      <c r="C48" s="1081" t="s">
        <v>0</v>
      </c>
      <c r="D48" s="418"/>
      <c r="E48" s="419"/>
      <c r="F48" s="420"/>
      <c r="G48" s="421"/>
      <c r="H48" s="422"/>
      <c r="I48" s="419"/>
      <c r="J48" s="422"/>
      <c r="K48" s="674"/>
      <c r="L48" s="2492"/>
      <c r="M48" s="2485"/>
      <c r="N48" s="2485"/>
      <c r="O48" s="2485"/>
      <c r="P48" s="3509" t="str">
        <f>A48</f>
        <v>成交单价（元/平方米）</v>
      </c>
      <c r="Q48" s="3493"/>
      <c r="R48" s="3494">
        <f>E48</f>
        <v>0</v>
      </c>
      <c r="S48" s="3494"/>
      <c r="T48" s="3494">
        <f>G48</f>
        <v>0</v>
      </c>
      <c r="U48" s="3494"/>
      <c r="V48" s="3494">
        <f>I48</f>
        <v>0</v>
      </c>
      <c r="W48" s="3494"/>
      <c r="X48" s="385"/>
      <c r="Y48" s="673"/>
      <c r="Z48" s="385"/>
      <c r="AA48" s="385"/>
      <c r="AB48" s="385"/>
      <c r="AC48" s="555"/>
    </row>
    <row r="49" spans="1:29" ht="15.75" thickBot="1">
      <c r="A49" s="423" t="s">
        <v>1791</v>
      </c>
      <c r="B49" s="424"/>
      <c r="C49" s="1082" t="e">
        <f>R50</f>
        <v>#DIV/0!</v>
      </c>
      <c r="D49" s="2139" t="s">
        <v>2136</v>
      </c>
      <c r="E49" s="1083" t="e">
        <f>R49</f>
        <v>#DIV/0!</v>
      </c>
      <c r="F49" s="2140"/>
      <c r="G49" s="1082" t="e">
        <f>T49</f>
        <v>#DIV/0!</v>
      </c>
      <c r="H49" s="2140"/>
      <c r="I49" s="1083" t="e">
        <f>V49</f>
        <v>#DIV/0!</v>
      </c>
      <c r="J49" s="2140"/>
      <c r="K49" s="2142">
        <f>F49+H49+J49</f>
        <v>0</v>
      </c>
      <c r="L49" s="2492"/>
      <c r="M49" s="2485"/>
      <c r="N49" s="2485"/>
      <c r="O49" s="2485"/>
      <c r="P49" s="3509" t="str">
        <f>A49</f>
        <v>比较价值（元/平方米）</v>
      </c>
      <c r="Q49" s="3493"/>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2"/>
      <c r="M50" s="2485"/>
      <c r="N50" s="2485"/>
      <c r="O50" s="2485"/>
      <c r="P50" s="3539" t="str">
        <f>A50</f>
        <v>估价对象XX用房的比较价值（楼面单价，元/平方米）</v>
      </c>
      <c r="Q50" s="3540"/>
      <c r="R50" s="3541" t="e">
        <f>IF(F1="售价",ROUND(IF(D49="简单平均",AVERAGE(R49:V49),R49*F49+T49*H49+V49*J49),0),ROUND(IF(D49="简单平均",AVERAGE(R49:V49),R49*F49+T49*H49+V49*J49),1))</f>
        <v>#DIV/0!</v>
      </c>
      <c r="S50" s="3541"/>
      <c r="T50" s="3541"/>
      <c r="U50" s="3541"/>
      <c r="V50" s="3541"/>
      <c r="W50" s="3541"/>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1796</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1677</v>
      </c>
      <c r="B59" s="441"/>
      <c r="C59" s="1103" t="str">
        <f>YEAR(C7)&amp;"-"&amp;MONTH(C7)</f>
        <v>2023-10</v>
      </c>
      <c r="D59" s="1104">
        <f>EDATE(C59,-1)</f>
        <v>45170</v>
      </c>
      <c r="E59" s="1104">
        <f>EDATE(D59,-1)</f>
        <v>45139</v>
      </c>
      <c r="F59" s="1104">
        <f t="shared" ref="F59:O59" si="16">EDATE(E59,-1)</f>
        <v>45108</v>
      </c>
      <c r="G59" s="1104">
        <f t="shared" si="16"/>
        <v>45078</v>
      </c>
      <c r="H59" s="1104">
        <f t="shared" si="16"/>
        <v>45047</v>
      </c>
      <c r="I59" s="1104">
        <f t="shared" si="16"/>
        <v>45017</v>
      </c>
      <c r="J59" s="1104">
        <f t="shared" si="16"/>
        <v>44986</v>
      </c>
      <c r="K59" s="1104">
        <f t="shared" si="16"/>
        <v>44958</v>
      </c>
      <c r="L59" s="1104">
        <f t="shared" si="16"/>
        <v>44927</v>
      </c>
      <c r="M59" s="1104">
        <f t="shared" si="16"/>
        <v>44896</v>
      </c>
      <c r="N59" s="1104">
        <f t="shared" si="16"/>
        <v>44866</v>
      </c>
      <c r="O59" s="1104">
        <f t="shared" si="16"/>
        <v>44835</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1714</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1679</v>
      </c>
      <c r="B62" s="444"/>
      <c r="C62" s="456" t="s">
        <v>1774</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1717</v>
      </c>
      <c r="B64" s="460" t="s">
        <v>1683</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1686</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1688</v>
      </c>
      <c r="B77" s="460" t="s">
        <v>1819</v>
      </c>
      <c r="C77" s="504" t="s">
        <v>1719</v>
      </c>
      <c r="D77" s="504" t="s">
        <v>1720</v>
      </c>
      <c r="E77" s="504" t="s">
        <v>1721</v>
      </c>
      <c r="F77" s="504" t="s">
        <v>1722</v>
      </c>
      <c r="G77" s="504" t="s">
        <v>1723</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1724</v>
      </c>
      <c r="C79" s="509" t="s">
        <v>1719</v>
      </c>
      <c r="D79" s="509" t="s">
        <v>1720</v>
      </c>
      <c r="E79" s="509" t="s">
        <v>1721</v>
      </c>
      <c r="F79" s="509" t="s">
        <v>1722</v>
      </c>
      <c r="G79" s="509" t="s">
        <v>1723</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1725</v>
      </c>
      <c r="C81" s="509" t="s">
        <v>1719</v>
      </c>
      <c r="D81" s="509" t="s">
        <v>1720</v>
      </c>
      <c r="E81" s="509" t="s">
        <v>1721</v>
      </c>
      <c r="F81" s="509" t="s">
        <v>1722</v>
      </c>
      <c r="G81" s="509" t="s">
        <v>1723</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1811</v>
      </c>
      <c r="C83" s="581" t="s">
        <v>1797</v>
      </c>
      <c r="D83" s="581" t="s">
        <v>1798</v>
      </c>
      <c r="E83" s="581" t="s">
        <v>1799</v>
      </c>
      <c r="F83" s="581" t="s">
        <v>1800</v>
      </c>
      <c r="G83" s="581" t="s">
        <v>1801</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1820</v>
      </c>
      <c r="C85" s="509" t="s">
        <v>1719</v>
      </c>
      <c r="D85" s="509" t="s">
        <v>1720</v>
      </c>
      <c r="E85" s="509" t="s">
        <v>1721</v>
      </c>
      <c r="F85" s="509" t="s">
        <v>1722</v>
      </c>
      <c r="G85" s="509" t="s">
        <v>1723</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1821</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1692</v>
      </c>
      <c r="B101" s="460" t="s">
        <v>1734</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1736</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1738</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1822</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1739</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1740</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1823</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1806</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1742</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7:F47 H7:H47 J7:J47">
    <cfRule type="cellIs" dxfId="13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受贵公司委托，我公司对北京市丰台区大红门一期A区棚户区改造项目进行了预评估。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2023年10月22日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806" t="s">
        <v>1824</v>
      </c>
      <c r="C1" s="1141" t="s">
        <v>1660</v>
      </c>
      <c r="D1" s="1142"/>
      <c r="E1" s="3129"/>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t="e">
        <f>IF(C2="——",C43,ROUND(B2*10000/D3,0))</f>
        <v>#DIV/0!</v>
      </c>
      <c r="C3" s="344" t="s">
        <v>1766</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520" t="s">
        <v>1768</v>
      </c>
      <c r="D4" s="3521"/>
      <c r="E4" s="3522" t="s">
        <v>1769</v>
      </c>
      <c r="F4" s="3523"/>
      <c r="G4" s="3520" t="s">
        <v>1770</v>
      </c>
      <c r="H4" s="3521"/>
      <c r="I4" s="3520" t="s">
        <v>1771</v>
      </c>
      <c r="J4" s="3521"/>
      <c r="K4" s="537" t="s">
        <v>1772</v>
      </c>
      <c r="L4" s="860"/>
      <c r="M4" s="861"/>
      <c r="N4" s="861"/>
      <c r="O4" s="861"/>
      <c r="P4" s="3524" t="s">
        <v>1773</v>
      </c>
      <c r="Q4" s="3525"/>
      <c r="R4" s="3510" t="s">
        <v>1769</v>
      </c>
      <c r="S4" s="3511"/>
      <c r="T4" s="3510" t="s">
        <v>1770</v>
      </c>
      <c r="U4" s="3511"/>
      <c r="V4" s="3494" t="s">
        <v>1771</v>
      </c>
      <c r="W4" s="3494"/>
      <c r="X4" s="1265"/>
      <c r="Y4" s="3510" t="s">
        <v>1773</v>
      </c>
      <c r="Z4" s="3511"/>
      <c r="AA4" s="3516" t="s">
        <v>1769</v>
      </c>
      <c r="AB4" s="3517" t="s">
        <v>1770</v>
      </c>
      <c r="AC4" s="3516" t="s">
        <v>1771</v>
      </c>
    </row>
    <row r="5" spans="1:29" ht="15">
      <c r="A5" s="348"/>
      <c r="B5" s="349"/>
      <c r="C5" s="3530" t="s">
        <v>1671</v>
      </c>
      <c r="D5" s="3531"/>
      <c r="E5" s="3532" t="s">
        <v>1672</v>
      </c>
      <c r="F5" s="3533"/>
      <c r="G5" s="3530" t="s">
        <v>1673</v>
      </c>
      <c r="H5" s="3531"/>
      <c r="I5" s="3530" t="s">
        <v>1674</v>
      </c>
      <c r="J5" s="3531"/>
      <c r="K5" s="537"/>
      <c r="L5" s="860"/>
      <c r="M5" s="861"/>
      <c r="N5" s="861"/>
      <c r="O5" s="861"/>
      <c r="P5" s="3526"/>
      <c r="Q5" s="3527"/>
      <c r="R5" s="3512"/>
      <c r="S5" s="3513"/>
      <c r="T5" s="3512"/>
      <c r="U5" s="3513"/>
      <c r="V5" s="3494"/>
      <c r="W5" s="3494"/>
      <c r="X5" s="1265"/>
      <c r="Y5" s="3512"/>
      <c r="Z5" s="3513"/>
      <c r="AA5" s="3517"/>
      <c r="AB5" s="3517"/>
      <c r="AC5" s="3517"/>
    </row>
    <row r="6" spans="1:29" ht="15.75" thickBot="1">
      <c r="A6" s="350"/>
      <c r="B6" s="351"/>
      <c r="C6" s="3534" t="s">
        <v>1675</v>
      </c>
      <c r="D6" s="3535"/>
      <c r="E6" s="3536" t="s">
        <v>1675</v>
      </c>
      <c r="F6" s="3537"/>
      <c r="G6" s="3534" t="s">
        <v>1675</v>
      </c>
      <c r="H6" s="3535"/>
      <c r="I6" s="3534" t="s">
        <v>1675</v>
      </c>
      <c r="J6" s="3535"/>
      <c r="K6" s="537" t="s">
        <v>1676</v>
      </c>
      <c r="L6" s="860"/>
      <c r="M6" s="861"/>
      <c r="N6" s="861"/>
      <c r="O6" s="861"/>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c r="F7" s="357">
        <f>SUMIF(52:52,YEAR(E7)&amp;"-"&amp;MONTH(E7),53:53)</f>
        <v>0</v>
      </c>
      <c r="G7" s="356"/>
      <c r="H7" s="355">
        <f>SUMIF(52:52,YEAR(G7)&amp;"-"&amp;MONTH(G7),53:53)</f>
        <v>0</v>
      </c>
      <c r="I7" s="356"/>
      <c r="J7" s="355">
        <f>SUMIF(52:52,YEAR(I7)&amp;"-"&amp;MONTH(I7),53:53)</f>
        <v>0</v>
      </c>
      <c r="K7" s="38"/>
      <c r="L7" s="862"/>
      <c r="M7" s="863"/>
      <c r="N7" s="863"/>
      <c r="O7" s="863"/>
      <c r="P7" s="3507" t="s">
        <v>1678</v>
      </c>
      <c r="Q7" s="3519"/>
      <c r="R7" s="664" t="s">
        <v>14</v>
      </c>
      <c r="S7" s="665">
        <f t="shared" ref="S7:S15" si="0">F7</f>
        <v>0</v>
      </c>
      <c r="T7" s="664" t="s">
        <v>14</v>
      </c>
      <c r="U7" s="665">
        <f t="shared" ref="U7:U15" si="1">H7</f>
        <v>0</v>
      </c>
      <c r="V7" s="664" t="s">
        <v>14</v>
      </c>
      <c r="W7" s="665">
        <f t="shared" ref="W7:W15" si="2">J7</f>
        <v>0</v>
      </c>
      <c r="X7" s="666"/>
      <c r="Y7" s="3507" t="s">
        <v>1678</v>
      </c>
      <c r="Z7" s="3508"/>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07" t="s">
        <v>1681</v>
      </c>
      <c r="Q8" s="3508"/>
      <c r="R8" s="664" t="s">
        <v>14</v>
      </c>
      <c r="S8" s="665">
        <f t="shared" si="0"/>
        <v>100</v>
      </c>
      <c r="T8" s="664" t="s">
        <v>14</v>
      </c>
      <c r="U8" s="665">
        <f t="shared" si="1"/>
        <v>100</v>
      </c>
      <c r="V8" s="664" t="s">
        <v>14</v>
      </c>
      <c r="W8" s="665">
        <f t="shared" si="2"/>
        <v>100</v>
      </c>
      <c r="X8" s="666"/>
      <c r="Y8" s="3507" t="s">
        <v>1681</v>
      </c>
      <c r="Z8" s="3508"/>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3"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93"/>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3"/>
      <c r="Q11" s="530" t="str">
        <f t="shared" si="6"/>
        <v>容积率</v>
      </c>
      <c r="R11" s="664" t="s">
        <v>14</v>
      </c>
      <c r="S11" s="665">
        <f t="shared" si="0"/>
        <v>100</v>
      </c>
      <c r="T11" s="664" t="s">
        <v>14</v>
      </c>
      <c r="U11" s="665">
        <f t="shared" si="1"/>
        <v>100</v>
      </c>
      <c r="V11" s="664" t="s">
        <v>14</v>
      </c>
      <c r="W11" s="665">
        <f t="shared" si="2"/>
        <v>100</v>
      </c>
      <c r="X11" s="666"/>
      <c r="Y11" s="33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93"/>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93"/>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93"/>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57">
      <c r="A15" s="379" t="s">
        <v>1688</v>
      </c>
      <c r="B15" s="58" t="s">
        <v>1825</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00" t="s">
        <v>1689</v>
      </c>
      <c r="Q15" s="1263" t="str">
        <f t="shared" si="6"/>
        <v>产业集聚程度</v>
      </c>
      <c r="R15" s="667" t="s">
        <v>14</v>
      </c>
      <c r="S15" s="668">
        <f t="shared" si="0"/>
        <v>100</v>
      </c>
      <c r="T15" s="667" t="s">
        <v>14</v>
      </c>
      <c r="U15" s="668">
        <f t="shared" si="1"/>
        <v>100</v>
      </c>
      <c r="V15" s="667" t="s">
        <v>14</v>
      </c>
      <c r="W15" s="668">
        <f t="shared" si="2"/>
        <v>100</v>
      </c>
      <c r="X15" s="1265"/>
      <c r="Y15" s="3500"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01"/>
      <c r="Q16" s="1263"/>
      <c r="R16" s="667"/>
      <c r="S16" s="668"/>
      <c r="T16" s="667"/>
      <c r="U16" s="668"/>
      <c r="V16" s="667"/>
      <c r="W16" s="668"/>
      <c r="X16" s="1265"/>
      <c r="Y16" s="3501"/>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01"/>
      <c r="Q17" s="1263" t="str">
        <f>B17</f>
        <v>交通便捷度</v>
      </c>
      <c r="R17" s="667" t="s">
        <v>14</v>
      </c>
      <c r="S17" s="668">
        <f>F17</f>
        <v>100</v>
      </c>
      <c r="T17" s="667" t="s">
        <v>14</v>
      </c>
      <c r="U17" s="668">
        <f>H17</f>
        <v>100</v>
      </c>
      <c r="V17" s="667" t="s">
        <v>14</v>
      </c>
      <c r="W17" s="668">
        <f>J17</f>
        <v>100</v>
      </c>
      <c r="X17" s="1265"/>
      <c r="Y17" s="350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01"/>
      <c r="Q18" s="1263"/>
      <c r="R18" s="667"/>
      <c r="S18" s="668"/>
      <c r="T18" s="667"/>
      <c r="U18" s="668"/>
      <c r="V18" s="667"/>
      <c r="W18" s="668"/>
      <c r="X18" s="1265"/>
      <c r="Y18" s="3501"/>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01"/>
      <c r="Q19" s="1263" t="str">
        <f>B19</f>
        <v>公共配套设施</v>
      </c>
      <c r="R19" s="667" t="s">
        <v>14</v>
      </c>
      <c r="S19" s="668">
        <f>F19</f>
        <v>100</v>
      </c>
      <c r="T19" s="667" t="s">
        <v>14</v>
      </c>
      <c r="U19" s="668">
        <f>H19</f>
        <v>100</v>
      </c>
      <c r="V19" s="667" t="s">
        <v>14</v>
      </c>
      <c r="W19" s="668">
        <f>J19</f>
        <v>100</v>
      </c>
      <c r="X19" s="1265"/>
      <c r="Y19" s="350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01"/>
      <c r="Q20" s="1263"/>
      <c r="R20" s="667"/>
      <c r="S20" s="668"/>
      <c r="T20" s="667"/>
      <c r="U20" s="668"/>
      <c r="V20" s="667"/>
      <c r="W20" s="668"/>
      <c r="X20" s="1265"/>
      <c r="Y20" s="3501"/>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01"/>
      <c r="Q21" s="1263" t="str">
        <f>B21</f>
        <v>基础设施水平</v>
      </c>
      <c r="R21" s="667" t="s">
        <v>14</v>
      </c>
      <c r="S21" s="668">
        <f>F21</f>
        <v>100</v>
      </c>
      <c r="T21" s="667" t="s">
        <v>14</v>
      </c>
      <c r="U21" s="668">
        <f>H21</f>
        <v>100</v>
      </c>
      <c r="V21" s="667" t="s">
        <v>14</v>
      </c>
      <c r="W21" s="668">
        <f>J21</f>
        <v>100</v>
      </c>
      <c r="X21" s="1265"/>
      <c r="Y21" s="35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01"/>
      <c r="Q22" s="1263"/>
      <c r="R22" s="667"/>
      <c r="S22" s="668"/>
      <c r="T22" s="667"/>
      <c r="U22" s="668"/>
      <c r="V22" s="667"/>
      <c r="W22" s="668"/>
      <c r="X22" s="1265"/>
      <c r="Y22" s="3501"/>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01"/>
      <c r="Q23" s="1263" t="str">
        <f>B23</f>
        <v>环境质量</v>
      </c>
      <c r="R23" s="667" t="s">
        <v>14</v>
      </c>
      <c r="S23" s="668">
        <f>F23</f>
        <v>100</v>
      </c>
      <c r="T23" s="667" t="s">
        <v>14</v>
      </c>
      <c r="U23" s="668">
        <f>H23</f>
        <v>100</v>
      </c>
      <c r="V23" s="667" t="s">
        <v>14</v>
      </c>
      <c r="W23" s="668">
        <f>J23</f>
        <v>100</v>
      </c>
      <c r="X23" s="1265"/>
      <c r="Y23" s="350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01"/>
      <c r="Q24" s="1263"/>
      <c r="R24" s="667"/>
      <c r="S24" s="668"/>
      <c r="T24" s="667"/>
      <c r="U24" s="668"/>
      <c r="V24" s="667"/>
      <c r="W24" s="668"/>
      <c r="X24" s="1265"/>
      <c r="Y24" s="350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01"/>
      <c r="Q25" s="1263">
        <f>B25</f>
        <v>111</v>
      </c>
      <c r="R25" s="667" t="s">
        <v>14</v>
      </c>
      <c r="S25" s="668">
        <f>F25</f>
        <v>100</v>
      </c>
      <c r="T25" s="667" t="s">
        <v>14</v>
      </c>
      <c r="U25" s="668">
        <f>H25</f>
        <v>100</v>
      </c>
      <c r="V25" s="667" t="s">
        <v>14</v>
      </c>
      <c r="W25" s="668">
        <f>J25</f>
        <v>100</v>
      </c>
      <c r="X25" s="1265"/>
      <c r="Y25" s="350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01"/>
      <c r="Q26" s="1263">
        <f t="shared" ref="Q26:Q40" si="11">B26</f>
        <v>111</v>
      </c>
      <c r="R26" s="667" t="s">
        <v>14</v>
      </c>
      <c r="S26" s="668">
        <f>F26</f>
        <v>100</v>
      </c>
      <c r="T26" s="667" t="s">
        <v>14</v>
      </c>
      <c r="U26" s="668">
        <f>H26</f>
        <v>100</v>
      </c>
      <c r="V26" s="667" t="s">
        <v>14</v>
      </c>
      <c r="W26" s="668">
        <f>J26</f>
        <v>100</v>
      </c>
      <c r="X26" s="1265"/>
      <c r="Y26" s="350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01"/>
      <c r="Q27" s="530">
        <f t="shared" si="11"/>
        <v>111</v>
      </c>
      <c r="R27" s="664" t="s">
        <v>14</v>
      </c>
      <c r="S27" s="665">
        <f>F27</f>
        <v>100</v>
      </c>
      <c r="T27" s="664" t="s">
        <v>14</v>
      </c>
      <c r="U27" s="665">
        <f>H27</f>
        <v>100</v>
      </c>
      <c r="V27" s="664" t="s">
        <v>14</v>
      </c>
      <c r="W27" s="665">
        <f>J27</f>
        <v>100</v>
      </c>
      <c r="X27" s="666"/>
      <c r="Y27" s="350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01"/>
      <c r="Q28" s="1263">
        <f t="shared" si="11"/>
        <v>111</v>
      </c>
      <c r="R28" s="667" t="s">
        <v>14</v>
      </c>
      <c r="S28" s="668">
        <f t="shared" ref="S28:S40" si="12">F28</f>
        <v>100</v>
      </c>
      <c r="T28" s="667" t="s">
        <v>14</v>
      </c>
      <c r="U28" s="668">
        <f t="shared" ref="U28:U40" si="13">H28</f>
        <v>100</v>
      </c>
      <c r="V28" s="667" t="s">
        <v>14</v>
      </c>
      <c r="W28" s="668">
        <f t="shared" ref="W28:W40" si="14">J28</f>
        <v>100</v>
      </c>
      <c r="X28" s="1265"/>
      <c r="Y28" s="3501"/>
      <c r="Z28" s="1264">
        <f t="shared" ref="Z28:Z40" si="15">Q28</f>
        <v>111</v>
      </c>
      <c r="AA28" s="1264">
        <f t="shared" si="3"/>
        <v>1</v>
      </c>
      <c r="AB28" s="1264">
        <f t="shared" si="4"/>
        <v>1</v>
      </c>
      <c r="AC28" s="1264">
        <f t="shared" si="5"/>
        <v>1</v>
      </c>
    </row>
    <row r="29" spans="1:29" ht="1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54" t="s">
        <v>1694</v>
      </c>
      <c r="Q29" s="1263" t="str">
        <f t="shared" si="11"/>
        <v>建筑类型</v>
      </c>
      <c r="R29" s="667" t="s">
        <v>14</v>
      </c>
      <c r="S29" s="668">
        <f t="shared" si="12"/>
        <v>100</v>
      </c>
      <c r="T29" s="667" t="s">
        <v>14</v>
      </c>
      <c r="U29" s="668">
        <f t="shared" si="13"/>
        <v>100</v>
      </c>
      <c r="V29" s="667" t="s">
        <v>14</v>
      </c>
      <c r="W29" s="668">
        <f t="shared" si="14"/>
        <v>100</v>
      </c>
      <c r="X29" s="1265"/>
      <c r="Y29" s="3505"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5"/>
      <c r="Q30" s="531" t="str">
        <f t="shared" si="11"/>
        <v>项目建筑规模</v>
      </c>
      <c r="R30" s="669" t="s">
        <v>14</v>
      </c>
      <c r="S30" s="670" t="e">
        <f t="shared" si="12"/>
        <v>#N/A</v>
      </c>
      <c r="T30" s="669" t="s">
        <v>14</v>
      </c>
      <c r="U30" s="670" t="e">
        <f t="shared" si="13"/>
        <v>#N/A</v>
      </c>
      <c r="V30" s="669" t="s">
        <v>14</v>
      </c>
      <c r="W30" s="670" t="e">
        <f t="shared" si="14"/>
        <v>#N/A</v>
      </c>
      <c r="X30" s="671"/>
      <c r="Y30" s="3505"/>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5"/>
      <c r="Q31" s="1263" t="str">
        <f t="shared" si="11"/>
        <v>建筑结构</v>
      </c>
      <c r="R31" s="667" t="s">
        <v>14</v>
      </c>
      <c r="S31" s="668">
        <f t="shared" si="12"/>
        <v>100</v>
      </c>
      <c r="T31" s="667" t="s">
        <v>14</v>
      </c>
      <c r="U31" s="668">
        <f t="shared" si="13"/>
        <v>100</v>
      </c>
      <c r="V31" s="667" t="s">
        <v>14</v>
      </c>
      <c r="W31" s="668">
        <f t="shared" si="14"/>
        <v>100</v>
      </c>
      <c r="X31" s="1265"/>
      <c r="Y31" s="3505"/>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5"/>
      <c r="Q32" s="1263" t="str">
        <f t="shared" si="11"/>
        <v>公共部分装修</v>
      </c>
      <c r="R32" s="667" t="s">
        <v>14</v>
      </c>
      <c r="S32" s="668">
        <f t="shared" si="12"/>
        <v>100</v>
      </c>
      <c r="T32" s="667" t="s">
        <v>14</v>
      </c>
      <c r="U32" s="668">
        <f t="shared" si="13"/>
        <v>100</v>
      </c>
      <c r="V32" s="667" t="s">
        <v>14</v>
      </c>
      <c r="W32" s="668">
        <f t="shared" si="14"/>
        <v>100</v>
      </c>
      <c r="X32" s="1265"/>
      <c r="Y32" s="3505"/>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5"/>
      <c r="Q33" s="1263" t="str">
        <f t="shared" si="11"/>
        <v>成新度</v>
      </c>
      <c r="R33" s="667" t="s">
        <v>14</v>
      </c>
      <c r="S33" s="668" t="e">
        <f t="shared" si="12"/>
        <v>#N/A</v>
      </c>
      <c r="T33" s="667" t="s">
        <v>14</v>
      </c>
      <c r="U33" s="668" t="e">
        <f t="shared" si="13"/>
        <v>#N/A</v>
      </c>
      <c r="V33" s="667" t="s">
        <v>14</v>
      </c>
      <c r="W33" s="668" t="e">
        <f t="shared" si="14"/>
        <v>#N/A</v>
      </c>
      <c r="X33" s="1265"/>
      <c r="Y33" s="3505"/>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5"/>
      <c r="Q34" s="530" t="str">
        <f t="shared" si="11"/>
        <v>物业管理</v>
      </c>
      <c r="R34" s="664" t="s">
        <v>14</v>
      </c>
      <c r="S34" s="665">
        <f t="shared" si="12"/>
        <v>100</v>
      </c>
      <c r="T34" s="664" t="s">
        <v>14</v>
      </c>
      <c r="U34" s="665">
        <f t="shared" si="13"/>
        <v>100</v>
      </c>
      <c r="V34" s="664" t="s">
        <v>14</v>
      </c>
      <c r="W34" s="665">
        <f t="shared" si="14"/>
        <v>100</v>
      </c>
      <c r="X34" s="666"/>
      <c r="Y34" s="3505"/>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5" t="s">
        <v>1694</v>
      </c>
      <c r="Q35" s="1263" t="str">
        <f t="shared" si="11"/>
        <v>市政基础设施</v>
      </c>
      <c r="R35" s="667" t="s">
        <v>14</v>
      </c>
      <c r="S35" s="668">
        <f t="shared" si="12"/>
        <v>100</v>
      </c>
      <c r="T35" s="667" t="s">
        <v>14</v>
      </c>
      <c r="U35" s="668">
        <f t="shared" si="13"/>
        <v>100</v>
      </c>
      <c r="V35" s="667" t="s">
        <v>14</v>
      </c>
      <c r="W35" s="668">
        <f t="shared" si="14"/>
        <v>100</v>
      </c>
      <c r="X35" s="1265"/>
      <c r="Y35" s="3505"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5"/>
      <c r="Q36" s="1263" t="str">
        <f t="shared" si="11"/>
        <v>内部装修</v>
      </c>
      <c r="R36" s="667" t="s">
        <v>14</v>
      </c>
      <c r="S36" s="668">
        <f t="shared" si="12"/>
        <v>100</v>
      </c>
      <c r="T36" s="667" t="s">
        <v>14</v>
      </c>
      <c r="U36" s="668">
        <f t="shared" si="13"/>
        <v>100</v>
      </c>
      <c r="V36" s="667" t="s">
        <v>14</v>
      </c>
      <c r="W36" s="668">
        <f t="shared" si="14"/>
        <v>100</v>
      </c>
      <c r="X36" s="1265"/>
      <c r="Y36" s="3505"/>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5"/>
      <c r="Q37" s="1263" t="str">
        <f t="shared" si="11"/>
        <v>内部装修状况</v>
      </c>
      <c r="R37" s="667" t="s">
        <v>14</v>
      </c>
      <c r="S37" s="668">
        <f t="shared" si="12"/>
        <v>100</v>
      </c>
      <c r="T37" s="667" t="s">
        <v>14</v>
      </c>
      <c r="U37" s="668">
        <f t="shared" si="13"/>
        <v>100</v>
      </c>
      <c r="V37" s="667" t="s">
        <v>14</v>
      </c>
      <c r="W37" s="668">
        <f t="shared" si="14"/>
        <v>100</v>
      </c>
      <c r="X37" s="1265"/>
      <c r="Y37" s="350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5"/>
      <c r="Q38" s="531">
        <f t="shared" si="11"/>
        <v>111</v>
      </c>
      <c r="R38" s="669" t="s">
        <v>14</v>
      </c>
      <c r="S38" s="670">
        <f t="shared" si="12"/>
        <v>100</v>
      </c>
      <c r="T38" s="669" t="s">
        <v>14</v>
      </c>
      <c r="U38" s="670">
        <f t="shared" si="13"/>
        <v>100</v>
      </c>
      <c r="V38" s="669" t="s">
        <v>14</v>
      </c>
      <c r="W38" s="670">
        <f t="shared" si="14"/>
        <v>100</v>
      </c>
      <c r="X38" s="671"/>
      <c r="Y38" s="350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5"/>
      <c r="Q39" s="1263">
        <f t="shared" si="11"/>
        <v>111</v>
      </c>
      <c r="R39" s="667" t="s">
        <v>14</v>
      </c>
      <c r="S39" s="668">
        <f t="shared" si="12"/>
        <v>100</v>
      </c>
      <c r="T39" s="667" t="s">
        <v>14</v>
      </c>
      <c r="U39" s="668">
        <f t="shared" si="13"/>
        <v>100</v>
      </c>
      <c r="V39" s="667" t="s">
        <v>14</v>
      </c>
      <c r="W39" s="668">
        <f t="shared" si="14"/>
        <v>100</v>
      </c>
      <c r="X39" s="1265"/>
      <c r="Y39" s="350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6"/>
      <c r="Q40" s="1263">
        <f t="shared" si="11"/>
        <v>111</v>
      </c>
      <c r="R40" s="667" t="s">
        <v>14</v>
      </c>
      <c r="S40" s="668">
        <f t="shared" si="12"/>
        <v>100</v>
      </c>
      <c r="T40" s="667" t="s">
        <v>14</v>
      </c>
      <c r="U40" s="668">
        <f t="shared" si="13"/>
        <v>100</v>
      </c>
      <c r="V40" s="667" t="s">
        <v>14</v>
      </c>
      <c r="W40" s="668">
        <f t="shared" si="14"/>
        <v>100</v>
      </c>
      <c r="X40" s="1265"/>
      <c r="Y40" s="3506"/>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93" t="str">
        <f>A41</f>
        <v>成交单价（元/平方米）</v>
      </c>
      <c r="Q41" s="3493"/>
      <c r="R41" s="3494">
        <f>E41</f>
        <v>0</v>
      </c>
      <c r="S41" s="3494"/>
      <c r="T41" s="3494">
        <f>G41</f>
        <v>0</v>
      </c>
      <c r="U41" s="3494"/>
      <c r="V41" s="3494">
        <f>I41</f>
        <v>0</v>
      </c>
      <c r="W41" s="3494"/>
      <c r="X41" s="385"/>
      <c r="Y41" s="673"/>
      <c r="Z41" s="385"/>
      <c r="AA41" s="385"/>
      <c r="AB41" s="385"/>
      <c r="AC41" s="385"/>
    </row>
    <row r="42" spans="1:29" ht="15.75" thickBot="1">
      <c r="A42" s="423" t="s">
        <v>1791</v>
      </c>
      <c r="B42" s="424"/>
      <c r="C42" s="1082" t="e">
        <f>R43</f>
        <v>#DIV/0!</v>
      </c>
      <c r="D42" s="2139" t="s">
        <v>2136</v>
      </c>
      <c r="E42" s="1083" t="e">
        <f>R42</f>
        <v>#DIV/0!</v>
      </c>
      <c r="F42" s="2140"/>
      <c r="G42" s="1082" t="e">
        <f>T42</f>
        <v>#DIV/0!</v>
      </c>
      <c r="H42" s="2140"/>
      <c r="I42" s="1083" t="e">
        <f>V42</f>
        <v>#DIV/0!</v>
      </c>
      <c r="J42" s="2140"/>
      <c r="K42" s="2142">
        <f>F42+H42+J42</f>
        <v>0</v>
      </c>
      <c r="L42" s="873"/>
      <c r="M42" s="861"/>
      <c r="N42" s="861"/>
      <c r="O42" s="861"/>
      <c r="P42" s="3493" t="str">
        <f>A42</f>
        <v>比较价值（元/平方米）</v>
      </c>
      <c r="Q42" s="3493"/>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95" t="str">
        <f>A43</f>
        <v>估价对象XX用房的比较价值（楼面单价，元/平方米）</v>
      </c>
      <c r="Q43" s="3496"/>
      <c r="R43" s="3497" t="e">
        <f>IF(F1="售价",ROUND(IF(D42="简单平均",AVERAGE(R42:V42),R42*F42+T42*H42+V42*J42),0),ROUND(IF(D42="简单平均",AVERAGE(R42:V42),R42*F42+T42*H42+V42*J42),1))</f>
        <v>#DIV/0!</v>
      </c>
      <c r="S43" s="3497"/>
      <c r="T43" s="3497"/>
      <c r="U43" s="3497"/>
      <c r="V43" s="3497"/>
      <c r="W43" s="349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2023-10</v>
      </c>
      <c r="D52" s="1104">
        <f>EDATE(C52,-1)</f>
        <v>45170</v>
      </c>
      <c r="E52" s="1104">
        <f t="shared" ref="E52:O52" si="16">EDATE(D52,-1)</f>
        <v>45139</v>
      </c>
      <c r="F52" s="1104">
        <f t="shared" si="16"/>
        <v>45108</v>
      </c>
      <c r="G52" s="1104">
        <f t="shared" si="16"/>
        <v>45078</v>
      </c>
      <c r="H52" s="1104">
        <f t="shared" si="16"/>
        <v>45047</v>
      </c>
      <c r="I52" s="1104">
        <f t="shared" si="16"/>
        <v>45017</v>
      </c>
      <c r="J52" s="1104">
        <f t="shared" si="16"/>
        <v>44986</v>
      </c>
      <c r="K52" s="1104">
        <f t="shared" si="16"/>
        <v>44958</v>
      </c>
      <c r="L52" s="1104">
        <f t="shared" si="16"/>
        <v>44927</v>
      </c>
      <c r="M52" s="1104">
        <f t="shared" si="16"/>
        <v>44896</v>
      </c>
      <c r="N52" s="1104">
        <f t="shared" si="16"/>
        <v>44866</v>
      </c>
      <c r="O52" s="1104">
        <f t="shared" si="16"/>
        <v>44835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6"/>
      <c r="O54" s="2537"/>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1829</v>
      </c>
      <c r="B1" s="1140" t="s">
        <v>3334</v>
      </c>
      <c r="C1" s="1141" t="s">
        <v>1660</v>
      </c>
      <c r="D1" s="1142"/>
      <c r="E1" s="3129"/>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1767</v>
      </c>
      <c r="B4" s="346"/>
      <c r="C4" s="3520" t="s">
        <v>1768</v>
      </c>
      <c r="D4" s="3521"/>
      <c r="E4" s="3522" t="s">
        <v>1769</v>
      </c>
      <c r="F4" s="3523"/>
      <c r="G4" s="3520" t="s">
        <v>1770</v>
      </c>
      <c r="H4" s="3521"/>
      <c r="I4" s="3520" t="s">
        <v>1771</v>
      </c>
      <c r="J4" s="3521"/>
      <c r="K4" s="537" t="s">
        <v>1772</v>
      </c>
      <c r="L4" s="2484"/>
      <c r="M4" s="2485"/>
      <c r="N4" s="2485"/>
      <c r="O4" s="2485"/>
      <c r="P4" s="3524" t="s">
        <v>1773</v>
      </c>
      <c r="Q4" s="3525"/>
      <c r="R4" s="3510" t="s">
        <v>1769</v>
      </c>
      <c r="S4" s="3511"/>
      <c r="T4" s="3510" t="s">
        <v>1770</v>
      </c>
      <c r="U4" s="3511"/>
      <c r="V4" s="3494" t="s">
        <v>1771</v>
      </c>
      <c r="W4" s="3494"/>
      <c r="X4" s="1265"/>
      <c r="Y4" s="3510" t="s">
        <v>1773</v>
      </c>
      <c r="Z4" s="3511"/>
      <c r="AA4" s="3516" t="s">
        <v>1769</v>
      </c>
      <c r="AB4" s="3517" t="s">
        <v>1770</v>
      </c>
      <c r="AC4" s="3516" t="s">
        <v>1771</v>
      </c>
    </row>
    <row r="5" spans="1:29" ht="15">
      <c r="A5" s="348"/>
      <c r="B5" s="349"/>
      <c r="C5" s="3530" t="s">
        <v>1671</v>
      </c>
      <c r="D5" s="3531"/>
      <c r="E5" s="3532" t="s">
        <v>1672</v>
      </c>
      <c r="F5" s="3533"/>
      <c r="G5" s="3530" t="s">
        <v>1673</v>
      </c>
      <c r="H5" s="3531"/>
      <c r="I5" s="3530" t="s">
        <v>1674</v>
      </c>
      <c r="J5" s="3531"/>
      <c r="K5" s="537"/>
      <c r="L5" s="2484"/>
      <c r="M5" s="2485"/>
      <c r="N5" s="2485"/>
      <c r="O5" s="2485"/>
      <c r="P5" s="3526"/>
      <c r="Q5" s="3527"/>
      <c r="R5" s="3512"/>
      <c r="S5" s="3513"/>
      <c r="T5" s="3512"/>
      <c r="U5" s="3513"/>
      <c r="V5" s="3494"/>
      <c r="W5" s="3494"/>
      <c r="X5" s="1265"/>
      <c r="Y5" s="3512"/>
      <c r="Z5" s="3513"/>
      <c r="AA5" s="3517"/>
      <c r="AB5" s="3517"/>
      <c r="AC5" s="3517"/>
    </row>
    <row r="6" spans="1:29" ht="15.75" thickBot="1">
      <c r="A6" s="350"/>
      <c r="B6" s="351"/>
      <c r="C6" s="3534" t="s">
        <v>1675</v>
      </c>
      <c r="D6" s="3535"/>
      <c r="E6" s="3536" t="s">
        <v>1675</v>
      </c>
      <c r="F6" s="3537"/>
      <c r="G6" s="3534" t="s">
        <v>1675</v>
      </c>
      <c r="H6" s="3535"/>
      <c r="I6" s="3534" t="s">
        <v>1675</v>
      </c>
      <c r="J6" s="3535"/>
      <c r="K6" s="537"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c r="F7" s="357">
        <f>SUMIF(48:48,YEAR(E7)&amp;"-"&amp;MONTH(E7),49:49)</f>
        <v>0</v>
      </c>
      <c r="G7" s="356"/>
      <c r="H7" s="355">
        <f>SUMIF(48:48,YEAR(G7)&amp;"-"&amp;MONTH(G7),49:49)</f>
        <v>0</v>
      </c>
      <c r="I7" s="356"/>
      <c r="J7" s="355">
        <f>SUMIF(48:48,YEAR(I7)&amp;"-"&amp;MONTH(I7),49:49)</f>
        <v>0</v>
      </c>
      <c r="K7" s="38"/>
      <c r="L7" s="2486"/>
      <c r="M7" s="2437"/>
      <c r="N7" s="2437"/>
      <c r="O7" s="2437"/>
      <c r="P7" s="3507" t="s">
        <v>1678</v>
      </c>
      <c r="Q7" s="3519"/>
      <c r="R7" s="664" t="s">
        <v>14</v>
      </c>
      <c r="S7" s="665">
        <f t="shared" ref="S7:S14" si="0">F7</f>
        <v>0</v>
      </c>
      <c r="T7" s="664" t="s">
        <v>14</v>
      </c>
      <c r="U7" s="665">
        <f t="shared" ref="U7:U14" si="1">H7</f>
        <v>0</v>
      </c>
      <c r="V7" s="664" t="s">
        <v>14</v>
      </c>
      <c r="W7" s="665">
        <f t="shared" ref="W7:W14" si="2">J7</f>
        <v>0</v>
      </c>
      <c r="X7" s="666"/>
      <c r="Y7" s="3507" t="s">
        <v>1678</v>
      </c>
      <c r="Z7" s="3508"/>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507" t="s">
        <v>1681</v>
      </c>
      <c r="Q8" s="3508"/>
      <c r="R8" s="664" t="s">
        <v>14</v>
      </c>
      <c r="S8" s="665">
        <f t="shared" si="0"/>
        <v>100</v>
      </c>
      <c r="T8" s="664" t="s">
        <v>14</v>
      </c>
      <c r="U8" s="665">
        <f t="shared" si="1"/>
        <v>100</v>
      </c>
      <c r="V8" s="664" t="s">
        <v>14</v>
      </c>
      <c r="W8" s="665">
        <f t="shared" si="2"/>
        <v>100</v>
      </c>
      <c r="X8" s="666"/>
      <c r="Y8" s="3507" t="s">
        <v>1681</v>
      </c>
      <c r="Z8" s="3508"/>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93" t="s">
        <v>1684</v>
      </c>
      <c r="Q9" s="530" t="str">
        <f t="shared" ref="Q9:Q14" si="6">B9</f>
        <v>用途</v>
      </c>
      <c r="R9" s="664" t="s">
        <v>14</v>
      </c>
      <c r="S9" s="665">
        <f t="shared" si="0"/>
        <v>100</v>
      </c>
      <c r="T9" s="664" t="s">
        <v>14</v>
      </c>
      <c r="U9" s="665">
        <f t="shared" si="1"/>
        <v>100</v>
      </c>
      <c r="V9" s="664" t="s">
        <v>14</v>
      </c>
      <c r="W9" s="665">
        <f t="shared" si="2"/>
        <v>100</v>
      </c>
      <c r="X9" s="666"/>
      <c r="Y9" s="3371" t="s">
        <v>1685</v>
      </c>
      <c r="Z9" s="50" t="str">
        <f t="shared" ref="Z9:Z14" si="7">Q9</f>
        <v>用途</v>
      </c>
      <c r="AA9" s="50">
        <f t="shared" si="3"/>
        <v>1</v>
      </c>
      <c r="AB9" s="50">
        <f t="shared" si="4"/>
        <v>1</v>
      </c>
      <c r="AC9" s="50">
        <f t="shared" si="5"/>
        <v>1</v>
      </c>
    </row>
    <row r="10" spans="1:29" s="366" customFormat="1" ht="27">
      <c r="A10" s="565"/>
      <c r="B10" s="566" t="s">
        <v>1686</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93"/>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93"/>
      <c r="Q11" s="530">
        <f t="shared" si="6"/>
        <v>111</v>
      </c>
      <c r="R11" s="664" t="s">
        <v>14</v>
      </c>
      <c r="S11" s="665">
        <f t="shared" si="0"/>
        <v>100</v>
      </c>
      <c r="T11" s="664" t="s">
        <v>14</v>
      </c>
      <c r="U11" s="665">
        <f t="shared" si="1"/>
        <v>100</v>
      </c>
      <c r="V11" s="664" t="s">
        <v>14</v>
      </c>
      <c r="W11" s="665">
        <f t="shared" si="2"/>
        <v>100</v>
      </c>
      <c r="X11" s="666"/>
      <c r="Y11" s="33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93"/>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93"/>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85.5">
      <c r="A14" s="345" t="s">
        <v>1688</v>
      </c>
      <c r="B14" s="554" t="s">
        <v>1831</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500" t="s">
        <v>1689</v>
      </c>
      <c r="Q14" s="1263" t="str">
        <f t="shared" si="6"/>
        <v>交通便捷度</v>
      </c>
      <c r="R14" s="667" t="s">
        <v>14</v>
      </c>
      <c r="S14" s="668">
        <f t="shared" si="0"/>
        <v>100</v>
      </c>
      <c r="T14" s="667" t="s">
        <v>14</v>
      </c>
      <c r="U14" s="668">
        <f t="shared" si="1"/>
        <v>100</v>
      </c>
      <c r="V14" s="667" t="s">
        <v>14</v>
      </c>
      <c r="W14" s="668">
        <f t="shared" si="2"/>
        <v>100</v>
      </c>
      <c r="X14" s="1265"/>
      <c r="Y14" s="3500"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501"/>
      <c r="Q15" s="1263"/>
      <c r="R15" s="667"/>
      <c r="S15" s="668"/>
      <c r="T15" s="667"/>
      <c r="U15" s="668"/>
      <c r="V15" s="667"/>
      <c r="W15" s="668"/>
      <c r="X15" s="1265"/>
      <c r="Y15" s="3501"/>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501"/>
      <c r="Q16" s="1263" t="str">
        <f>B16</f>
        <v>公共配套设施</v>
      </c>
      <c r="R16" s="667" t="s">
        <v>14</v>
      </c>
      <c r="S16" s="668">
        <f>F16</f>
        <v>100</v>
      </c>
      <c r="T16" s="667" t="s">
        <v>14</v>
      </c>
      <c r="U16" s="668">
        <f>H16</f>
        <v>100</v>
      </c>
      <c r="V16" s="667" t="s">
        <v>14</v>
      </c>
      <c r="W16" s="668">
        <f>J16</f>
        <v>100</v>
      </c>
      <c r="X16" s="1265"/>
      <c r="Y16" s="350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501"/>
      <c r="Q17" s="1263"/>
      <c r="R17" s="667"/>
      <c r="S17" s="668"/>
      <c r="T17" s="667"/>
      <c r="U17" s="668"/>
      <c r="V17" s="667"/>
      <c r="W17" s="668"/>
      <c r="X17" s="1265"/>
      <c r="Y17" s="3501"/>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501"/>
      <c r="Q18" s="1263" t="str">
        <f>B18</f>
        <v>基础设施水平</v>
      </c>
      <c r="R18" s="667" t="s">
        <v>14</v>
      </c>
      <c r="S18" s="668">
        <f>F18</f>
        <v>100</v>
      </c>
      <c r="T18" s="667" t="s">
        <v>14</v>
      </c>
      <c r="U18" s="668">
        <f>H18</f>
        <v>100</v>
      </c>
      <c r="V18" s="667" t="s">
        <v>14</v>
      </c>
      <c r="W18" s="668">
        <f>J18</f>
        <v>100</v>
      </c>
      <c r="X18" s="1265"/>
      <c r="Y18" s="350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501"/>
      <c r="Q19" s="1263"/>
      <c r="R19" s="667"/>
      <c r="S19" s="668"/>
      <c r="T19" s="667"/>
      <c r="U19" s="668"/>
      <c r="V19" s="667"/>
      <c r="W19" s="668"/>
      <c r="X19" s="1265"/>
      <c r="Y19" s="3501"/>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501"/>
      <c r="Q20" s="1263" t="str">
        <f>B20</f>
        <v>自然及人文环境</v>
      </c>
      <c r="R20" s="667" t="s">
        <v>14</v>
      </c>
      <c r="S20" s="668">
        <f>F20</f>
        <v>100</v>
      </c>
      <c r="T20" s="667" t="s">
        <v>14</v>
      </c>
      <c r="U20" s="668">
        <f>H20</f>
        <v>100</v>
      </c>
      <c r="V20" s="667" t="s">
        <v>14</v>
      </c>
      <c r="W20" s="668">
        <f>J20</f>
        <v>100</v>
      </c>
      <c r="X20" s="1265"/>
      <c r="Y20" s="350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501"/>
      <c r="Q21" s="1263"/>
      <c r="R21" s="667"/>
      <c r="S21" s="668"/>
      <c r="T21" s="667"/>
      <c r="U21" s="668"/>
      <c r="V21" s="667"/>
      <c r="W21" s="668"/>
      <c r="X21" s="1265"/>
      <c r="Y21" s="3501"/>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501"/>
      <c r="Q22" s="1263" t="str">
        <f>B22</f>
        <v>楼层</v>
      </c>
      <c r="R22" s="667" t="s">
        <v>14</v>
      </c>
      <c r="S22" s="668">
        <f>F22</f>
        <v>100</v>
      </c>
      <c r="T22" s="667" t="s">
        <v>14</v>
      </c>
      <c r="U22" s="668">
        <f>H22</f>
        <v>100</v>
      </c>
      <c r="V22" s="667" t="s">
        <v>14</v>
      </c>
      <c r="W22" s="668">
        <f>J22</f>
        <v>100</v>
      </c>
      <c r="X22" s="1265"/>
      <c r="Y22" s="350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501"/>
      <c r="Q23" s="1263">
        <f>B23</f>
        <v>111</v>
      </c>
      <c r="R23" s="667" t="s">
        <v>14</v>
      </c>
      <c r="S23" s="668">
        <f>F23</f>
        <v>100</v>
      </c>
      <c r="T23" s="667" t="s">
        <v>14</v>
      </c>
      <c r="U23" s="668">
        <f>H23</f>
        <v>100</v>
      </c>
      <c r="V23" s="667" t="s">
        <v>14</v>
      </c>
      <c r="W23" s="668">
        <f>J23</f>
        <v>100</v>
      </c>
      <c r="X23" s="1265"/>
      <c r="Y23" s="350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501"/>
      <c r="Q24" s="1263">
        <f t="shared" ref="Q24:Q36" si="11">B24</f>
        <v>111</v>
      </c>
      <c r="R24" s="667" t="s">
        <v>14</v>
      </c>
      <c r="S24" s="668">
        <f>F24</f>
        <v>100</v>
      </c>
      <c r="T24" s="667" t="s">
        <v>14</v>
      </c>
      <c r="U24" s="668">
        <f>H24</f>
        <v>100</v>
      </c>
      <c r="V24" s="667" t="s">
        <v>14</v>
      </c>
      <c r="W24" s="668">
        <f>J24</f>
        <v>100</v>
      </c>
      <c r="X24" s="1265"/>
      <c r="Y24" s="350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501"/>
      <c r="Q25" s="530">
        <f t="shared" si="11"/>
        <v>111</v>
      </c>
      <c r="R25" s="664" t="s">
        <v>14</v>
      </c>
      <c r="S25" s="665">
        <f>F25</f>
        <v>100</v>
      </c>
      <c r="T25" s="664" t="s">
        <v>14</v>
      </c>
      <c r="U25" s="665">
        <f>H25</f>
        <v>100</v>
      </c>
      <c r="V25" s="664" t="s">
        <v>14</v>
      </c>
      <c r="W25" s="665">
        <f>J25</f>
        <v>100</v>
      </c>
      <c r="X25" s="666"/>
      <c r="Y25" s="3501"/>
      <c r="Z25" s="50">
        <f>Q25</f>
        <v>111</v>
      </c>
      <c r="AA25" s="1264">
        <f>D25/F25</f>
        <v>1</v>
      </c>
      <c r="AB25" s="1264">
        <f>D25/H25</f>
        <v>1</v>
      </c>
      <c r="AC25" s="1264">
        <f>D25/J25</f>
        <v>1</v>
      </c>
    </row>
    <row r="26" spans="1:29" ht="15">
      <c r="A26" s="574" t="s">
        <v>1692</v>
      </c>
      <c r="B26" s="59" t="s">
        <v>1834</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554"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05"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505"/>
      <c r="Q27" s="531" t="str">
        <f t="shared" si="11"/>
        <v>项目停车位配比</v>
      </c>
      <c r="R27" s="669" t="s">
        <v>14</v>
      </c>
      <c r="S27" s="670">
        <f t="shared" si="12"/>
        <v>100</v>
      </c>
      <c r="T27" s="669" t="s">
        <v>14</v>
      </c>
      <c r="U27" s="670">
        <f t="shared" si="13"/>
        <v>100</v>
      </c>
      <c r="V27" s="669" t="s">
        <v>14</v>
      </c>
      <c r="W27" s="670">
        <f t="shared" si="14"/>
        <v>100</v>
      </c>
      <c r="X27" s="671"/>
      <c r="Y27" s="3505"/>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505"/>
      <c r="Q28" s="1263" t="str">
        <f t="shared" si="11"/>
        <v>公共部分装修</v>
      </c>
      <c r="R28" s="667" t="s">
        <v>14</v>
      </c>
      <c r="S28" s="668">
        <f t="shared" si="12"/>
        <v>100</v>
      </c>
      <c r="T28" s="667" t="s">
        <v>14</v>
      </c>
      <c r="U28" s="668">
        <f t="shared" si="13"/>
        <v>100</v>
      </c>
      <c r="V28" s="667" t="s">
        <v>14</v>
      </c>
      <c r="W28" s="668">
        <f t="shared" si="14"/>
        <v>100</v>
      </c>
      <c r="X28" s="1265"/>
      <c r="Y28" s="3505"/>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505"/>
      <c r="Q29" s="1263" t="str">
        <f t="shared" si="11"/>
        <v>成新率</v>
      </c>
      <c r="R29" s="667" t="s">
        <v>14</v>
      </c>
      <c r="S29" s="668" t="e">
        <f t="shared" si="12"/>
        <v>#N/A</v>
      </c>
      <c r="T29" s="667" t="s">
        <v>14</v>
      </c>
      <c r="U29" s="668" t="e">
        <f t="shared" si="13"/>
        <v>#N/A</v>
      </c>
      <c r="V29" s="667" t="s">
        <v>14</v>
      </c>
      <c r="W29" s="668" t="e">
        <f t="shared" si="14"/>
        <v>#N/A</v>
      </c>
      <c r="X29" s="1265"/>
      <c r="Y29" s="3505"/>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505"/>
      <c r="Q30" s="1263" t="str">
        <f t="shared" si="11"/>
        <v>物业等级</v>
      </c>
      <c r="R30" s="667" t="s">
        <v>14</v>
      </c>
      <c r="S30" s="668">
        <f t="shared" si="12"/>
        <v>100</v>
      </c>
      <c r="T30" s="667" t="s">
        <v>14</v>
      </c>
      <c r="U30" s="668">
        <f t="shared" si="13"/>
        <v>100</v>
      </c>
      <c r="V30" s="667" t="s">
        <v>14</v>
      </c>
      <c r="W30" s="668">
        <f t="shared" si="14"/>
        <v>100</v>
      </c>
      <c r="X30" s="1265"/>
      <c r="Y30" s="3505"/>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505"/>
      <c r="Q31" s="530" t="str">
        <f t="shared" si="11"/>
        <v>停车位面积</v>
      </c>
      <c r="R31" s="664" t="s">
        <v>14</v>
      </c>
      <c r="S31" s="665" t="e">
        <f t="shared" si="12"/>
        <v>#N/A</v>
      </c>
      <c r="T31" s="664" t="s">
        <v>14</v>
      </c>
      <c r="U31" s="665" t="e">
        <f t="shared" si="13"/>
        <v>#N/A</v>
      </c>
      <c r="V31" s="664" t="s">
        <v>14</v>
      </c>
      <c r="W31" s="665" t="e">
        <f t="shared" si="14"/>
        <v>#N/A</v>
      </c>
      <c r="X31" s="666"/>
      <c r="Y31" s="3505"/>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505" t="s">
        <v>1694</v>
      </c>
      <c r="Q32" s="1263" t="str">
        <f t="shared" si="11"/>
        <v>车位类型</v>
      </c>
      <c r="R32" s="667" t="s">
        <v>14</v>
      </c>
      <c r="S32" s="668">
        <f t="shared" si="12"/>
        <v>100</v>
      </c>
      <c r="T32" s="667" t="s">
        <v>14</v>
      </c>
      <c r="U32" s="668">
        <f t="shared" si="13"/>
        <v>100</v>
      </c>
      <c r="V32" s="667" t="s">
        <v>14</v>
      </c>
      <c r="W32" s="668">
        <f t="shared" si="14"/>
        <v>100</v>
      </c>
      <c r="X32" s="1265"/>
      <c r="Y32" s="3505"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505"/>
      <c r="Q33" s="1263" t="str">
        <f t="shared" si="11"/>
        <v>是否直接入户</v>
      </c>
      <c r="R33" s="667" t="s">
        <v>14</v>
      </c>
      <c r="S33" s="668">
        <f t="shared" si="12"/>
        <v>100</v>
      </c>
      <c r="T33" s="667" t="s">
        <v>14</v>
      </c>
      <c r="U33" s="668">
        <f t="shared" si="13"/>
        <v>100</v>
      </c>
      <c r="V33" s="667" t="s">
        <v>14</v>
      </c>
      <c r="W33" s="668">
        <f t="shared" si="14"/>
        <v>100</v>
      </c>
      <c r="X33" s="1265"/>
      <c r="Y33" s="350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505"/>
      <c r="Q34" s="1263">
        <f t="shared" si="11"/>
        <v>111</v>
      </c>
      <c r="R34" s="667" t="s">
        <v>14</v>
      </c>
      <c r="S34" s="668">
        <f t="shared" si="12"/>
        <v>100</v>
      </c>
      <c r="T34" s="667" t="s">
        <v>14</v>
      </c>
      <c r="U34" s="668">
        <f t="shared" si="13"/>
        <v>100</v>
      </c>
      <c r="V34" s="667" t="s">
        <v>14</v>
      </c>
      <c r="W34" s="668">
        <f t="shared" si="14"/>
        <v>100</v>
      </c>
      <c r="X34" s="1265"/>
      <c r="Y34" s="350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505"/>
      <c r="Q35" s="531">
        <f t="shared" si="11"/>
        <v>111</v>
      </c>
      <c r="R35" s="669" t="s">
        <v>14</v>
      </c>
      <c r="S35" s="670">
        <f t="shared" si="12"/>
        <v>100</v>
      </c>
      <c r="T35" s="669" t="s">
        <v>14</v>
      </c>
      <c r="U35" s="670">
        <f t="shared" si="13"/>
        <v>100</v>
      </c>
      <c r="V35" s="669" t="s">
        <v>14</v>
      </c>
      <c r="W35" s="670">
        <f t="shared" si="14"/>
        <v>100</v>
      </c>
      <c r="X35" s="671"/>
      <c r="Y35" s="350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505"/>
      <c r="Q36" s="1263">
        <f t="shared" si="11"/>
        <v>111</v>
      </c>
      <c r="R36" s="667" t="s">
        <v>14</v>
      </c>
      <c r="S36" s="668">
        <f t="shared" si="12"/>
        <v>100</v>
      </c>
      <c r="T36" s="667" t="s">
        <v>14</v>
      </c>
      <c r="U36" s="668">
        <f t="shared" si="13"/>
        <v>100</v>
      </c>
      <c r="V36" s="667" t="s">
        <v>14</v>
      </c>
      <c r="W36" s="668">
        <f t="shared" si="14"/>
        <v>100</v>
      </c>
      <c r="X36" s="1265"/>
      <c r="Y36" s="3505"/>
      <c r="Z36" s="1264">
        <f t="shared" si="15"/>
        <v>111</v>
      </c>
      <c r="AA36" s="1264">
        <f t="shared" si="3"/>
        <v>1</v>
      </c>
      <c r="AB36" s="1264">
        <f t="shared" si="4"/>
        <v>1</v>
      </c>
      <c r="AC36" s="1264">
        <f t="shared" si="5"/>
        <v>1</v>
      </c>
    </row>
    <row r="37" spans="1:29" ht="15">
      <c r="A37" s="416" t="s">
        <v>1842</v>
      </c>
      <c r="B37" s="1819" t="s">
        <v>3355</v>
      </c>
      <c r="C37" s="1081" t="s">
        <v>0</v>
      </c>
      <c r="D37" s="418"/>
      <c r="E37" s="419"/>
      <c r="F37" s="420"/>
      <c r="G37" s="421"/>
      <c r="H37" s="422"/>
      <c r="I37" s="419"/>
      <c r="J37" s="422"/>
      <c r="K37" s="545"/>
      <c r="L37" s="2492"/>
      <c r="M37" s="2485"/>
      <c r="N37" s="2485"/>
      <c r="O37" s="2485"/>
      <c r="P37" s="3493" t="str">
        <f>A37</f>
        <v>成交单价</v>
      </c>
      <c r="Q37" s="3493"/>
      <c r="R37" s="3494">
        <f>E37</f>
        <v>0</v>
      </c>
      <c r="S37" s="3494"/>
      <c r="T37" s="3494">
        <f>G37</f>
        <v>0</v>
      </c>
      <c r="U37" s="3494"/>
      <c r="V37" s="3494">
        <f>I37</f>
        <v>0</v>
      </c>
      <c r="W37" s="3494"/>
      <c r="X37" s="385"/>
      <c r="Y37" s="673"/>
      <c r="Z37" s="385"/>
      <c r="AA37" s="385"/>
      <c r="AB37" s="385"/>
      <c r="AC37" s="385"/>
    </row>
    <row r="38" spans="1:29" ht="15.75" thickBot="1">
      <c r="A38" s="423" t="s">
        <v>1843</v>
      </c>
      <c r="B38" s="424" t="str">
        <f>B37</f>
        <v>元/平方米</v>
      </c>
      <c r="C38" s="1082" t="e">
        <f>R39</f>
        <v>#DIV/0!</v>
      </c>
      <c r="D38" s="2139" t="s">
        <v>2136</v>
      </c>
      <c r="E38" s="1083" t="e">
        <f>R38</f>
        <v>#DIV/0!</v>
      </c>
      <c r="F38" s="2140"/>
      <c r="G38" s="1082" t="e">
        <f>T38</f>
        <v>#DIV/0!</v>
      </c>
      <c r="H38" s="2140"/>
      <c r="I38" s="1083" t="e">
        <f>V38</f>
        <v>#DIV/0!</v>
      </c>
      <c r="J38" s="2140"/>
      <c r="K38" s="2142">
        <f>F38+H38+J38</f>
        <v>0</v>
      </c>
      <c r="L38" s="2492"/>
      <c r="M38" s="2485"/>
      <c r="N38" s="2485"/>
      <c r="O38" s="2485"/>
      <c r="P38" s="3493" t="str">
        <f>A38</f>
        <v>比较价值（元/平方米）</v>
      </c>
      <c r="Q38" s="3493"/>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2"/>
      <c r="M39" s="2485"/>
      <c r="N39" s="2485"/>
      <c r="O39" s="2485"/>
      <c r="P39" s="3495" t="str">
        <f>A39</f>
        <v>估价对象XX用房的比较价值（楼面单价，元/平方米）</v>
      </c>
      <c r="Q39" s="3496"/>
      <c r="R39" s="3555" t="e">
        <f>IF(F1="售价",ROUND(IF(D38="简单平均",AVERAGE(R38:W38),R38*F38+T38*H38+V38*J38),0),ROUND(IF(D38="简单平均",AVERAGE(R38:V38),R38*F38+T38*H38+V38*J38),1))</f>
        <v>#DIV/0!</v>
      </c>
      <c r="S39" s="3555"/>
      <c r="T39" s="3555"/>
      <c r="U39" s="3555"/>
      <c r="V39" s="3555"/>
      <c r="W39" s="355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1848</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1849</v>
      </c>
      <c r="B48" s="441"/>
      <c r="C48" s="1103" t="str">
        <f>YEAR(C7)&amp;"-"&amp;MONTH(C7)</f>
        <v>2023-10</v>
      </c>
      <c r="D48" s="1104">
        <f>EDATE(C48,-1)</f>
        <v>45170</v>
      </c>
      <c r="E48" s="1104">
        <f t="shared" ref="E48:O48" si="16">EDATE(D48,-1)</f>
        <v>45139</v>
      </c>
      <c r="F48" s="1104">
        <f t="shared" si="16"/>
        <v>45108</v>
      </c>
      <c r="G48" s="1104">
        <f t="shared" si="16"/>
        <v>45078</v>
      </c>
      <c r="H48" s="1104">
        <f t="shared" si="16"/>
        <v>45047</v>
      </c>
      <c r="I48" s="1104">
        <f t="shared" si="16"/>
        <v>45017</v>
      </c>
      <c r="J48" s="1104">
        <f t="shared" si="16"/>
        <v>44986</v>
      </c>
      <c r="K48" s="1104">
        <f t="shared" si="16"/>
        <v>44958</v>
      </c>
      <c r="L48" s="1104">
        <f t="shared" si="16"/>
        <v>44927</v>
      </c>
      <c r="M48" s="1104">
        <f t="shared" si="16"/>
        <v>44896</v>
      </c>
      <c r="N48" s="1104">
        <f t="shared" si="16"/>
        <v>44866</v>
      </c>
      <c r="O48" s="1104">
        <f t="shared" si="16"/>
        <v>44835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1714</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1679</v>
      </c>
      <c r="B51" s="444"/>
      <c r="C51" s="456" t="s">
        <v>1774</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1717</v>
      </c>
      <c r="B53" s="460" t="s">
        <v>1683</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1686</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1725</v>
      </c>
      <c r="C65" s="509" t="s">
        <v>1719</v>
      </c>
      <c r="D65" s="509" t="s">
        <v>1720</v>
      </c>
      <c r="E65" s="509" t="s">
        <v>1721</v>
      </c>
      <c r="F65" s="509" t="s">
        <v>1722</v>
      </c>
      <c r="G65" s="509" t="s">
        <v>1723</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1811</v>
      </c>
      <c r="C67" s="581" t="s">
        <v>1797</v>
      </c>
      <c r="D67" s="581" t="s">
        <v>1798</v>
      </c>
      <c r="E67" s="581" t="s">
        <v>1799</v>
      </c>
      <c r="F67" s="581" t="s">
        <v>1800</v>
      </c>
      <c r="G67" s="581" t="s">
        <v>1801</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1731</v>
      </c>
      <c r="C69" s="509" t="s">
        <v>1719</v>
      </c>
      <c r="D69" s="509" t="s">
        <v>1720</v>
      </c>
      <c r="E69" s="509" t="s">
        <v>1721</v>
      </c>
      <c r="F69" s="509" t="s">
        <v>1722</v>
      </c>
      <c r="G69" s="509" t="s">
        <v>1723</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1850</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1692</v>
      </c>
      <c r="B79" s="460" t="s">
        <v>1851</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1852</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1738</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1854</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1856</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1857</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1829</v>
      </c>
      <c r="B1" s="1140" t="s">
        <v>3335</v>
      </c>
      <c r="C1" s="1141" t="s">
        <v>1660</v>
      </c>
      <c r="D1" s="1142"/>
      <c r="E1" s="3129"/>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1767</v>
      </c>
      <c r="B4" s="346"/>
      <c r="C4" s="3520" t="s">
        <v>1768</v>
      </c>
      <c r="D4" s="3521"/>
      <c r="E4" s="3522" t="s">
        <v>1769</v>
      </c>
      <c r="F4" s="3523"/>
      <c r="G4" s="3520" t="s">
        <v>1770</v>
      </c>
      <c r="H4" s="3521"/>
      <c r="I4" s="3520" t="s">
        <v>1771</v>
      </c>
      <c r="J4" s="3521"/>
      <c r="K4" s="537" t="s">
        <v>1772</v>
      </c>
      <c r="L4" s="2484"/>
      <c r="M4" s="2485"/>
      <c r="N4" s="2485"/>
      <c r="O4" s="2485"/>
      <c r="P4" s="3524" t="s">
        <v>1773</v>
      </c>
      <c r="Q4" s="3525"/>
      <c r="R4" s="3510" t="s">
        <v>1769</v>
      </c>
      <c r="S4" s="3511"/>
      <c r="T4" s="3510" t="s">
        <v>1770</v>
      </c>
      <c r="U4" s="3511"/>
      <c r="V4" s="3494" t="s">
        <v>1771</v>
      </c>
      <c r="W4" s="3494"/>
      <c r="X4" s="1265"/>
      <c r="Y4" s="3510" t="s">
        <v>1773</v>
      </c>
      <c r="Z4" s="3511"/>
      <c r="AA4" s="3516" t="s">
        <v>1769</v>
      </c>
      <c r="AB4" s="3517" t="s">
        <v>1770</v>
      </c>
      <c r="AC4" s="3516" t="s">
        <v>1771</v>
      </c>
    </row>
    <row r="5" spans="1:29" ht="15">
      <c r="A5" s="348"/>
      <c r="B5" s="349"/>
      <c r="C5" s="3530" t="s">
        <v>1671</v>
      </c>
      <c r="D5" s="3531"/>
      <c r="E5" s="3532" t="s">
        <v>1672</v>
      </c>
      <c r="F5" s="3533"/>
      <c r="G5" s="3530" t="s">
        <v>1673</v>
      </c>
      <c r="H5" s="3531"/>
      <c r="I5" s="3530" t="s">
        <v>1674</v>
      </c>
      <c r="J5" s="3531"/>
      <c r="K5" s="537"/>
      <c r="L5" s="2484"/>
      <c r="M5" s="2485"/>
      <c r="N5" s="2485"/>
      <c r="O5" s="2485"/>
      <c r="P5" s="3526"/>
      <c r="Q5" s="3527"/>
      <c r="R5" s="3512"/>
      <c r="S5" s="3513"/>
      <c r="T5" s="3512"/>
      <c r="U5" s="3513"/>
      <c r="V5" s="3494"/>
      <c r="W5" s="3494"/>
      <c r="X5" s="1265"/>
      <c r="Y5" s="3512"/>
      <c r="Z5" s="3513"/>
      <c r="AA5" s="3517"/>
      <c r="AB5" s="3517"/>
      <c r="AC5" s="3517"/>
    </row>
    <row r="6" spans="1:29" ht="15.75" thickBot="1">
      <c r="A6" s="350"/>
      <c r="B6" s="351"/>
      <c r="C6" s="3534" t="s">
        <v>1675</v>
      </c>
      <c r="D6" s="3535"/>
      <c r="E6" s="3536" t="s">
        <v>1675</v>
      </c>
      <c r="F6" s="3537"/>
      <c r="G6" s="3534" t="s">
        <v>1675</v>
      </c>
      <c r="H6" s="3535"/>
      <c r="I6" s="3534" t="s">
        <v>1675</v>
      </c>
      <c r="J6" s="3535"/>
      <c r="K6" s="537"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c r="F7" s="357">
        <f>SUMIF(46:46,YEAR(E7)&amp;"-"&amp;MONTH(E7),47:47)</f>
        <v>0</v>
      </c>
      <c r="G7" s="1820"/>
      <c r="H7" s="355">
        <f>SUMIF(46:46,YEAR(G7)&amp;"-"&amp;MONTH(G7),47:47)</f>
        <v>0</v>
      </c>
      <c r="I7" s="356"/>
      <c r="J7" s="355">
        <f>SUMIF(46:46,YEAR(I7)&amp;"-"&amp;MONTH(I7),47:47)</f>
        <v>0</v>
      </c>
      <c r="K7" s="38"/>
      <c r="L7" s="2486"/>
      <c r="M7" s="2437"/>
      <c r="N7" s="2437"/>
      <c r="O7" s="2437"/>
      <c r="P7" s="3507" t="s">
        <v>1678</v>
      </c>
      <c r="Q7" s="3519"/>
      <c r="R7" s="664" t="s">
        <v>14</v>
      </c>
      <c r="S7" s="665">
        <f t="shared" ref="S7:S14" si="0">F7</f>
        <v>0</v>
      </c>
      <c r="T7" s="664" t="s">
        <v>14</v>
      </c>
      <c r="U7" s="665">
        <f t="shared" ref="U7:U14" si="1">H7</f>
        <v>0</v>
      </c>
      <c r="V7" s="664" t="s">
        <v>14</v>
      </c>
      <c r="W7" s="665">
        <f t="shared" ref="W7:W14" si="2">J7</f>
        <v>0</v>
      </c>
      <c r="X7" s="666"/>
      <c r="Y7" s="3507" t="s">
        <v>1678</v>
      </c>
      <c r="Z7" s="3508"/>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507" t="s">
        <v>1681</v>
      </c>
      <c r="Q8" s="3508"/>
      <c r="R8" s="664" t="s">
        <v>14</v>
      </c>
      <c r="S8" s="665">
        <f t="shared" si="0"/>
        <v>100</v>
      </c>
      <c r="T8" s="664" t="s">
        <v>14</v>
      </c>
      <c r="U8" s="665">
        <f t="shared" si="1"/>
        <v>100</v>
      </c>
      <c r="V8" s="664" t="s">
        <v>14</v>
      </c>
      <c r="W8" s="665">
        <f t="shared" si="2"/>
        <v>100</v>
      </c>
      <c r="X8" s="666"/>
      <c r="Y8" s="3507" t="s">
        <v>1681</v>
      </c>
      <c r="Z8" s="3508"/>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93" t="s">
        <v>1684</v>
      </c>
      <c r="Q9" s="530" t="str">
        <f t="shared" ref="Q9:Q14" si="6">B9</f>
        <v>用途</v>
      </c>
      <c r="R9" s="664" t="s">
        <v>14</v>
      </c>
      <c r="S9" s="665">
        <f t="shared" si="0"/>
        <v>100</v>
      </c>
      <c r="T9" s="664" t="s">
        <v>14</v>
      </c>
      <c r="U9" s="665">
        <f t="shared" si="1"/>
        <v>100</v>
      </c>
      <c r="V9" s="664" t="s">
        <v>14</v>
      </c>
      <c r="W9" s="665">
        <f t="shared" si="2"/>
        <v>100</v>
      </c>
      <c r="X9" s="666"/>
      <c r="Y9" s="3371" t="s">
        <v>1685</v>
      </c>
      <c r="Z9" s="50" t="str">
        <f t="shared" ref="Z9:Z14" si="7">Q9</f>
        <v>用途</v>
      </c>
      <c r="AA9" s="50">
        <f t="shared" si="3"/>
        <v>1</v>
      </c>
      <c r="AB9" s="50">
        <f t="shared" si="4"/>
        <v>1</v>
      </c>
      <c r="AC9" s="50">
        <f t="shared" si="5"/>
        <v>1</v>
      </c>
    </row>
    <row r="10" spans="1:29" s="366" customFormat="1" ht="27">
      <c r="A10" s="363"/>
      <c r="B10" s="364" t="s">
        <v>1686</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93"/>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93"/>
      <c r="Q11" s="530">
        <f t="shared" si="6"/>
        <v>111</v>
      </c>
      <c r="R11" s="664" t="s">
        <v>14</v>
      </c>
      <c r="S11" s="665">
        <f t="shared" si="0"/>
        <v>100</v>
      </c>
      <c r="T11" s="664" t="s">
        <v>14</v>
      </c>
      <c r="U11" s="665">
        <f t="shared" si="1"/>
        <v>100</v>
      </c>
      <c r="V11" s="664" t="s">
        <v>14</v>
      </c>
      <c r="W11" s="665">
        <f t="shared" si="2"/>
        <v>100</v>
      </c>
      <c r="X11" s="666"/>
      <c r="Y11" s="33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93"/>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93"/>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85.5">
      <c r="A14" s="379" t="s">
        <v>1688</v>
      </c>
      <c r="B14" s="58" t="s">
        <v>1831</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500" t="s">
        <v>1689</v>
      </c>
      <c r="Q14" s="1263" t="str">
        <f t="shared" si="6"/>
        <v>交通便捷度</v>
      </c>
      <c r="R14" s="667" t="s">
        <v>14</v>
      </c>
      <c r="S14" s="668">
        <f t="shared" si="0"/>
        <v>100</v>
      </c>
      <c r="T14" s="667" t="s">
        <v>14</v>
      </c>
      <c r="U14" s="668">
        <f t="shared" si="1"/>
        <v>100</v>
      </c>
      <c r="V14" s="667" t="s">
        <v>14</v>
      </c>
      <c r="W14" s="668">
        <f t="shared" si="2"/>
        <v>100</v>
      </c>
      <c r="X14" s="1265"/>
      <c r="Y14" s="3500"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501"/>
      <c r="Q15" s="1263"/>
      <c r="R15" s="667"/>
      <c r="S15" s="668"/>
      <c r="T15" s="667"/>
      <c r="U15" s="668"/>
      <c r="V15" s="667"/>
      <c r="W15" s="668"/>
      <c r="X15" s="1265"/>
      <c r="Y15" s="3501"/>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501"/>
      <c r="Q16" s="1263" t="str">
        <f>B16</f>
        <v>公共配套设施</v>
      </c>
      <c r="R16" s="667" t="s">
        <v>14</v>
      </c>
      <c r="S16" s="668">
        <f>F16</f>
        <v>100</v>
      </c>
      <c r="T16" s="667" t="s">
        <v>14</v>
      </c>
      <c r="U16" s="668">
        <f>H16</f>
        <v>100</v>
      </c>
      <c r="V16" s="667" t="s">
        <v>14</v>
      </c>
      <c r="W16" s="668">
        <f>J16</f>
        <v>100</v>
      </c>
      <c r="X16" s="1265"/>
      <c r="Y16" s="350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501"/>
      <c r="Q17" s="1263"/>
      <c r="R17" s="667"/>
      <c r="S17" s="668"/>
      <c r="T17" s="667"/>
      <c r="U17" s="668"/>
      <c r="V17" s="667"/>
      <c r="W17" s="668"/>
      <c r="X17" s="1265"/>
      <c r="Y17" s="3501"/>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501"/>
      <c r="Q18" s="1263" t="str">
        <f>B18</f>
        <v>基础设施水平</v>
      </c>
      <c r="R18" s="667" t="s">
        <v>14</v>
      </c>
      <c r="S18" s="668">
        <f>F18</f>
        <v>100</v>
      </c>
      <c r="T18" s="667" t="s">
        <v>14</v>
      </c>
      <c r="U18" s="668">
        <f>H18</f>
        <v>100</v>
      </c>
      <c r="V18" s="667" t="s">
        <v>14</v>
      </c>
      <c r="W18" s="668">
        <f>J18</f>
        <v>100</v>
      </c>
      <c r="X18" s="1265"/>
      <c r="Y18" s="350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501"/>
      <c r="Q19" s="1263"/>
      <c r="R19" s="667"/>
      <c r="S19" s="668"/>
      <c r="T19" s="667"/>
      <c r="U19" s="668"/>
      <c r="V19" s="667"/>
      <c r="W19" s="668"/>
      <c r="X19" s="1265"/>
      <c r="Y19" s="3501"/>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501"/>
      <c r="Q20" s="1263" t="str">
        <f>B20</f>
        <v>自然及人文环境</v>
      </c>
      <c r="R20" s="667" t="s">
        <v>14</v>
      </c>
      <c r="S20" s="668">
        <f>F20</f>
        <v>100</v>
      </c>
      <c r="T20" s="667" t="s">
        <v>14</v>
      </c>
      <c r="U20" s="668">
        <f>H20</f>
        <v>100</v>
      </c>
      <c r="V20" s="667" t="s">
        <v>14</v>
      </c>
      <c r="W20" s="668">
        <f>J20</f>
        <v>100</v>
      </c>
      <c r="X20" s="1265"/>
      <c r="Y20" s="350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501"/>
      <c r="Q21" s="1263"/>
      <c r="R21" s="667"/>
      <c r="S21" s="668"/>
      <c r="T21" s="667"/>
      <c r="U21" s="668"/>
      <c r="V21" s="667"/>
      <c r="W21" s="668"/>
      <c r="X21" s="1265"/>
      <c r="Y21" s="3501"/>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501"/>
      <c r="Q22" s="1263" t="str">
        <f>B22</f>
        <v>楼层</v>
      </c>
      <c r="R22" s="667" t="s">
        <v>14</v>
      </c>
      <c r="S22" s="668">
        <f>F22</f>
        <v>100</v>
      </c>
      <c r="T22" s="667" t="s">
        <v>14</v>
      </c>
      <c r="U22" s="668">
        <f>H22</f>
        <v>100</v>
      </c>
      <c r="V22" s="667" t="s">
        <v>14</v>
      </c>
      <c r="W22" s="668">
        <f>J22</f>
        <v>100</v>
      </c>
      <c r="X22" s="1265"/>
      <c r="Y22" s="350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501"/>
      <c r="Q23" s="1263">
        <f>B23</f>
        <v>111</v>
      </c>
      <c r="R23" s="667" t="s">
        <v>14</v>
      </c>
      <c r="S23" s="668">
        <f>F23</f>
        <v>100</v>
      </c>
      <c r="T23" s="667" t="s">
        <v>14</v>
      </c>
      <c r="U23" s="668">
        <f>H23</f>
        <v>100</v>
      </c>
      <c r="V23" s="667" t="s">
        <v>14</v>
      </c>
      <c r="W23" s="668">
        <f>J23</f>
        <v>100</v>
      </c>
      <c r="X23" s="1265"/>
      <c r="Y23" s="350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501"/>
      <c r="Q24" s="1263">
        <f t="shared" ref="Q24:Q34" si="11">B24</f>
        <v>111</v>
      </c>
      <c r="R24" s="667" t="s">
        <v>14</v>
      </c>
      <c r="S24" s="668">
        <f>F24</f>
        <v>100</v>
      </c>
      <c r="T24" s="667" t="s">
        <v>14</v>
      </c>
      <c r="U24" s="668">
        <f>H24</f>
        <v>100</v>
      </c>
      <c r="V24" s="667" t="s">
        <v>14</v>
      </c>
      <c r="W24" s="668">
        <f>J24</f>
        <v>100</v>
      </c>
      <c r="X24" s="1265"/>
      <c r="Y24" s="3501"/>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501"/>
      <c r="Q25" s="530">
        <f t="shared" si="11"/>
        <v>111</v>
      </c>
      <c r="R25" s="664" t="s">
        <v>14</v>
      </c>
      <c r="S25" s="665">
        <f>F25</f>
        <v>100</v>
      </c>
      <c r="T25" s="664" t="s">
        <v>14</v>
      </c>
      <c r="U25" s="665">
        <f>H25</f>
        <v>100</v>
      </c>
      <c r="V25" s="664" t="s">
        <v>14</v>
      </c>
      <c r="W25" s="665">
        <f>J25</f>
        <v>100</v>
      </c>
      <c r="X25" s="666"/>
      <c r="Y25" s="3501"/>
      <c r="Z25" s="50">
        <f>Q25</f>
        <v>111</v>
      </c>
      <c r="AA25" s="1264">
        <f>D25/F25</f>
        <v>1</v>
      </c>
      <c r="AB25" s="1264">
        <f>D25/H25</f>
        <v>1</v>
      </c>
      <c r="AC25" s="1264">
        <f>D25/J25</f>
        <v>1</v>
      </c>
    </row>
    <row r="26" spans="1:29" ht="1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55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05"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505"/>
      <c r="Q27" s="531" t="str">
        <f t="shared" si="11"/>
        <v>成新率</v>
      </c>
      <c r="R27" s="669" t="s">
        <v>14</v>
      </c>
      <c r="S27" s="670" t="e">
        <f t="shared" si="12"/>
        <v>#N/A</v>
      </c>
      <c r="T27" s="669" t="s">
        <v>14</v>
      </c>
      <c r="U27" s="670" t="e">
        <f t="shared" si="13"/>
        <v>#N/A</v>
      </c>
      <c r="V27" s="669" t="s">
        <v>14</v>
      </c>
      <c r="W27" s="670" t="e">
        <f t="shared" si="14"/>
        <v>#N/A</v>
      </c>
      <c r="X27" s="671"/>
      <c r="Y27" s="3505"/>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505"/>
      <c r="Q28" s="1263" t="str">
        <f t="shared" si="11"/>
        <v>物业等级</v>
      </c>
      <c r="R28" s="667" t="s">
        <v>14</v>
      </c>
      <c r="S28" s="668">
        <f t="shared" si="12"/>
        <v>100</v>
      </c>
      <c r="T28" s="667" t="s">
        <v>14</v>
      </c>
      <c r="U28" s="668">
        <f t="shared" si="13"/>
        <v>100</v>
      </c>
      <c r="V28" s="667" t="s">
        <v>14</v>
      </c>
      <c r="W28" s="668">
        <f t="shared" si="14"/>
        <v>100</v>
      </c>
      <c r="X28" s="1265"/>
      <c r="Y28" s="3505"/>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505"/>
      <c r="Q29" s="1263" t="str">
        <f t="shared" si="11"/>
        <v>有无电梯</v>
      </c>
      <c r="R29" s="667" t="s">
        <v>14</v>
      </c>
      <c r="S29" s="668">
        <f t="shared" si="12"/>
        <v>100</v>
      </c>
      <c r="T29" s="667" t="s">
        <v>14</v>
      </c>
      <c r="U29" s="668">
        <f t="shared" si="13"/>
        <v>100</v>
      </c>
      <c r="V29" s="667" t="s">
        <v>14</v>
      </c>
      <c r="W29" s="668">
        <f t="shared" si="14"/>
        <v>100</v>
      </c>
      <c r="X29" s="1265"/>
      <c r="Y29" s="3505"/>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505"/>
      <c r="Q30" s="1263" t="str">
        <f t="shared" si="11"/>
        <v>建筑面积</v>
      </c>
      <c r="R30" s="667" t="s">
        <v>14</v>
      </c>
      <c r="S30" s="668" t="e">
        <f t="shared" si="12"/>
        <v>#N/A</v>
      </c>
      <c r="T30" s="667" t="s">
        <v>14</v>
      </c>
      <c r="U30" s="668" t="e">
        <f t="shared" si="13"/>
        <v>#N/A</v>
      </c>
      <c r="V30" s="667" t="s">
        <v>14</v>
      </c>
      <c r="W30" s="668" t="e">
        <f t="shared" si="14"/>
        <v>#N/A</v>
      </c>
      <c r="X30" s="1265"/>
      <c r="Y30" s="3505"/>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505"/>
      <c r="Q31" s="530" t="str">
        <f t="shared" si="11"/>
        <v>是否封闭</v>
      </c>
      <c r="R31" s="664" t="s">
        <v>14</v>
      </c>
      <c r="S31" s="665">
        <f t="shared" si="12"/>
        <v>100</v>
      </c>
      <c r="T31" s="664" t="s">
        <v>14</v>
      </c>
      <c r="U31" s="665">
        <f t="shared" si="13"/>
        <v>100</v>
      </c>
      <c r="V31" s="664" t="s">
        <v>14</v>
      </c>
      <c r="W31" s="665">
        <f t="shared" si="14"/>
        <v>100</v>
      </c>
      <c r="X31" s="666"/>
      <c r="Y31" s="35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505" t="s">
        <v>1694</v>
      </c>
      <c r="Q32" s="1263">
        <f t="shared" si="11"/>
        <v>111</v>
      </c>
      <c r="R32" s="667" t="s">
        <v>14</v>
      </c>
      <c r="S32" s="668">
        <f t="shared" si="12"/>
        <v>100</v>
      </c>
      <c r="T32" s="667" t="s">
        <v>14</v>
      </c>
      <c r="U32" s="668">
        <f t="shared" si="13"/>
        <v>100</v>
      </c>
      <c r="V32" s="667" t="s">
        <v>14</v>
      </c>
      <c r="W32" s="668">
        <f t="shared" si="14"/>
        <v>100</v>
      </c>
      <c r="X32" s="1265"/>
      <c r="Y32" s="3505"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505"/>
      <c r="Q33" s="1263">
        <f t="shared" si="11"/>
        <v>111</v>
      </c>
      <c r="R33" s="667" t="s">
        <v>14</v>
      </c>
      <c r="S33" s="668">
        <f t="shared" si="12"/>
        <v>100</v>
      </c>
      <c r="T33" s="667" t="s">
        <v>14</v>
      </c>
      <c r="U33" s="668">
        <f t="shared" si="13"/>
        <v>100</v>
      </c>
      <c r="V33" s="667" t="s">
        <v>14</v>
      </c>
      <c r="W33" s="668">
        <f t="shared" si="14"/>
        <v>100</v>
      </c>
      <c r="X33" s="1265"/>
      <c r="Y33" s="3505"/>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505"/>
      <c r="Q34" s="1263">
        <f t="shared" si="11"/>
        <v>111</v>
      </c>
      <c r="R34" s="667" t="s">
        <v>14</v>
      </c>
      <c r="S34" s="668">
        <f t="shared" si="12"/>
        <v>100</v>
      </c>
      <c r="T34" s="667" t="s">
        <v>14</v>
      </c>
      <c r="U34" s="668">
        <f t="shared" si="13"/>
        <v>100</v>
      </c>
      <c r="V34" s="667" t="s">
        <v>14</v>
      </c>
      <c r="W34" s="668">
        <f t="shared" si="14"/>
        <v>100</v>
      </c>
      <c r="X34" s="1265"/>
      <c r="Y34" s="3505"/>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2"/>
      <c r="M35" s="2485"/>
      <c r="N35" s="2485"/>
      <c r="O35" s="2485"/>
      <c r="P35" s="3493" t="str">
        <f>A35</f>
        <v>成交单价（元/平方米）</v>
      </c>
      <c r="Q35" s="3493"/>
      <c r="R35" s="3494">
        <f>E35</f>
        <v>0</v>
      </c>
      <c r="S35" s="3494"/>
      <c r="T35" s="3494">
        <f>G35</f>
        <v>0</v>
      </c>
      <c r="U35" s="3494"/>
      <c r="V35" s="3494">
        <f>I35</f>
        <v>0</v>
      </c>
      <c r="W35" s="3494"/>
      <c r="X35" s="385"/>
      <c r="Y35" s="673"/>
      <c r="Z35" s="385"/>
      <c r="AA35" s="385"/>
      <c r="AB35" s="385"/>
      <c r="AC35" s="385"/>
    </row>
    <row r="36" spans="1:30" ht="15.75" thickBot="1">
      <c r="A36" s="423" t="s">
        <v>1791</v>
      </c>
      <c r="B36" s="424"/>
      <c r="C36" s="1082" t="e">
        <f>R37</f>
        <v>#DIV/0!</v>
      </c>
      <c r="D36" s="2139" t="s">
        <v>2136</v>
      </c>
      <c r="E36" s="1083" t="e">
        <f>R36</f>
        <v>#DIV/0!</v>
      </c>
      <c r="F36" s="2140"/>
      <c r="G36" s="1082" t="e">
        <f>T36</f>
        <v>#DIV/0!</v>
      </c>
      <c r="H36" s="2140"/>
      <c r="I36" s="1083" t="e">
        <f>V36</f>
        <v>#DIV/0!</v>
      </c>
      <c r="J36" s="2140"/>
      <c r="K36" s="2142">
        <f>F36+H36+J36</f>
        <v>0</v>
      </c>
      <c r="L36" s="2492"/>
      <c r="M36" s="2485"/>
      <c r="N36" s="2485"/>
      <c r="O36" s="2485"/>
      <c r="P36" s="3493" t="str">
        <f>A36</f>
        <v>比较价值（元/平方米）</v>
      </c>
      <c r="Q36" s="3493"/>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2"/>
      <c r="M37" s="2485"/>
      <c r="N37" s="2485"/>
      <c r="O37" s="2485"/>
      <c r="P37" s="3495" t="str">
        <f>A37</f>
        <v>估价对象XX用房的比较价值（楼面单价，元/平方米）</v>
      </c>
      <c r="Q37" s="3496"/>
      <c r="R37" s="3555" t="e">
        <f>IF(F1="售价",ROUND(IF(D36="简单平均",AVERAGE(R36:W36),R36*F36+T36*H36+V36*J36),0),ROUND(IF(D36="简单平均",AVERAGE(R36:V36),R36*F36+T36*H36+V36*J36),1))</f>
        <v>#DIV/0!</v>
      </c>
      <c r="S37" s="3555"/>
      <c r="T37" s="3555"/>
      <c r="U37" s="3555"/>
      <c r="V37" s="3555"/>
      <c r="W37" s="355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1796</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1677</v>
      </c>
      <c r="B46" s="441"/>
      <c r="C46" s="1103" t="str">
        <f>YEAR(C7)&amp;"-"&amp;MONTH(C7)</f>
        <v>2023-10</v>
      </c>
      <c r="D46" s="1104">
        <f>EDATE(C46,-1)</f>
        <v>45170</v>
      </c>
      <c r="E46" s="1104">
        <f t="shared" ref="E46:O46" si="16">EDATE(D46,-1)</f>
        <v>45139</v>
      </c>
      <c r="F46" s="1104">
        <f t="shared" si="16"/>
        <v>45108</v>
      </c>
      <c r="G46" s="1104">
        <f t="shared" si="16"/>
        <v>45078</v>
      </c>
      <c r="H46" s="1104">
        <f t="shared" si="16"/>
        <v>45047</v>
      </c>
      <c r="I46" s="1104">
        <f t="shared" si="16"/>
        <v>45017</v>
      </c>
      <c r="J46" s="1104">
        <f t="shared" si="16"/>
        <v>44986</v>
      </c>
      <c r="K46" s="1104">
        <f t="shared" si="16"/>
        <v>44958</v>
      </c>
      <c r="L46" s="1104">
        <f t="shared" si="16"/>
        <v>44927</v>
      </c>
      <c r="M46" s="1104">
        <f t="shared" si="16"/>
        <v>44896</v>
      </c>
      <c r="N46" s="1104">
        <f t="shared" si="16"/>
        <v>44866</v>
      </c>
      <c r="O46" s="1104">
        <f t="shared" si="16"/>
        <v>44835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1714</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1679</v>
      </c>
      <c r="B49" s="444"/>
      <c r="C49" s="456" t="s">
        <v>1774</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1717</v>
      </c>
      <c r="B51" s="460" t="s">
        <v>1683</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1686</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1861</v>
      </c>
      <c r="C63" s="509" t="s">
        <v>1719</v>
      </c>
      <c r="D63" s="509" t="s">
        <v>1720</v>
      </c>
      <c r="E63" s="509" t="s">
        <v>1721</v>
      </c>
      <c r="F63" s="509" t="s">
        <v>1722</v>
      </c>
      <c r="G63" s="509" t="s">
        <v>1723</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1811</v>
      </c>
      <c r="C65" s="581" t="s">
        <v>1797</v>
      </c>
      <c r="D65" s="581" t="s">
        <v>1798</v>
      </c>
      <c r="E65" s="581" t="s">
        <v>1799</v>
      </c>
      <c r="F65" s="581" t="s">
        <v>1800</v>
      </c>
      <c r="G65" s="581" t="s">
        <v>1801</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1731</v>
      </c>
      <c r="C67" s="509" t="s">
        <v>1719</v>
      </c>
      <c r="D67" s="509" t="s">
        <v>1720</v>
      </c>
      <c r="E67" s="509" t="s">
        <v>1721</v>
      </c>
      <c r="F67" s="509" t="s">
        <v>1722</v>
      </c>
      <c r="G67" s="509" t="s">
        <v>1723</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1850</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1692</v>
      </c>
      <c r="B77" s="460" t="s">
        <v>1738</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1854</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1862</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1864</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1767</v>
      </c>
      <c r="B4" s="346"/>
      <c r="C4" s="3520" t="s">
        <v>1768</v>
      </c>
      <c r="D4" s="3521"/>
      <c r="E4" s="3522" t="s">
        <v>1769</v>
      </c>
      <c r="F4" s="3523"/>
      <c r="G4" s="3520" t="s">
        <v>1770</v>
      </c>
      <c r="H4" s="3521"/>
      <c r="I4" s="3520" t="s">
        <v>1771</v>
      </c>
      <c r="J4" s="3521"/>
      <c r="K4" s="537" t="s">
        <v>1772</v>
      </c>
      <c r="L4" s="2484"/>
      <c r="M4" s="2485"/>
      <c r="N4" s="2485"/>
      <c r="O4" s="2485"/>
      <c r="P4" s="3524" t="s">
        <v>1773</v>
      </c>
      <c r="Q4" s="3525"/>
      <c r="R4" s="3510" t="s">
        <v>1769</v>
      </c>
      <c r="S4" s="3511"/>
      <c r="T4" s="3510" t="s">
        <v>1770</v>
      </c>
      <c r="U4" s="3511"/>
      <c r="V4" s="3494" t="s">
        <v>1771</v>
      </c>
      <c r="W4" s="3494"/>
      <c r="X4" s="1265"/>
      <c r="Y4" s="3510" t="s">
        <v>1773</v>
      </c>
      <c r="Z4" s="3511"/>
      <c r="AA4" s="3516" t="s">
        <v>1769</v>
      </c>
      <c r="AB4" s="3517" t="s">
        <v>1770</v>
      </c>
      <c r="AC4" s="3516" t="s">
        <v>1771</v>
      </c>
    </row>
    <row r="5" spans="1:29" ht="15">
      <c r="A5" s="348"/>
      <c r="B5" s="349"/>
      <c r="C5" s="3530" t="s">
        <v>1671</v>
      </c>
      <c r="D5" s="3531"/>
      <c r="E5" s="3532" t="s">
        <v>1672</v>
      </c>
      <c r="F5" s="3533"/>
      <c r="G5" s="3530" t="s">
        <v>1673</v>
      </c>
      <c r="H5" s="3531"/>
      <c r="I5" s="3530" t="s">
        <v>1674</v>
      </c>
      <c r="J5" s="3531"/>
      <c r="K5" s="537"/>
      <c r="L5" s="2484"/>
      <c r="M5" s="2485"/>
      <c r="N5" s="2485"/>
      <c r="O5" s="2485"/>
      <c r="P5" s="3526"/>
      <c r="Q5" s="3527"/>
      <c r="R5" s="3512"/>
      <c r="S5" s="3513"/>
      <c r="T5" s="3512"/>
      <c r="U5" s="3513"/>
      <c r="V5" s="3494"/>
      <c r="W5" s="3494"/>
      <c r="X5" s="1265"/>
      <c r="Y5" s="3512"/>
      <c r="Z5" s="3513"/>
      <c r="AA5" s="3517"/>
      <c r="AB5" s="3517"/>
      <c r="AC5" s="3517"/>
    </row>
    <row r="6" spans="1:29" ht="15.75" thickBot="1">
      <c r="A6" s="350"/>
      <c r="B6" s="351"/>
      <c r="C6" s="3534" t="s">
        <v>1675</v>
      </c>
      <c r="D6" s="3535"/>
      <c r="E6" s="3536" t="s">
        <v>1675</v>
      </c>
      <c r="F6" s="3537"/>
      <c r="G6" s="3534" t="s">
        <v>1675</v>
      </c>
      <c r="H6" s="3535"/>
      <c r="I6" s="3534" t="s">
        <v>1675</v>
      </c>
      <c r="J6" s="3535"/>
      <c r="K6" s="537"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507" t="s">
        <v>1678</v>
      </c>
      <c r="Q7" s="3519"/>
      <c r="R7" s="664" t="s">
        <v>14</v>
      </c>
      <c r="S7" s="665">
        <f t="shared" ref="S7:S15" si="0">F7</f>
        <v>0</v>
      </c>
      <c r="T7" s="664" t="s">
        <v>14</v>
      </c>
      <c r="U7" s="665">
        <f t="shared" ref="U7:U15" si="1">H7</f>
        <v>0</v>
      </c>
      <c r="V7" s="664" t="s">
        <v>14</v>
      </c>
      <c r="W7" s="665">
        <f t="shared" ref="W7:W15" si="2">J7</f>
        <v>0</v>
      </c>
      <c r="X7" s="666"/>
      <c r="Y7" s="3507" t="s">
        <v>1678</v>
      </c>
      <c r="Z7" s="3508"/>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507" t="s">
        <v>1681</v>
      </c>
      <c r="Q8" s="3508"/>
      <c r="R8" s="664" t="s">
        <v>14</v>
      </c>
      <c r="S8" s="665">
        <f t="shared" si="0"/>
        <v>0</v>
      </c>
      <c r="T8" s="664" t="s">
        <v>14</v>
      </c>
      <c r="U8" s="665">
        <f t="shared" si="1"/>
        <v>0</v>
      </c>
      <c r="V8" s="664" t="s">
        <v>14</v>
      </c>
      <c r="W8" s="665">
        <f t="shared" si="2"/>
        <v>0</v>
      </c>
      <c r="X8" s="666"/>
      <c r="Y8" s="3507" t="s">
        <v>1681</v>
      </c>
      <c r="Z8" s="3508"/>
      <c r="AA8" s="50" t="e">
        <f t="shared" ref="AA8:AA45" si="3">D8/F8</f>
        <v>#DIV/0!</v>
      </c>
      <c r="AB8" s="50" t="e">
        <f t="shared" ref="AB8:AB45" si="4">D8/H8</f>
        <v>#DIV/0!</v>
      </c>
      <c r="AC8" s="50" t="e">
        <f t="shared" ref="AC8:AC45" si="5">D8/J8</f>
        <v>#DIV/0!</v>
      </c>
    </row>
    <row r="9" spans="1:29" s="102" customFormat="1">
      <c r="A9" s="359" t="s">
        <v>1682</v>
      </c>
      <c r="B9" s="60" t="s">
        <v>1683</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93"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93"/>
      <c r="Q10" s="530" t="str">
        <f t="shared" si="6"/>
        <v>土地使用年限（年）</v>
      </c>
      <c r="R10" s="664" t="s">
        <v>14</v>
      </c>
      <c r="S10" s="665" t="e">
        <f t="shared" si="0"/>
        <v>#DIV/0!</v>
      </c>
      <c r="T10" s="664" t="s">
        <v>14</v>
      </c>
      <c r="U10" s="665" t="e">
        <f t="shared" si="1"/>
        <v>#DIV/0!</v>
      </c>
      <c r="V10" s="664" t="s">
        <v>14</v>
      </c>
      <c r="W10" s="665" t="e">
        <f t="shared" si="2"/>
        <v>#DIV/0!</v>
      </c>
      <c r="X10" s="666"/>
      <c r="Y10" s="3371"/>
      <c r="Z10" s="50" t="str">
        <f t="shared" si="7"/>
        <v>土地使用年限（年）</v>
      </c>
      <c r="AA10" s="50" t="e">
        <f t="shared" si="3"/>
        <v>#DIV/0!</v>
      </c>
      <c r="AB10" s="50" t="e">
        <f t="shared" si="4"/>
        <v>#DIV/0!</v>
      </c>
      <c r="AC10" s="50" t="e">
        <f t="shared" si="5"/>
        <v>#DIV/0!</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93"/>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93"/>
      <c r="Q12" s="530" t="str">
        <f t="shared" si="6"/>
        <v>配建</v>
      </c>
      <c r="R12" s="664" t="s">
        <v>14</v>
      </c>
      <c r="S12" s="665">
        <f t="shared" si="0"/>
        <v>100</v>
      </c>
      <c r="T12" s="664" t="s">
        <v>14</v>
      </c>
      <c r="U12" s="665">
        <f t="shared" si="1"/>
        <v>100</v>
      </c>
      <c r="V12" s="664" t="s">
        <v>14</v>
      </c>
      <c r="W12" s="665">
        <f t="shared" si="2"/>
        <v>100</v>
      </c>
      <c r="X12" s="666"/>
      <c r="Y12" s="33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93"/>
      <c r="Q13" s="530">
        <f t="shared" si="6"/>
        <v>111</v>
      </c>
      <c r="R13" s="664" t="s">
        <v>14</v>
      </c>
      <c r="S13" s="665">
        <f t="shared" si="0"/>
        <v>100</v>
      </c>
      <c r="T13" s="664" t="s">
        <v>14</v>
      </c>
      <c r="U13" s="665">
        <f t="shared" si="1"/>
        <v>100</v>
      </c>
      <c r="V13" s="664" t="s">
        <v>14</v>
      </c>
      <c r="W13" s="665">
        <f t="shared" si="2"/>
        <v>100</v>
      </c>
      <c r="X13" s="666"/>
      <c r="Y13" s="33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93"/>
      <c r="Q14" s="530">
        <f t="shared" si="6"/>
        <v>111</v>
      </c>
      <c r="R14" s="664" t="s">
        <v>14</v>
      </c>
      <c r="S14" s="665">
        <f t="shared" si="0"/>
        <v>100</v>
      </c>
      <c r="T14" s="664" t="s">
        <v>14</v>
      </c>
      <c r="U14" s="665">
        <f t="shared" si="1"/>
        <v>100</v>
      </c>
      <c r="V14" s="664" t="s">
        <v>14</v>
      </c>
      <c r="W14" s="665">
        <f t="shared" si="2"/>
        <v>100</v>
      </c>
      <c r="X14" s="666"/>
      <c r="Y14" s="33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500" t="s">
        <v>1689</v>
      </c>
      <c r="Q15" s="1263" t="str">
        <f t="shared" si="6"/>
        <v>居住社区成熟度</v>
      </c>
      <c r="R15" s="667" t="s">
        <v>14</v>
      </c>
      <c r="S15" s="668">
        <f t="shared" si="0"/>
        <v>100</v>
      </c>
      <c r="T15" s="667" t="s">
        <v>14</v>
      </c>
      <c r="U15" s="668">
        <f t="shared" si="1"/>
        <v>100</v>
      </c>
      <c r="V15" s="667" t="s">
        <v>14</v>
      </c>
      <c r="W15" s="668">
        <f t="shared" si="2"/>
        <v>100</v>
      </c>
      <c r="X15" s="1265"/>
      <c r="Y15" s="3500"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501"/>
      <c r="Q16" s="1263"/>
      <c r="R16" s="667"/>
      <c r="S16" s="668"/>
      <c r="T16" s="667"/>
      <c r="U16" s="668"/>
      <c r="V16" s="667"/>
      <c r="W16" s="668"/>
      <c r="X16" s="1265"/>
      <c r="Y16" s="3501"/>
      <c r="Z16" s="1264"/>
      <c r="AA16" s="1264">
        <v>1</v>
      </c>
      <c r="AB16" s="1264">
        <v>1</v>
      </c>
      <c r="AC16" s="1264">
        <v>1</v>
      </c>
    </row>
    <row r="17" spans="1:29" ht="71.25">
      <c r="A17" s="367"/>
      <c r="B17" s="390" t="s">
        <v>1775</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501"/>
      <c r="Q17" s="1263" t="str">
        <f>B17</f>
        <v>商业繁华度</v>
      </c>
      <c r="R17" s="667" t="s">
        <v>14</v>
      </c>
      <c r="S17" s="668">
        <f>F17</f>
        <v>100</v>
      </c>
      <c r="T17" s="667" t="s">
        <v>14</v>
      </c>
      <c r="U17" s="668">
        <f>H17</f>
        <v>100</v>
      </c>
      <c r="V17" s="667" t="s">
        <v>14</v>
      </c>
      <c r="W17" s="668">
        <f>J17</f>
        <v>100</v>
      </c>
      <c r="X17" s="1265"/>
      <c r="Y17" s="350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501"/>
      <c r="Q18" s="1263"/>
      <c r="R18" s="667"/>
      <c r="S18" s="668"/>
      <c r="T18" s="667"/>
      <c r="U18" s="668"/>
      <c r="V18" s="667"/>
      <c r="W18" s="668"/>
      <c r="X18" s="1265"/>
      <c r="Y18" s="3501"/>
      <c r="Z18" s="1264"/>
      <c r="AA18" s="1264">
        <v>1</v>
      </c>
      <c r="AB18" s="1264">
        <v>1</v>
      </c>
      <c r="AC18" s="1264">
        <v>1</v>
      </c>
    </row>
    <row r="19" spans="1:29" ht="71.25">
      <c r="A19" s="367"/>
      <c r="B19" s="390" t="s">
        <v>1809</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501"/>
      <c r="Q19" s="1263" t="str">
        <f>B19</f>
        <v>办公集聚程度</v>
      </c>
      <c r="R19" s="667" t="s">
        <v>14</v>
      </c>
      <c r="S19" s="668">
        <f>F19</f>
        <v>100</v>
      </c>
      <c r="T19" s="667" t="s">
        <v>14</v>
      </c>
      <c r="U19" s="668">
        <f>H19</f>
        <v>100</v>
      </c>
      <c r="V19" s="667" t="s">
        <v>14</v>
      </c>
      <c r="W19" s="668">
        <f>J19</f>
        <v>100</v>
      </c>
      <c r="X19" s="1265"/>
      <c r="Y19" s="350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501"/>
      <c r="Q20" s="1263"/>
      <c r="R20" s="667"/>
      <c r="S20" s="668"/>
      <c r="T20" s="667"/>
      <c r="U20" s="668"/>
      <c r="V20" s="667"/>
      <c r="W20" s="668"/>
      <c r="X20" s="1265"/>
      <c r="Y20" s="3501"/>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501"/>
      <c r="Q21" s="1263" t="str">
        <f>B21</f>
        <v>交通便捷度</v>
      </c>
      <c r="R21" s="667" t="s">
        <v>14</v>
      </c>
      <c r="S21" s="668">
        <f>F21</f>
        <v>100</v>
      </c>
      <c r="T21" s="667" t="s">
        <v>14</v>
      </c>
      <c r="U21" s="668">
        <f>H21</f>
        <v>100</v>
      </c>
      <c r="V21" s="667" t="s">
        <v>14</v>
      </c>
      <c r="W21" s="668">
        <f>J21</f>
        <v>100</v>
      </c>
      <c r="X21" s="1265"/>
      <c r="Y21" s="350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501"/>
      <c r="Q22" s="1263"/>
      <c r="R22" s="667"/>
      <c r="S22" s="668"/>
      <c r="T22" s="667"/>
      <c r="U22" s="668"/>
      <c r="V22" s="667"/>
      <c r="W22" s="668"/>
      <c r="X22" s="1265"/>
      <c r="Y22" s="3501"/>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501"/>
      <c r="Q23" s="1263" t="str">
        <f t="shared" ref="Q23:Q37" si="8">B23</f>
        <v>区域土地利用方向</v>
      </c>
      <c r="R23" s="667" t="s">
        <v>14</v>
      </c>
      <c r="S23" s="668">
        <f>F23</f>
        <v>100</v>
      </c>
      <c r="T23" s="667" t="s">
        <v>14</v>
      </c>
      <c r="U23" s="668">
        <f>H23</f>
        <v>100</v>
      </c>
      <c r="V23" s="667" t="s">
        <v>14</v>
      </c>
      <c r="W23" s="668">
        <f>J23</f>
        <v>100</v>
      </c>
      <c r="X23" s="1265"/>
      <c r="Y23" s="350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501"/>
      <c r="Q24" s="1263"/>
      <c r="R24" s="667"/>
      <c r="S24" s="668"/>
      <c r="T24" s="667"/>
      <c r="U24" s="668"/>
      <c r="V24" s="667"/>
      <c r="W24" s="668"/>
      <c r="X24" s="1265"/>
      <c r="Y24" s="3501"/>
      <c r="Z24" s="1264"/>
      <c r="AA24" s="1264"/>
      <c r="AB24" s="1264"/>
      <c r="AC24" s="1264"/>
    </row>
    <row r="25" spans="1:29" ht="57">
      <c r="A25" s="348"/>
      <c r="B25" s="586" t="s">
        <v>1870</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501"/>
      <c r="Q25" s="1263" t="str">
        <f t="shared" si="8"/>
        <v>自然及人文环境状况</v>
      </c>
      <c r="R25" s="667" t="s">
        <v>14</v>
      </c>
      <c r="S25" s="668">
        <f>F25</f>
        <v>100</v>
      </c>
      <c r="T25" s="667" t="s">
        <v>14</v>
      </c>
      <c r="U25" s="668">
        <f>H25</f>
        <v>100</v>
      </c>
      <c r="V25" s="667" t="s">
        <v>14</v>
      </c>
      <c r="W25" s="668">
        <f>J25</f>
        <v>100</v>
      </c>
      <c r="X25" s="1265"/>
      <c r="Y25" s="350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501"/>
      <c r="Q26" s="1263"/>
      <c r="R26" s="667"/>
      <c r="S26" s="668"/>
      <c r="T26" s="667"/>
      <c r="U26" s="668"/>
      <c r="V26" s="667"/>
      <c r="W26" s="668"/>
      <c r="X26" s="1265"/>
      <c r="Y26" s="3501"/>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501"/>
      <c r="Q27" s="530" t="str">
        <f t="shared" si="8"/>
        <v>公共配套设施</v>
      </c>
      <c r="R27" s="664" t="s">
        <v>14</v>
      </c>
      <c r="S27" s="665">
        <f>F27</f>
        <v>100</v>
      </c>
      <c r="T27" s="664" t="s">
        <v>14</v>
      </c>
      <c r="U27" s="665">
        <f>H27</f>
        <v>100</v>
      </c>
      <c r="V27" s="664" t="s">
        <v>14</v>
      </c>
      <c r="W27" s="665">
        <f>J27</f>
        <v>100</v>
      </c>
      <c r="X27" s="666"/>
      <c r="Y27" s="3501"/>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6"/>
      <c r="M28" s="2437"/>
      <c r="N28" s="2437"/>
      <c r="O28" s="2538"/>
      <c r="P28" s="3501"/>
      <c r="Q28" s="530"/>
      <c r="R28" s="664"/>
      <c r="S28" s="665"/>
      <c r="T28" s="664"/>
      <c r="U28" s="665"/>
      <c r="V28" s="664"/>
      <c r="W28" s="665"/>
      <c r="X28" s="666"/>
      <c r="Y28" s="3501"/>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501"/>
      <c r="Q29" s="530" t="str">
        <f t="shared" ref="Q29" si="9">B29</f>
        <v>基础设施水平</v>
      </c>
      <c r="R29" s="664" t="s">
        <v>14</v>
      </c>
      <c r="S29" s="665">
        <f>F29</f>
        <v>100</v>
      </c>
      <c r="T29" s="664" t="s">
        <v>14</v>
      </c>
      <c r="U29" s="665">
        <f>H29</f>
        <v>100</v>
      </c>
      <c r="V29" s="664" t="s">
        <v>14</v>
      </c>
      <c r="W29" s="665">
        <f>J29</f>
        <v>100</v>
      </c>
      <c r="X29" s="666"/>
      <c r="Y29" s="3501"/>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6"/>
      <c r="M30" s="2437"/>
      <c r="N30" s="2437"/>
      <c r="O30" s="2538"/>
      <c r="P30" s="3501"/>
      <c r="Q30" s="530"/>
      <c r="R30" s="664"/>
      <c r="S30" s="665"/>
      <c r="T30" s="664"/>
      <c r="U30" s="665"/>
      <c r="V30" s="664"/>
      <c r="W30" s="665"/>
      <c r="X30" s="666"/>
      <c r="Y30" s="3501"/>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50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01"/>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501"/>
      <c r="Q32" s="1263" t="str">
        <f t="shared" si="8"/>
        <v>毗邻道路的类型与等级</v>
      </c>
      <c r="R32" s="667" t="s">
        <v>14</v>
      </c>
      <c r="S32" s="668">
        <f t="shared" si="10"/>
        <v>100</v>
      </c>
      <c r="T32" s="667" t="s">
        <v>14</v>
      </c>
      <c r="U32" s="668">
        <f t="shared" si="11"/>
        <v>100</v>
      </c>
      <c r="V32" s="667" t="s">
        <v>14</v>
      </c>
      <c r="W32" s="668">
        <f t="shared" si="12"/>
        <v>100</v>
      </c>
      <c r="X32" s="1265"/>
      <c r="Y32" s="350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501"/>
      <c r="Q33" s="1263"/>
      <c r="R33" s="667"/>
      <c r="S33" s="668"/>
      <c r="T33" s="667"/>
      <c r="U33" s="668"/>
      <c r="V33" s="667"/>
      <c r="W33" s="668"/>
      <c r="X33" s="1265"/>
      <c r="Y33" s="3501"/>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501"/>
      <c r="Q34" s="1263" t="str">
        <f t="shared" si="8"/>
        <v>土地级别</v>
      </c>
      <c r="R34" s="667" t="s">
        <v>14</v>
      </c>
      <c r="S34" s="668">
        <f t="shared" si="10"/>
        <v>100</v>
      </c>
      <c r="T34" s="667" t="s">
        <v>14</v>
      </c>
      <c r="U34" s="668">
        <f t="shared" si="11"/>
        <v>100</v>
      </c>
      <c r="V34" s="667" t="s">
        <v>14</v>
      </c>
      <c r="W34" s="668">
        <f t="shared" si="12"/>
        <v>100</v>
      </c>
      <c r="X34" s="1265"/>
      <c r="Y34" s="350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501"/>
      <c r="Q35" s="1263">
        <f t="shared" si="8"/>
        <v>111</v>
      </c>
      <c r="R35" s="667" t="s">
        <v>14</v>
      </c>
      <c r="S35" s="668">
        <f t="shared" si="10"/>
        <v>100</v>
      </c>
      <c r="T35" s="667" t="s">
        <v>14</v>
      </c>
      <c r="U35" s="668">
        <f t="shared" si="11"/>
        <v>100</v>
      </c>
      <c r="V35" s="667" t="s">
        <v>14</v>
      </c>
      <c r="W35" s="668">
        <f t="shared" si="12"/>
        <v>100</v>
      </c>
      <c r="X35" s="1265"/>
      <c r="Y35" s="350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554" t="s">
        <v>1694</v>
      </c>
      <c r="Q36" s="1263">
        <f t="shared" si="8"/>
        <v>111</v>
      </c>
      <c r="R36" s="667" t="s">
        <v>14</v>
      </c>
      <c r="S36" s="668">
        <f t="shared" si="10"/>
        <v>100</v>
      </c>
      <c r="T36" s="667" t="s">
        <v>14</v>
      </c>
      <c r="U36" s="668">
        <f t="shared" si="11"/>
        <v>100</v>
      </c>
      <c r="V36" s="667" t="s">
        <v>14</v>
      </c>
      <c r="W36" s="668">
        <f t="shared" si="12"/>
        <v>100</v>
      </c>
      <c r="X36" s="1265"/>
      <c r="Y36" s="3505"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505"/>
      <c r="Q37" s="1263">
        <f t="shared" si="8"/>
        <v>111</v>
      </c>
      <c r="R37" s="669" t="s">
        <v>14</v>
      </c>
      <c r="S37" s="670">
        <f t="shared" si="10"/>
        <v>100</v>
      </c>
      <c r="T37" s="669" t="s">
        <v>14</v>
      </c>
      <c r="U37" s="670">
        <f t="shared" si="11"/>
        <v>100</v>
      </c>
      <c r="V37" s="669" t="s">
        <v>14</v>
      </c>
      <c r="W37" s="670">
        <f t="shared" si="12"/>
        <v>100</v>
      </c>
      <c r="X37" s="671"/>
      <c r="Y37" s="3505"/>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505"/>
      <c r="Q38" s="1263" t="str">
        <f>B38</f>
        <v>宗地面积</v>
      </c>
      <c r="R38" s="667" t="s">
        <v>14</v>
      </c>
      <c r="S38" s="668" t="e">
        <f t="shared" si="10"/>
        <v>#N/A</v>
      </c>
      <c r="T38" s="667" t="s">
        <v>14</v>
      </c>
      <c r="U38" s="668" t="e">
        <f t="shared" si="11"/>
        <v>#N/A</v>
      </c>
      <c r="V38" s="667" t="s">
        <v>14</v>
      </c>
      <c r="W38" s="668" t="e">
        <f t="shared" si="12"/>
        <v>#N/A</v>
      </c>
      <c r="X38" s="1265"/>
      <c r="Y38" s="3505"/>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505"/>
      <c r="Q39" s="1263" t="str">
        <f t="shared" ref="Q39:Q45" si="14">B39</f>
        <v>宗地形状</v>
      </c>
      <c r="R39" s="667" t="s">
        <v>14</v>
      </c>
      <c r="S39" s="668">
        <f t="shared" si="10"/>
        <v>100</v>
      </c>
      <c r="T39" s="667" t="s">
        <v>14</v>
      </c>
      <c r="U39" s="668">
        <f t="shared" si="11"/>
        <v>100</v>
      </c>
      <c r="V39" s="667" t="s">
        <v>14</v>
      </c>
      <c r="W39" s="668">
        <f t="shared" si="12"/>
        <v>100</v>
      </c>
      <c r="X39" s="1265"/>
      <c r="Y39" s="3505"/>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505"/>
      <c r="Q40" s="1263" t="str">
        <f t="shared" si="14"/>
        <v>临街宽度及深度</v>
      </c>
      <c r="R40" s="667" t="s">
        <v>14</v>
      </c>
      <c r="S40" s="668">
        <f t="shared" si="10"/>
        <v>100</v>
      </c>
      <c r="T40" s="667" t="s">
        <v>14</v>
      </c>
      <c r="U40" s="668">
        <f t="shared" si="11"/>
        <v>100</v>
      </c>
      <c r="V40" s="667" t="s">
        <v>14</v>
      </c>
      <c r="W40" s="668">
        <f t="shared" si="12"/>
        <v>100</v>
      </c>
      <c r="X40" s="1265"/>
      <c r="Y40" s="3505"/>
      <c r="Z40" s="1264" t="str">
        <f t="shared" si="13"/>
        <v>临街宽度及深度</v>
      </c>
      <c r="AA40" s="1264">
        <f t="shared" si="3"/>
        <v>1</v>
      </c>
      <c r="AB40" s="1264">
        <f t="shared" si="4"/>
        <v>1</v>
      </c>
      <c r="AC40" s="1264">
        <f t="shared" si="5"/>
        <v>1</v>
      </c>
    </row>
    <row r="41" spans="1:29" s="102" customFormat="1" ht="15">
      <c r="A41" s="410"/>
      <c r="B41" s="364" t="s">
        <v>1875</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505"/>
      <c r="Q41" s="1263" t="str">
        <f t="shared" si="14"/>
        <v>宗地开发程度</v>
      </c>
      <c r="R41" s="664" t="s">
        <v>14</v>
      </c>
      <c r="S41" s="665">
        <f t="shared" si="10"/>
        <v>100</v>
      </c>
      <c r="T41" s="664" t="s">
        <v>14</v>
      </c>
      <c r="U41" s="665">
        <f t="shared" si="11"/>
        <v>100</v>
      </c>
      <c r="V41" s="664" t="s">
        <v>14</v>
      </c>
      <c r="W41" s="665">
        <f t="shared" si="12"/>
        <v>100</v>
      </c>
      <c r="X41" s="666"/>
      <c r="Y41" s="3505"/>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505" t="s">
        <v>1694</v>
      </c>
      <c r="Q42" s="1263" t="str">
        <f t="shared" si="14"/>
        <v>工程地质条件</v>
      </c>
      <c r="R42" s="667" t="s">
        <v>14</v>
      </c>
      <c r="S42" s="668">
        <f t="shared" si="10"/>
        <v>100</v>
      </c>
      <c r="T42" s="667" t="s">
        <v>14</v>
      </c>
      <c r="U42" s="668">
        <f t="shared" si="11"/>
        <v>100</v>
      </c>
      <c r="V42" s="667" t="s">
        <v>14</v>
      </c>
      <c r="W42" s="668">
        <f t="shared" si="12"/>
        <v>100</v>
      </c>
      <c r="X42" s="1265"/>
      <c r="Y42" s="3505"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505"/>
      <c r="Q43" s="1263">
        <f t="shared" si="14"/>
        <v>111</v>
      </c>
      <c r="R43" s="667" t="s">
        <v>14</v>
      </c>
      <c r="S43" s="668">
        <f t="shared" si="10"/>
        <v>100</v>
      </c>
      <c r="T43" s="667" t="s">
        <v>14</v>
      </c>
      <c r="U43" s="668">
        <f t="shared" si="11"/>
        <v>100</v>
      </c>
      <c r="V43" s="667" t="s">
        <v>14</v>
      </c>
      <c r="W43" s="668">
        <f t="shared" si="12"/>
        <v>100</v>
      </c>
      <c r="X43" s="1265"/>
      <c r="Y43" s="350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505"/>
      <c r="Q44" s="1263">
        <f t="shared" si="14"/>
        <v>111</v>
      </c>
      <c r="R44" s="667" t="s">
        <v>14</v>
      </c>
      <c r="S44" s="668">
        <f t="shared" si="10"/>
        <v>100</v>
      </c>
      <c r="T44" s="667" t="s">
        <v>14</v>
      </c>
      <c r="U44" s="668">
        <f t="shared" si="11"/>
        <v>100</v>
      </c>
      <c r="V44" s="667" t="s">
        <v>14</v>
      </c>
      <c r="W44" s="668">
        <f t="shared" si="12"/>
        <v>100</v>
      </c>
      <c r="X44" s="1265"/>
      <c r="Y44" s="3505"/>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505"/>
      <c r="Q45" s="1263">
        <f t="shared" si="14"/>
        <v>111</v>
      </c>
      <c r="R45" s="669" t="s">
        <v>14</v>
      </c>
      <c r="S45" s="670">
        <f t="shared" si="10"/>
        <v>100</v>
      </c>
      <c r="T45" s="669" t="s">
        <v>14</v>
      </c>
      <c r="U45" s="670">
        <f t="shared" si="11"/>
        <v>100</v>
      </c>
      <c r="V45" s="669" t="s">
        <v>14</v>
      </c>
      <c r="W45" s="670">
        <f t="shared" si="12"/>
        <v>100</v>
      </c>
      <c r="X45" s="671"/>
      <c r="Y45" s="3505"/>
      <c r="Z45" s="672">
        <f t="shared" si="13"/>
        <v>111</v>
      </c>
      <c r="AA45" s="1264">
        <f t="shared" si="3"/>
        <v>1</v>
      </c>
      <c r="AB45" s="1264">
        <f t="shared" si="4"/>
        <v>1</v>
      </c>
      <c r="AC45" s="1264">
        <f t="shared" si="5"/>
        <v>1</v>
      </c>
    </row>
    <row r="46" spans="1:29" ht="15">
      <c r="A46" s="416" t="s">
        <v>1842</v>
      </c>
      <c r="B46" s="1828" t="s">
        <v>1877</v>
      </c>
      <c r="C46" s="602" t="s">
        <v>0</v>
      </c>
      <c r="D46" s="418"/>
      <c r="E46" s="419"/>
      <c r="F46" s="420"/>
      <c r="G46" s="421"/>
      <c r="H46" s="422"/>
      <c r="I46" s="419"/>
      <c r="J46" s="422"/>
      <c r="K46" s="674"/>
      <c r="L46" s="2492"/>
      <c r="M46" s="2485"/>
      <c r="N46" s="2485"/>
      <c r="O46" s="2485"/>
      <c r="P46" s="3493" t="str">
        <f>A46</f>
        <v>成交单价</v>
      </c>
      <c r="Q46" s="3493"/>
      <c r="R46" s="3494">
        <f>E46</f>
        <v>0</v>
      </c>
      <c r="S46" s="3494"/>
      <c r="T46" s="3494">
        <f>G46</f>
        <v>0</v>
      </c>
      <c r="U46" s="3494"/>
      <c r="V46" s="3494">
        <f>I46</f>
        <v>0</v>
      </c>
      <c r="W46" s="3494"/>
      <c r="X46" s="385"/>
      <c r="Y46" s="673"/>
      <c r="Z46" s="385"/>
      <c r="AA46" s="385"/>
      <c r="AB46" s="385"/>
      <c r="AC46" s="385"/>
    </row>
    <row r="47" spans="1:29" ht="15.75" thickBot="1">
      <c r="A47" s="423" t="s">
        <v>1791</v>
      </c>
      <c r="B47" s="603"/>
      <c r="C47" s="426" t="e">
        <f>R48</f>
        <v>#DIV/0!</v>
      </c>
      <c r="D47" s="2139" t="s">
        <v>2136</v>
      </c>
      <c r="E47" s="426" t="e">
        <f>R47</f>
        <v>#DIV/0!</v>
      </c>
      <c r="F47" s="2140"/>
      <c r="G47" s="425" t="e">
        <f>T47</f>
        <v>#DIV/0!</v>
      </c>
      <c r="H47" s="2140"/>
      <c r="I47" s="426" t="e">
        <f>V47</f>
        <v>#DIV/0!</v>
      </c>
      <c r="J47" s="2140"/>
      <c r="K47" s="2142">
        <f>F47+H47+J47</f>
        <v>0</v>
      </c>
      <c r="L47" s="2492"/>
      <c r="M47" s="2485"/>
      <c r="N47" s="2485"/>
      <c r="O47" s="2485"/>
      <c r="P47" s="3493" t="str">
        <f>A47</f>
        <v>比较价值（元/平方米）</v>
      </c>
      <c r="Q47" s="3493"/>
      <c r="R47" s="3556" t="e">
        <f>ROUND(PRODUCT(R46,AA7:AA45),0)</f>
        <v>#DIV/0!</v>
      </c>
      <c r="S47" s="3556"/>
      <c r="T47" s="3556" t="e">
        <f>ROUND(PRODUCT(T46,AB7:AB45),0)</f>
        <v>#DIV/0!</v>
      </c>
      <c r="U47" s="3556"/>
      <c r="V47" s="3556" t="e">
        <f>ROUND(PRODUCT(V46,AC7:AC45),0)</f>
        <v>#DIV/0!</v>
      </c>
      <c r="W47" s="3556"/>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2"/>
      <c r="M48" s="2485"/>
      <c r="N48" s="2485"/>
      <c r="O48" s="2485"/>
      <c r="P48" s="3495" t="str">
        <f>A48</f>
        <v>估价对象XX用房的比较价值（楼面单价，元/平方米）</v>
      </c>
      <c r="Q48" s="3496"/>
      <c r="R48" s="3557" t="e">
        <f>ROUND(IF(D47="简单平均",AVERAGE(R47:W47),R47*F47+T47*H47+V47*J47),0)</f>
        <v>#DIV/0!</v>
      </c>
      <c r="S48" s="3557"/>
      <c r="T48" s="3557"/>
      <c r="U48" s="3557"/>
      <c r="V48" s="3557"/>
      <c r="W48" s="355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1879</v>
      </c>
      <c r="B55" s="605" t="s">
        <v>1880</v>
      </c>
      <c r="C55" s="1829" t="s">
        <v>1881</v>
      </c>
      <c r="D55" s="1830" t="s">
        <v>1882</v>
      </c>
      <c r="E55" s="606" t="s">
        <v>1883</v>
      </c>
      <c r="F55" s="837" t="s">
        <v>1884</v>
      </c>
      <c r="G55" s="3520" t="s">
        <v>1885</v>
      </c>
      <c r="H55" s="3558"/>
      <c r="I55" s="127" t="s">
        <v>1886</v>
      </c>
      <c r="J55" s="1831">
        <f>项目基本情况!F35</f>
        <v>0</v>
      </c>
      <c r="K55" s="1832" t="s">
        <v>1887</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1888</v>
      </c>
      <c r="B56" s="609" t="e">
        <f>C48</f>
        <v>#DIV/0!</v>
      </c>
      <c r="C56" s="610">
        <v>1</v>
      </c>
      <c r="D56" s="890">
        <v>1</v>
      </c>
      <c r="E56" s="610">
        <f>'数据-汇总表'!E8+'数据-汇总表'!E9</f>
        <v>0</v>
      </c>
      <c r="F56" s="833" t="e">
        <f t="shared" ref="F56:F64" si="15">ROUND(B56*E56/10000,0)</f>
        <v>#DIV/0!</v>
      </c>
      <c r="G56" s="3509"/>
      <c r="H56" s="349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1889</v>
      </c>
      <c r="B57" s="210" t="e">
        <f>ROUND($C$48*C57*D57,0)</f>
        <v>#DIV/0!</v>
      </c>
      <c r="C57" s="163">
        <f t="shared" ref="C57:C64" si="16">IF($C$55="北京市系数",I57,J57)</f>
        <v>0</v>
      </c>
      <c r="D57" s="891">
        <v>0.25</v>
      </c>
      <c r="E57" s="614"/>
      <c r="F57" s="833" t="e">
        <f t="shared" si="15"/>
        <v>#DIV/0!</v>
      </c>
      <c r="G57" s="2748" t="s">
        <v>1890</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1891</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1892</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1893</v>
      </c>
      <c r="B60" s="210" t="e">
        <f t="shared" si="17"/>
        <v>#DIV/0!</v>
      </c>
      <c r="C60" s="163">
        <f t="shared" si="16"/>
        <v>0</v>
      </c>
      <c r="D60" s="891">
        <v>0.25</v>
      </c>
      <c r="E60" s="209">
        <f>'数据-汇总表'!E11</f>
        <v>0</v>
      </c>
      <c r="F60" s="833" t="e">
        <f t="shared" si="15"/>
        <v>#DIV/0!</v>
      </c>
      <c r="G60" s="1833" t="s">
        <v>1894</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1899</v>
      </c>
      <c r="B63" s="210" t="e">
        <f t="shared" si="17"/>
        <v>#DIV/0!</v>
      </c>
      <c r="C63" s="163">
        <f t="shared" si="16"/>
        <v>0</v>
      </c>
      <c r="D63" s="891">
        <v>0.25</v>
      </c>
      <c r="E63" s="209">
        <f>'数据-汇总表'!E14</f>
        <v>0</v>
      </c>
      <c r="F63" s="833" t="e">
        <f t="shared" si="15"/>
        <v>#DIV/0!</v>
      </c>
      <c r="G63" s="1833" t="s">
        <v>1890</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1900</v>
      </c>
      <c r="B64" s="210" t="e">
        <f t="shared" si="17"/>
        <v>#DIV/0!</v>
      </c>
      <c r="C64" s="163">
        <f t="shared" si="16"/>
        <v>0</v>
      </c>
      <c r="D64" s="891">
        <v>0.25</v>
      </c>
      <c r="E64" s="209">
        <f>'数据-汇总表'!E15</f>
        <v>0</v>
      </c>
      <c r="F64" s="833" t="e">
        <f t="shared" si="15"/>
        <v>#DIV/0!</v>
      </c>
      <c r="G64" s="1834" t="s">
        <v>1894</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1901</v>
      </c>
      <c r="B65" s="616" t="s">
        <v>22</v>
      </c>
      <c r="C65" s="616" t="s">
        <v>23</v>
      </c>
      <c r="D65" s="616" t="s">
        <v>392</v>
      </c>
      <c r="E65" s="616">
        <f>IF(B46="楼面地价",SUM(E56:E64),'数据-汇总表'!D3)</f>
        <v>0</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2023-10-1</v>
      </c>
      <c r="D67" s="656">
        <f>EDATE(C67,-3)</f>
        <v>45108</v>
      </c>
      <c r="E67" s="656">
        <f>EDATE(D67,-3)</f>
        <v>45017</v>
      </c>
      <c r="F67" s="656">
        <f t="shared" ref="F67:O67" si="18">EDATE(E67,-3)</f>
        <v>44927</v>
      </c>
      <c r="G67" s="656">
        <f t="shared" si="18"/>
        <v>44835</v>
      </c>
      <c r="H67" s="656">
        <f t="shared" si="18"/>
        <v>44743</v>
      </c>
      <c r="I67" s="656">
        <f t="shared" si="18"/>
        <v>44652</v>
      </c>
      <c r="J67" s="656">
        <f t="shared" si="18"/>
        <v>44562</v>
      </c>
      <c r="K67" s="656">
        <f t="shared" si="18"/>
        <v>44470</v>
      </c>
      <c r="L67" s="656">
        <f t="shared" si="18"/>
        <v>44378</v>
      </c>
      <c r="M67" s="656">
        <f t="shared" si="18"/>
        <v>44287</v>
      </c>
      <c r="N67" s="656">
        <f t="shared" si="18"/>
        <v>44197</v>
      </c>
      <c r="O67" s="656">
        <f t="shared" si="18"/>
        <v>44105</v>
      </c>
      <c r="P67" s="2485"/>
      <c r="Q67" s="2485"/>
      <c r="R67" s="2485"/>
      <c r="S67" s="2485"/>
      <c r="T67" s="2485"/>
      <c r="U67" s="2485"/>
      <c r="V67" s="2485"/>
      <c r="W67" s="2485"/>
      <c r="X67" s="2485"/>
      <c r="Y67" s="2485"/>
      <c r="Z67" s="2485"/>
      <c r="AA67" s="2485"/>
      <c r="AB67" s="2485"/>
      <c r="AC67" s="2485"/>
    </row>
    <row r="68" spans="1:29" ht="21.75" thickBot="1">
      <c r="A68" s="658" t="s">
        <v>1796</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1902</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08"/>
      <c r="Q69" s="2508"/>
      <c r="R69" s="2508"/>
      <c r="S69" s="2508"/>
      <c r="T69" s="2508"/>
      <c r="U69" s="2508"/>
      <c r="V69" s="2508"/>
      <c r="W69" s="2508"/>
      <c r="X69" s="2508"/>
      <c r="Y69" s="2508"/>
      <c r="Z69" s="2508"/>
      <c r="AA69" s="2508"/>
      <c r="AB69" s="2508"/>
      <c r="AC69" s="2508"/>
    </row>
    <row r="70" spans="1:29" s="102" customFormat="1" ht="30" customHeight="1">
      <c r="A70" s="1835"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1714</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1679</v>
      </c>
      <c r="B72" s="444"/>
      <c r="C72" s="456" t="s">
        <v>1774</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1717</v>
      </c>
      <c r="B74" s="460" t="s">
        <v>1683</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1686</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1688</v>
      </c>
      <c r="B87" s="460" t="s">
        <v>1718</v>
      </c>
      <c r="C87" s="504" t="s">
        <v>1719</v>
      </c>
      <c r="D87" s="504" t="s">
        <v>1720</v>
      </c>
      <c r="E87" s="504" t="s">
        <v>1721</v>
      </c>
      <c r="F87" s="504" t="s">
        <v>1722</v>
      </c>
      <c r="G87" s="504" t="s">
        <v>1723</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1904</v>
      </c>
      <c r="C89" s="509" t="s">
        <v>1719</v>
      </c>
      <c r="D89" s="509" t="s">
        <v>1720</v>
      </c>
      <c r="E89" s="509" t="s">
        <v>1721</v>
      </c>
      <c r="F89" s="509" t="s">
        <v>1722</v>
      </c>
      <c r="G89" s="509" t="s">
        <v>1723</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1819</v>
      </c>
      <c r="C91" s="509" t="s">
        <v>1719</v>
      </c>
      <c r="D91" s="509" t="s">
        <v>1720</v>
      </c>
      <c r="E91" s="509" t="s">
        <v>1721</v>
      </c>
      <c r="F91" s="509" t="s">
        <v>1722</v>
      </c>
      <c r="G91" s="509" t="s">
        <v>1723</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1724</v>
      </c>
      <c r="C93" s="509" t="s">
        <v>1719</v>
      </c>
      <c r="D93" s="509" t="s">
        <v>1720</v>
      </c>
      <c r="E93" s="509" t="s">
        <v>1721</v>
      </c>
      <c r="F93" s="509" t="s">
        <v>1722</v>
      </c>
      <c r="G93" s="509" t="s">
        <v>1723</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1813</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1871</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1912</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1913</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1914</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1915</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1767</v>
      </c>
      <c r="B4" s="346"/>
      <c r="C4" s="3520" t="s">
        <v>1768</v>
      </c>
      <c r="D4" s="3521"/>
      <c r="E4" s="3522" t="s">
        <v>1769</v>
      </c>
      <c r="F4" s="3523"/>
      <c r="G4" s="3520" t="s">
        <v>1770</v>
      </c>
      <c r="H4" s="3521"/>
      <c r="I4" s="3520" t="s">
        <v>1771</v>
      </c>
      <c r="J4" s="3521"/>
      <c r="K4" s="537" t="s">
        <v>1772</v>
      </c>
      <c r="L4" s="2484"/>
      <c r="M4" s="2485"/>
      <c r="N4" s="2485"/>
      <c r="O4" s="2485"/>
      <c r="P4" s="3524" t="s">
        <v>1773</v>
      </c>
      <c r="Q4" s="3525"/>
      <c r="R4" s="3510" t="s">
        <v>1769</v>
      </c>
      <c r="S4" s="3511"/>
      <c r="T4" s="3510" t="s">
        <v>1770</v>
      </c>
      <c r="U4" s="3511"/>
      <c r="V4" s="3494" t="s">
        <v>1771</v>
      </c>
      <c r="W4" s="3494"/>
      <c r="X4" s="1265"/>
      <c r="Y4" s="3510" t="s">
        <v>1773</v>
      </c>
      <c r="Z4" s="3511"/>
      <c r="AA4" s="3516" t="s">
        <v>1769</v>
      </c>
      <c r="AB4" s="3517" t="s">
        <v>1770</v>
      </c>
      <c r="AC4" s="3516" t="s">
        <v>1771</v>
      </c>
    </row>
    <row r="5" spans="1:29" ht="15">
      <c r="A5" s="348"/>
      <c r="B5" s="349"/>
      <c r="C5" s="3530" t="s">
        <v>1671</v>
      </c>
      <c r="D5" s="3531"/>
      <c r="E5" s="3532" t="s">
        <v>1672</v>
      </c>
      <c r="F5" s="3533"/>
      <c r="G5" s="3530" t="s">
        <v>1673</v>
      </c>
      <c r="H5" s="3531"/>
      <c r="I5" s="3530" t="s">
        <v>1674</v>
      </c>
      <c r="J5" s="3531"/>
      <c r="K5" s="537"/>
      <c r="L5" s="2484"/>
      <c r="M5" s="2485"/>
      <c r="N5" s="2485"/>
      <c r="O5" s="2485"/>
      <c r="P5" s="3526"/>
      <c r="Q5" s="3527"/>
      <c r="R5" s="3512"/>
      <c r="S5" s="3513"/>
      <c r="T5" s="3512"/>
      <c r="U5" s="3513"/>
      <c r="V5" s="3494"/>
      <c r="W5" s="3494"/>
      <c r="X5" s="1265"/>
      <c r="Y5" s="3512"/>
      <c r="Z5" s="3513"/>
      <c r="AA5" s="3517"/>
      <c r="AB5" s="3517"/>
      <c r="AC5" s="3517"/>
    </row>
    <row r="6" spans="1:29" ht="15.75" thickBot="1">
      <c r="A6" s="350"/>
      <c r="B6" s="351"/>
      <c r="C6" s="3559" t="s">
        <v>1917</v>
      </c>
      <c r="D6" s="3560"/>
      <c r="E6" s="3561" t="s">
        <v>1917</v>
      </c>
      <c r="F6" s="3562"/>
      <c r="G6" s="3559" t="s">
        <v>1917</v>
      </c>
      <c r="H6" s="3560"/>
      <c r="I6" s="3559" t="s">
        <v>1917</v>
      </c>
      <c r="J6" s="3560"/>
      <c r="K6" s="537"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507" t="s">
        <v>1678</v>
      </c>
      <c r="Q7" s="3519"/>
      <c r="R7" s="664" t="s">
        <v>14</v>
      </c>
      <c r="S7" s="665">
        <f t="shared" ref="S7:S15" si="0">F7</f>
        <v>0</v>
      </c>
      <c r="T7" s="664" t="s">
        <v>14</v>
      </c>
      <c r="U7" s="665">
        <f t="shared" ref="U7:U15" si="1">H7</f>
        <v>0</v>
      </c>
      <c r="V7" s="664" t="s">
        <v>14</v>
      </c>
      <c r="W7" s="665">
        <f t="shared" ref="W7:W15" si="2">J7</f>
        <v>0</v>
      </c>
      <c r="X7" s="666"/>
      <c r="Y7" s="3507" t="s">
        <v>1678</v>
      </c>
      <c r="Z7" s="3508"/>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507" t="s">
        <v>1681</v>
      </c>
      <c r="Q8" s="3508"/>
      <c r="R8" s="664" t="s">
        <v>14</v>
      </c>
      <c r="S8" s="665">
        <f t="shared" si="0"/>
        <v>0</v>
      </c>
      <c r="T8" s="664" t="s">
        <v>14</v>
      </c>
      <c r="U8" s="665">
        <f t="shared" si="1"/>
        <v>0</v>
      </c>
      <c r="V8" s="664" t="s">
        <v>14</v>
      </c>
      <c r="W8" s="665">
        <f t="shared" si="2"/>
        <v>0</v>
      </c>
      <c r="X8" s="666"/>
      <c r="Y8" s="3507" t="s">
        <v>1681</v>
      </c>
      <c r="Z8" s="3508"/>
      <c r="AA8" s="50" t="e">
        <f t="shared" ref="AA8:AA40" si="3">D8/F8</f>
        <v>#DIV/0!</v>
      </c>
      <c r="AB8" s="50" t="e">
        <f t="shared" ref="AB8:AB40" si="4">D8/H8</f>
        <v>#DIV/0!</v>
      </c>
      <c r="AC8" s="50" t="e">
        <f t="shared" ref="AC8:AC40" si="5">D8/J8</f>
        <v>#DIV/0!</v>
      </c>
    </row>
    <row r="9" spans="1:29" s="102" customFormat="1">
      <c r="A9" s="359" t="s">
        <v>1682</v>
      </c>
      <c r="B9" s="60" t="s">
        <v>1683</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93"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93"/>
      <c r="Q10" s="530" t="str">
        <f t="shared" si="6"/>
        <v>土地使用年限（年）</v>
      </c>
      <c r="R10" s="664" t="s">
        <v>14</v>
      </c>
      <c r="S10" s="665" t="e">
        <f t="shared" si="0"/>
        <v>#DIV/0!</v>
      </c>
      <c r="T10" s="664" t="s">
        <v>14</v>
      </c>
      <c r="U10" s="665" t="e">
        <f t="shared" si="1"/>
        <v>#DIV/0!</v>
      </c>
      <c r="V10" s="664" t="s">
        <v>14</v>
      </c>
      <c r="W10" s="665" t="e">
        <f t="shared" si="2"/>
        <v>#DIV/0!</v>
      </c>
      <c r="X10" s="666"/>
      <c r="Y10" s="3371"/>
      <c r="Z10" s="50" t="str">
        <f t="shared" si="7"/>
        <v>土地使用年限（年）</v>
      </c>
      <c r="AA10" s="50" t="e">
        <f t="shared" si="3"/>
        <v>#DIV/0!</v>
      </c>
      <c r="AB10" s="50" t="e">
        <f t="shared" si="4"/>
        <v>#DIV/0!</v>
      </c>
      <c r="AC10" s="50" t="e">
        <f t="shared" si="5"/>
        <v>#DIV/0!</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93"/>
      <c r="Q11" s="530" t="str">
        <f t="shared" si="6"/>
        <v>容积率</v>
      </c>
      <c r="R11" s="664" t="s">
        <v>14</v>
      </c>
      <c r="S11" s="665" t="e">
        <f t="shared" si="0"/>
        <v>#N/A</v>
      </c>
      <c r="T11" s="664" t="s">
        <v>14</v>
      </c>
      <c r="U11" s="665" t="e">
        <f t="shared" si="1"/>
        <v>#N/A</v>
      </c>
      <c r="V11" s="664" t="s">
        <v>14</v>
      </c>
      <c r="W11" s="665" t="e">
        <f t="shared" si="2"/>
        <v>#N/A</v>
      </c>
      <c r="X11" s="666"/>
      <c r="Y11" s="33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93"/>
      <c r="Q12" s="530">
        <f t="shared" si="6"/>
        <v>111</v>
      </c>
      <c r="R12" s="664" t="s">
        <v>14</v>
      </c>
      <c r="S12" s="665">
        <f t="shared" si="0"/>
        <v>100</v>
      </c>
      <c r="T12" s="664" t="s">
        <v>14</v>
      </c>
      <c r="U12" s="665">
        <f t="shared" si="1"/>
        <v>100</v>
      </c>
      <c r="V12" s="664" t="s">
        <v>14</v>
      </c>
      <c r="W12" s="665">
        <f t="shared" si="2"/>
        <v>100</v>
      </c>
      <c r="X12" s="666"/>
      <c r="Y12" s="33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93"/>
      <c r="Q13" s="530">
        <f t="shared" si="6"/>
        <v>111</v>
      </c>
      <c r="R13" s="664" t="s">
        <v>14</v>
      </c>
      <c r="S13" s="665">
        <f t="shared" si="0"/>
        <v>100</v>
      </c>
      <c r="T13" s="664" t="s">
        <v>14</v>
      </c>
      <c r="U13" s="665">
        <f t="shared" si="1"/>
        <v>100</v>
      </c>
      <c r="V13" s="664" t="s">
        <v>14</v>
      </c>
      <c r="W13" s="665">
        <f t="shared" si="2"/>
        <v>100</v>
      </c>
      <c r="X13" s="666"/>
      <c r="Y13" s="33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93"/>
      <c r="Q14" s="530">
        <f t="shared" si="6"/>
        <v>111</v>
      </c>
      <c r="R14" s="664" t="s">
        <v>14</v>
      </c>
      <c r="S14" s="665">
        <f t="shared" si="0"/>
        <v>100</v>
      </c>
      <c r="T14" s="664" t="s">
        <v>14</v>
      </c>
      <c r="U14" s="665">
        <f t="shared" si="1"/>
        <v>100</v>
      </c>
      <c r="V14" s="664" t="s">
        <v>14</v>
      </c>
      <c r="W14" s="665">
        <f t="shared" si="2"/>
        <v>100</v>
      </c>
      <c r="X14" s="666"/>
      <c r="Y14" s="3371"/>
      <c r="Z14" s="50">
        <f t="shared" si="7"/>
        <v>111</v>
      </c>
      <c r="AA14" s="50">
        <f t="shared" si="3"/>
        <v>1</v>
      </c>
      <c r="AB14" s="50">
        <f t="shared" si="4"/>
        <v>1</v>
      </c>
      <c r="AC14" s="50">
        <f t="shared" si="5"/>
        <v>1</v>
      </c>
    </row>
    <row r="15" spans="1:29" ht="57">
      <c r="A15" s="379" t="s">
        <v>1688</v>
      </c>
      <c r="B15" s="554" t="s">
        <v>1918</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500" t="s">
        <v>1689</v>
      </c>
      <c r="Q15" s="1263" t="str">
        <f t="shared" si="6"/>
        <v>产业集聚程度</v>
      </c>
      <c r="R15" s="667" t="s">
        <v>14</v>
      </c>
      <c r="S15" s="668">
        <f t="shared" si="0"/>
        <v>100</v>
      </c>
      <c r="T15" s="667" t="s">
        <v>14</v>
      </c>
      <c r="U15" s="668">
        <f t="shared" si="1"/>
        <v>100</v>
      </c>
      <c r="V15" s="667" t="s">
        <v>14</v>
      </c>
      <c r="W15" s="668">
        <f t="shared" si="2"/>
        <v>100</v>
      </c>
      <c r="X15" s="1265"/>
      <c r="Y15" s="3500"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501"/>
      <c r="Q16" s="1263"/>
      <c r="R16" s="667"/>
      <c r="S16" s="668"/>
      <c r="T16" s="667"/>
      <c r="U16" s="668"/>
      <c r="V16" s="667"/>
      <c r="W16" s="668"/>
      <c r="X16" s="1265"/>
      <c r="Y16" s="3501"/>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501"/>
      <c r="Q17" s="1263" t="str">
        <f>B17</f>
        <v>交通便捷度</v>
      </c>
      <c r="R17" s="667" t="s">
        <v>14</v>
      </c>
      <c r="S17" s="668">
        <f>F17</f>
        <v>100</v>
      </c>
      <c r="T17" s="667" t="s">
        <v>14</v>
      </c>
      <c r="U17" s="668">
        <f>H17</f>
        <v>100</v>
      </c>
      <c r="V17" s="667" t="s">
        <v>14</v>
      </c>
      <c r="W17" s="668">
        <f>J17</f>
        <v>100</v>
      </c>
      <c r="X17" s="1265"/>
      <c r="Y17" s="350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501"/>
      <c r="Q18" s="1263"/>
      <c r="R18" s="667"/>
      <c r="S18" s="668"/>
      <c r="T18" s="667"/>
      <c r="U18" s="668"/>
      <c r="V18" s="667"/>
      <c r="W18" s="668"/>
      <c r="X18" s="1265"/>
      <c r="Y18" s="3501"/>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501"/>
      <c r="Q19" s="1263" t="str">
        <f t="shared" ref="Q19:Q33" si="8">B19</f>
        <v>区域土地利用方向</v>
      </c>
      <c r="R19" s="667" t="s">
        <v>14</v>
      </c>
      <c r="S19" s="668">
        <f>F19</f>
        <v>100</v>
      </c>
      <c r="T19" s="667" t="s">
        <v>14</v>
      </c>
      <c r="U19" s="668">
        <f>H19</f>
        <v>100</v>
      </c>
      <c r="V19" s="667" t="s">
        <v>14</v>
      </c>
      <c r="W19" s="668">
        <f>J19</f>
        <v>100</v>
      </c>
      <c r="X19" s="1265"/>
      <c r="Y19" s="350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501"/>
      <c r="Q20" s="1263"/>
      <c r="R20" s="667"/>
      <c r="S20" s="668"/>
      <c r="T20" s="667"/>
      <c r="U20" s="668"/>
      <c r="V20" s="667"/>
      <c r="W20" s="668"/>
      <c r="X20" s="1265"/>
      <c r="Y20" s="3501"/>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501"/>
      <c r="Q21" s="1263" t="str">
        <f t="shared" si="8"/>
        <v>环境状况</v>
      </c>
      <c r="R21" s="667" t="s">
        <v>14</v>
      </c>
      <c r="S21" s="668">
        <f>F21</f>
        <v>100</v>
      </c>
      <c r="T21" s="667" t="s">
        <v>14</v>
      </c>
      <c r="U21" s="668">
        <f>H21</f>
        <v>100</v>
      </c>
      <c r="V21" s="667" t="s">
        <v>14</v>
      </c>
      <c r="W21" s="668">
        <f>J21</f>
        <v>100</v>
      </c>
      <c r="X21" s="1265"/>
      <c r="Y21" s="350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501"/>
      <c r="Q22" s="1263"/>
      <c r="R22" s="667"/>
      <c r="S22" s="668"/>
      <c r="T22" s="667"/>
      <c r="U22" s="668"/>
      <c r="V22" s="667"/>
      <c r="W22" s="668"/>
      <c r="X22" s="1265"/>
      <c r="Y22" s="3501"/>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501"/>
      <c r="Q23" s="530" t="str">
        <f t="shared" si="8"/>
        <v>公共配套设施</v>
      </c>
      <c r="R23" s="664" t="s">
        <v>14</v>
      </c>
      <c r="S23" s="665">
        <f>F23</f>
        <v>100</v>
      </c>
      <c r="T23" s="664" t="s">
        <v>14</v>
      </c>
      <c r="U23" s="665">
        <f>H23</f>
        <v>100</v>
      </c>
      <c r="V23" s="664" t="s">
        <v>14</v>
      </c>
      <c r="W23" s="665">
        <f>J23</f>
        <v>100</v>
      </c>
      <c r="X23" s="666"/>
      <c r="Y23" s="3501"/>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6"/>
      <c r="M24" s="2437"/>
      <c r="N24" s="2437"/>
      <c r="O24" s="2538"/>
      <c r="P24" s="3501"/>
      <c r="Q24" s="530"/>
      <c r="R24" s="664"/>
      <c r="S24" s="665"/>
      <c r="T24" s="664"/>
      <c r="U24" s="665"/>
      <c r="V24" s="664"/>
      <c r="W24" s="665"/>
      <c r="X24" s="666"/>
      <c r="Y24" s="3501"/>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501"/>
      <c r="Q25" s="530" t="str">
        <f t="shared" ref="Q25" si="9">B25</f>
        <v>基础设施水平</v>
      </c>
      <c r="R25" s="664" t="s">
        <v>14</v>
      </c>
      <c r="S25" s="665">
        <f>F25</f>
        <v>100</v>
      </c>
      <c r="T25" s="664" t="s">
        <v>14</v>
      </c>
      <c r="U25" s="665">
        <f>H25</f>
        <v>100</v>
      </c>
      <c r="V25" s="664" t="s">
        <v>14</v>
      </c>
      <c r="W25" s="665">
        <f>J25</f>
        <v>100</v>
      </c>
      <c r="X25" s="666"/>
      <c r="Y25" s="3501"/>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6"/>
      <c r="M26" s="2437"/>
      <c r="N26" s="2437"/>
      <c r="O26" s="2538"/>
      <c r="P26" s="3501"/>
      <c r="Q26" s="530"/>
      <c r="R26" s="664"/>
      <c r="S26" s="665"/>
      <c r="T26" s="664"/>
      <c r="U26" s="665"/>
      <c r="V26" s="664"/>
      <c r="W26" s="665"/>
      <c r="X26" s="666"/>
      <c r="Y26" s="3501"/>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50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01"/>
      <c r="Z27" s="1264" t="str">
        <f t="shared" ref="Z27:Z40" si="13">Q27</f>
        <v>临街状况</v>
      </c>
      <c r="AA27" s="1264">
        <f t="shared" si="3"/>
        <v>1</v>
      </c>
      <c r="AB27" s="1264">
        <f t="shared" si="4"/>
        <v>1</v>
      </c>
      <c r="AC27" s="1264">
        <f t="shared" si="5"/>
        <v>1</v>
      </c>
    </row>
    <row r="28" spans="1:29" ht="27">
      <c r="A28" s="367"/>
      <c r="B28" s="557" t="s">
        <v>1813</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501"/>
      <c r="Q28" s="1263" t="str">
        <f t="shared" si="8"/>
        <v>毗邻道路的类型与等级</v>
      </c>
      <c r="R28" s="667" t="s">
        <v>14</v>
      </c>
      <c r="S28" s="668">
        <f t="shared" si="10"/>
        <v>100</v>
      </c>
      <c r="T28" s="667" t="s">
        <v>14</v>
      </c>
      <c r="U28" s="668">
        <f t="shared" si="11"/>
        <v>100</v>
      </c>
      <c r="V28" s="667" t="s">
        <v>14</v>
      </c>
      <c r="W28" s="668">
        <f t="shared" si="12"/>
        <v>100</v>
      </c>
      <c r="X28" s="1265"/>
      <c r="Y28" s="350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501"/>
      <c r="Q29" s="1263"/>
      <c r="R29" s="667"/>
      <c r="S29" s="668"/>
      <c r="T29" s="667"/>
      <c r="U29" s="668"/>
      <c r="V29" s="667"/>
      <c r="W29" s="668"/>
      <c r="X29" s="1265"/>
      <c r="Y29" s="3501"/>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501"/>
      <c r="Q30" s="1263" t="str">
        <f t="shared" si="8"/>
        <v>土地级别</v>
      </c>
      <c r="R30" s="667" t="s">
        <v>14</v>
      </c>
      <c r="S30" s="668">
        <f t="shared" si="10"/>
        <v>100</v>
      </c>
      <c r="T30" s="667" t="s">
        <v>14</v>
      </c>
      <c r="U30" s="668">
        <f t="shared" si="11"/>
        <v>100</v>
      </c>
      <c r="V30" s="667" t="s">
        <v>14</v>
      </c>
      <c r="W30" s="668">
        <f t="shared" si="12"/>
        <v>100</v>
      </c>
      <c r="X30" s="1265"/>
      <c r="Y30" s="350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501"/>
      <c r="Q31" s="1263">
        <f t="shared" si="8"/>
        <v>111</v>
      </c>
      <c r="R31" s="667" t="s">
        <v>14</v>
      </c>
      <c r="S31" s="668">
        <f t="shared" si="10"/>
        <v>100</v>
      </c>
      <c r="T31" s="667" t="s">
        <v>14</v>
      </c>
      <c r="U31" s="668">
        <f t="shared" si="11"/>
        <v>100</v>
      </c>
      <c r="V31" s="667" t="s">
        <v>14</v>
      </c>
      <c r="W31" s="668">
        <f t="shared" si="12"/>
        <v>100</v>
      </c>
      <c r="X31" s="1265"/>
      <c r="Y31" s="3501"/>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554" t="s">
        <v>1694</v>
      </c>
      <c r="Q32" s="1263">
        <f t="shared" si="8"/>
        <v>111</v>
      </c>
      <c r="R32" s="667" t="s">
        <v>14</v>
      </c>
      <c r="S32" s="668">
        <f t="shared" si="10"/>
        <v>100</v>
      </c>
      <c r="T32" s="667" t="s">
        <v>14</v>
      </c>
      <c r="U32" s="668">
        <f t="shared" si="11"/>
        <v>100</v>
      </c>
      <c r="V32" s="667" t="s">
        <v>14</v>
      </c>
      <c r="W32" s="668">
        <f t="shared" si="12"/>
        <v>100</v>
      </c>
      <c r="X32" s="1265"/>
      <c r="Y32" s="3505" t="s">
        <v>1694</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505"/>
      <c r="Q33" s="1263">
        <f t="shared" si="8"/>
        <v>111</v>
      </c>
      <c r="R33" s="669" t="s">
        <v>14</v>
      </c>
      <c r="S33" s="670">
        <f t="shared" si="10"/>
        <v>100</v>
      </c>
      <c r="T33" s="669" t="s">
        <v>14</v>
      </c>
      <c r="U33" s="670">
        <f t="shared" si="11"/>
        <v>100</v>
      </c>
      <c r="V33" s="669" t="s">
        <v>14</v>
      </c>
      <c r="W33" s="670">
        <f t="shared" si="12"/>
        <v>100</v>
      </c>
      <c r="X33" s="671"/>
      <c r="Y33" s="3505"/>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505"/>
      <c r="Q34" s="1263" t="str">
        <f>B34</f>
        <v>宗地面积</v>
      </c>
      <c r="R34" s="667" t="s">
        <v>14</v>
      </c>
      <c r="S34" s="668" t="e">
        <f t="shared" si="10"/>
        <v>#N/A</v>
      </c>
      <c r="T34" s="667" t="s">
        <v>14</v>
      </c>
      <c r="U34" s="668" t="e">
        <f t="shared" si="11"/>
        <v>#N/A</v>
      </c>
      <c r="V34" s="667" t="s">
        <v>14</v>
      </c>
      <c r="W34" s="668" t="e">
        <f t="shared" si="12"/>
        <v>#N/A</v>
      </c>
      <c r="X34" s="1265"/>
      <c r="Y34" s="3505"/>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505"/>
      <c r="Q35" s="1263" t="str">
        <f t="shared" ref="Q35:Q40" si="14">B35</f>
        <v>宗地形状</v>
      </c>
      <c r="R35" s="667" t="s">
        <v>14</v>
      </c>
      <c r="S35" s="668">
        <f t="shared" si="10"/>
        <v>100</v>
      </c>
      <c r="T35" s="667" t="s">
        <v>14</v>
      </c>
      <c r="U35" s="668">
        <f t="shared" si="11"/>
        <v>100</v>
      </c>
      <c r="V35" s="667" t="s">
        <v>14</v>
      </c>
      <c r="W35" s="668">
        <f t="shared" si="12"/>
        <v>100</v>
      </c>
      <c r="X35" s="1265"/>
      <c r="Y35" s="3505"/>
      <c r="Z35" s="1264" t="str">
        <f t="shared" si="13"/>
        <v>宗地形状</v>
      </c>
      <c r="AA35" s="1264">
        <f t="shared" si="3"/>
        <v>1</v>
      </c>
      <c r="AB35" s="1264">
        <f t="shared" si="4"/>
        <v>1</v>
      </c>
      <c r="AC35" s="1264">
        <f t="shared" si="5"/>
        <v>1</v>
      </c>
    </row>
    <row r="36" spans="1:31" s="102" customFormat="1" ht="15">
      <c r="A36" s="410"/>
      <c r="B36" s="364" t="s">
        <v>1875</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505"/>
      <c r="Q36" s="1263" t="str">
        <f t="shared" si="14"/>
        <v>宗地开发程度</v>
      </c>
      <c r="R36" s="664" t="s">
        <v>14</v>
      </c>
      <c r="S36" s="665">
        <f t="shared" si="10"/>
        <v>100</v>
      </c>
      <c r="T36" s="664" t="s">
        <v>14</v>
      </c>
      <c r="U36" s="665">
        <f t="shared" si="11"/>
        <v>100</v>
      </c>
      <c r="V36" s="664" t="s">
        <v>14</v>
      </c>
      <c r="W36" s="665">
        <f t="shared" si="12"/>
        <v>100</v>
      </c>
      <c r="X36" s="666"/>
      <c r="Y36" s="3505"/>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505" t="s">
        <v>1694</v>
      </c>
      <c r="Q37" s="1263" t="str">
        <f t="shared" si="14"/>
        <v>工程地质条件</v>
      </c>
      <c r="R37" s="667" t="s">
        <v>14</v>
      </c>
      <c r="S37" s="668">
        <f t="shared" si="10"/>
        <v>100</v>
      </c>
      <c r="T37" s="667" t="s">
        <v>14</v>
      </c>
      <c r="U37" s="668">
        <f t="shared" si="11"/>
        <v>100</v>
      </c>
      <c r="V37" s="667" t="s">
        <v>14</v>
      </c>
      <c r="W37" s="668">
        <f t="shared" si="12"/>
        <v>100</v>
      </c>
      <c r="X37" s="1265"/>
      <c r="Y37" s="3505"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505"/>
      <c r="Q38" s="1263">
        <f t="shared" si="14"/>
        <v>111</v>
      </c>
      <c r="R38" s="667" t="s">
        <v>14</v>
      </c>
      <c r="S38" s="668">
        <f t="shared" si="10"/>
        <v>100</v>
      </c>
      <c r="T38" s="667" t="s">
        <v>14</v>
      </c>
      <c r="U38" s="668">
        <f t="shared" si="11"/>
        <v>100</v>
      </c>
      <c r="V38" s="667" t="s">
        <v>14</v>
      </c>
      <c r="W38" s="668">
        <f t="shared" si="12"/>
        <v>100</v>
      </c>
      <c r="X38" s="1265"/>
      <c r="Y38" s="350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505"/>
      <c r="Q39" s="1263">
        <f t="shared" si="14"/>
        <v>111</v>
      </c>
      <c r="R39" s="667" t="s">
        <v>14</v>
      </c>
      <c r="S39" s="668">
        <f t="shared" si="10"/>
        <v>100</v>
      </c>
      <c r="T39" s="667" t="s">
        <v>14</v>
      </c>
      <c r="U39" s="668">
        <f t="shared" si="11"/>
        <v>100</v>
      </c>
      <c r="V39" s="667" t="s">
        <v>14</v>
      </c>
      <c r="W39" s="668">
        <f t="shared" si="12"/>
        <v>100</v>
      </c>
      <c r="X39" s="1265"/>
      <c r="Y39" s="3505"/>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505"/>
      <c r="Q40" s="1263">
        <f t="shared" si="14"/>
        <v>111</v>
      </c>
      <c r="R40" s="669" t="s">
        <v>14</v>
      </c>
      <c r="S40" s="670">
        <f t="shared" si="10"/>
        <v>100</v>
      </c>
      <c r="T40" s="669" t="s">
        <v>14</v>
      </c>
      <c r="U40" s="670">
        <f t="shared" si="11"/>
        <v>100</v>
      </c>
      <c r="V40" s="669" t="s">
        <v>14</v>
      </c>
      <c r="W40" s="670">
        <f t="shared" si="12"/>
        <v>100</v>
      </c>
      <c r="X40" s="671"/>
      <c r="Y40" s="3505"/>
      <c r="Z40" s="672">
        <f t="shared" si="13"/>
        <v>111</v>
      </c>
      <c r="AA40" s="1264">
        <f t="shared" si="3"/>
        <v>1</v>
      </c>
      <c r="AB40" s="1264">
        <f t="shared" si="4"/>
        <v>1</v>
      </c>
      <c r="AC40" s="1264">
        <f t="shared" si="5"/>
        <v>1</v>
      </c>
    </row>
    <row r="41" spans="1:31" ht="15">
      <c r="A41" s="416" t="s">
        <v>1842</v>
      </c>
      <c r="B41" s="1828" t="s">
        <v>1920</v>
      </c>
      <c r="C41" s="602" t="s">
        <v>0</v>
      </c>
      <c r="D41" s="418"/>
      <c r="E41" s="419"/>
      <c r="F41" s="420"/>
      <c r="G41" s="421"/>
      <c r="H41" s="422"/>
      <c r="I41" s="419"/>
      <c r="J41" s="422"/>
      <c r="K41" s="674"/>
      <c r="L41" s="2492"/>
      <c r="M41" s="2485"/>
      <c r="N41" s="2485"/>
      <c r="O41" s="2485"/>
      <c r="P41" s="3493" t="str">
        <f>A41</f>
        <v>成交单价</v>
      </c>
      <c r="Q41" s="3493"/>
      <c r="R41" s="3494">
        <f>E41</f>
        <v>0</v>
      </c>
      <c r="S41" s="3494"/>
      <c r="T41" s="3494">
        <f>G41</f>
        <v>0</v>
      </c>
      <c r="U41" s="3494"/>
      <c r="V41" s="3494">
        <f>I41</f>
        <v>0</v>
      </c>
      <c r="W41" s="3494"/>
      <c r="X41" s="385"/>
      <c r="Y41" s="673"/>
      <c r="Z41" s="385"/>
      <c r="AA41" s="385"/>
      <c r="AB41" s="385"/>
      <c r="AC41" s="385"/>
    </row>
    <row r="42" spans="1:31" ht="15.75" thickBot="1">
      <c r="A42" s="423" t="s">
        <v>1791</v>
      </c>
      <c r="B42" s="603"/>
      <c r="C42" s="426" t="e">
        <f>R43</f>
        <v>#DIV/0!</v>
      </c>
      <c r="D42" s="2139" t="s">
        <v>2136</v>
      </c>
      <c r="E42" s="426" t="e">
        <f>R42</f>
        <v>#DIV/0!</v>
      </c>
      <c r="F42" s="2140"/>
      <c r="G42" s="425" t="e">
        <f>T42</f>
        <v>#DIV/0!</v>
      </c>
      <c r="H42" s="2140"/>
      <c r="I42" s="426" t="e">
        <f>V42</f>
        <v>#DIV/0!</v>
      </c>
      <c r="J42" s="2140"/>
      <c r="K42" s="2142">
        <f>F42+H42+J42</f>
        <v>0</v>
      </c>
      <c r="L42" s="2492"/>
      <c r="M42" s="2485"/>
      <c r="N42" s="2485"/>
      <c r="O42" s="2485"/>
      <c r="P42" s="3493" t="str">
        <f>A42</f>
        <v>比较价值（元/平方米）</v>
      </c>
      <c r="Q42" s="3493"/>
      <c r="R42" s="3556" t="e">
        <f>ROUND(PRODUCT(R41,AA7:AA40),0)</f>
        <v>#DIV/0!</v>
      </c>
      <c r="S42" s="3556"/>
      <c r="T42" s="3556" t="e">
        <f>ROUND(PRODUCT(T41,AB7:AB40),0)</f>
        <v>#DIV/0!</v>
      </c>
      <c r="U42" s="3556"/>
      <c r="V42" s="3556" t="e">
        <f>ROUND(PRODUCT(V41,AC7:AC40),0)</f>
        <v>#DIV/0!</v>
      </c>
      <c r="W42" s="3556"/>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2"/>
      <c r="M43" s="2485"/>
      <c r="N43" s="2485"/>
      <c r="O43" s="2485"/>
      <c r="P43" s="3495" t="str">
        <f>A43</f>
        <v>估价对象XX用房的比较价值（楼面单价，元/平方米）</v>
      </c>
      <c r="Q43" s="3496"/>
      <c r="R43" s="3557" t="e">
        <f>ROUND(IF(D42="简单平均",AVERAGE(R42:W42),R42*F42+T42*H42+V42*J42),0)</f>
        <v>#DIV/0!</v>
      </c>
      <c r="S43" s="3557"/>
      <c r="T43" s="3557"/>
      <c r="U43" s="3557"/>
      <c r="V43" s="3557"/>
      <c r="W43" s="355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1879</v>
      </c>
      <c r="B50" s="605" t="s">
        <v>1880</v>
      </c>
      <c r="C50" s="1829" t="s">
        <v>1881</v>
      </c>
      <c r="D50" s="1830" t="s">
        <v>1882</v>
      </c>
      <c r="E50" s="606" t="s">
        <v>1883</v>
      </c>
      <c r="F50" s="607" t="s">
        <v>1884</v>
      </c>
      <c r="G50" s="3520" t="s">
        <v>1885</v>
      </c>
      <c r="H50" s="3558"/>
      <c r="I50" s="1264" t="s">
        <v>1921</v>
      </c>
      <c r="J50" s="1264">
        <f>项目基本情况!F35</f>
        <v>0</v>
      </c>
      <c r="K50" s="1832" t="s">
        <v>1887</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1888</v>
      </c>
      <c r="B51" s="609" t="e">
        <f>C43</f>
        <v>#DIV/0!</v>
      </c>
      <c r="C51" s="610">
        <v>1</v>
      </c>
      <c r="D51" s="890">
        <v>1</v>
      </c>
      <c r="E51" s="610">
        <f>'数据-汇总表'!E8+'数据-汇总表'!E9</f>
        <v>0</v>
      </c>
      <c r="F51" s="611" t="e">
        <f t="shared" ref="F51:F60" si="15">ROUND(B51*E51/10000,0)</f>
        <v>#DIV/0!</v>
      </c>
      <c r="G51" s="3509"/>
      <c r="H51" s="349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1889</v>
      </c>
      <c r="B52" s="210" t="e">
        <f>ROUND($C$43*C52*D52,0)</f>
        <v>#DIV/0!</v>
      </c>
      <c r="C52" s="163">
        <f t="shared" ref="C52:C60" si="16">IF($C$50="北京市系数",I52,J52)</f>
        <v>0</v>
      </c>
      <c r="D52" s="891">
        <v>0.25</v>
      </c>
      <c r="E52" s="614"/>
      <c r="F52" s="611" t="e">
        <f t="shared" si="15"/>
        <v>#DIV/0!</v>
      </c>
      <c r="G52" s="2748" t="s">
        <v>1890</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1891</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1892</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1893</v>
      </c>
      <c r="B56" s="210" t="e">
        <f t="shared" si="17"/>
        <v>#DIV/0!</v>
      </c>
      <c r="C56" s="163">
        <f t="shared" si="16"/>
        <v>0</v>
      </c>
      <c r="D56" s="891">
        <v>0.25</v>
      </c>
      <c r="E56" s="209">
        <f>'数据-汇总表'!E11</f>
        <v>0</v>
      </c>
      <c r="F56" s="611" t="e">
        <f t="shared" si="15"/>
        <v>#DIV/0!</v>
      </c>
      <c r="G56" s="1833" t="s">
        <v>1894</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1899</v>
      </c>
      <c r="B59" s="210" t="e">
        <f t="shared" si="17"/>
        <v>#DIV/0!</v>
      </c>
      <c r="C59" s="163">
        <f t="shared" si="16"/>
        <v>0</v>
      </c>
      <c r="D59" s="891">
        <v>0.25</v>
      </c>
      <c r="E59" s="209">
        <f>'数据-汇总表'!E14</f>
        <v>0</v>
      </c>
      <c r="F59" s="611" t="e">
        <f t="shared" si="15"/>
        <v>#DIV/0!</v>
      </c>
      <c r="G59" s="1833" t="s">
        <v>1890</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1900</v>
      </c>
      <c r="B60" s="210" t="e">
        <f t="shared" si="17"/>
        <v>#DIV/0!</v>
      </c>
      <c r="C60" s="163">
        <f t="shared" si="16"/>
        <v>0</v>
      </c>
      <c r="D60" s="891">
        <v>0.25</v>
      </c>
      <c r="E60" s="209">
        <f>'数据-汇总表'!E15</f>
        <v>0</v>
      </c>
      <c r="F60" s="611" t="e">
        <f t="shared" si="15"/>
        <v>#DIV/0!</v>
      </c>
      <c r="G60" s="1834" t="s">
        <v>1894</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1901</v>
      </c>
      <c r="B61" s="616" t="s">
        <v>22</v>
      </c>
      <c r="C61" s="616" t="s">
        <v>23</v>
      </c>
      <c r="D61" s="616" t="s">
        <v>392</v>
      </c>
      <c r="E61" s="616" t="e">
        <f>IF(B41="楼面地价",SUM(E51:E60),'数据-汇总表'!D3)</f>
        <v>#DIV/0!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2023-10-1</v>
      </c>
      <c r="D63" s="656">
        <f>EDATE(C63,-3)</f>
        <v>45108</v>
      </c>
      <c r="E63" s="656">
        <f>EDATE(D63,-3)</f>
        <v>45017</v>
      </c>
      <c r="F63" s="656">
        <f t="shared" ref="F63:O63" si="18">EDATE(E63,-3)</f>
        <v>44927</v>
      </c>
      <c r="G63" s="656">
        <f t="shared" si="18"/>
        <v>44835</v>
      </c>
      <c r="H63" s="656">
        <f t="shared" si="18"/>
        <v>44743</v>
      </c>
      <c r="I63" s="656">
        <f t="shared" si="18"/>
        <v>44652</v>
      </c>
      <c r="J63" s="656">
        <f t="shared" si="18"/>
        <v>44562</v>
      </c>
      <c r="K63" s="656">
        <f t="shared" si="18"/>
        <v>44470</v>
      </c>
      <c r="L63" s="656">
        <f t="shared" si="18"/>
        <v>44378</v>
      </c>
      <c r="M63" s="656">
        <f t="shared" si="18"/>
        <v>44287</v>
      </c>
      <c r="N63" s="656">
        <f t="shared" si="18"/>
        <v>44197</v>
      </c>
      <c r="O63" s="656">
        <f t="shared" si="18"/>
        <v>44105</v>
      </c>
      <c r="P63" s="2485"/>
      <c r="Q63" s="2485"/>
      <c r="R63" s="2485"/>
      <c r="S63" s="2485"/>
      <c r="T63" s="2485"/>
      <c r="U63" s="2485"/>
      <c r="V63" s="2485"/>
      <c r="W63" s="2485"/>
      <c r="X63" s="2485"/>
      <c r="Y63" s="2485"/>
      <c r="Z63" s="2485"/>
      <c r="AA63" s="2485"/>
      <c r="AB63" s="2485"/>
      <c r="AC63" s="2485"/>
      <c r="AD63" s="2485"/>
      <c r="AE63" s="2485"/>
    </row>
    <row r="64" spans="1:31" ht="21.75" thickBot="1">
      <c r="A64" s="658" t="s">
        <v>1796</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1902</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1714</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1679</v>
      </c>
      <c r="B68" s="444"/>
      <c r="C68" s="456" t="s">
        <v>1774</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1717</v>
      </c>
      <c r="B70" s="460" t="s">
        <v>1683</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1686</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1688</v>
      </c>
      <c r="B83" s="460" t="s">
        <v>1827</v>
      </c>
      <c r="C83" s="504" t="s">
        <v>1719</v>
      </c>
      <c r="D83" s="504" t="s">
        <v>1720</v>
      </c>
      <c r="E83" s="504" t="s">
        <v>1721</v>
      </c>
      <c r="F83" s="504" t="s">
        <v>1722</v>
      </c>
      <c r="G83" s="504" t="s">
        <v>1723</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1724</v>
      </c>
      <c r="C85" s="509" t="s">
        <v>1719</v>
      </c>
      <c r="D85" s="509" t="s">
        <v>1720</v>
      </c>
      <c r="E85" s="509" t="s">
        <v>1721</v>
      </c>
      <c r="F85" s="509" t="s">
        <v>1722</v>
      </c>
      <c r="G85" s="509" t="s">
        <v>1723</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1813</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1871</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1912</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1914</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1915</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66" t="s">
        <v>2082</v>
      </c>
      <c r="D1" s="3567"/>
      <c r="E1" s="3567"/>
      <c r="F1" s="3567"/>
      <c r="G1" s="3567"/>
      <c r="H1" s="3567"/>
      <c r="I1" s="3567"/>
      <c r="J1" s="3567"/>
      <c r="K1" s="3567"/>
      <c r="L1" s="3567"/>
      <c r="M1" s="3567"/>
      <c r="N1" s="3567"/>
      <c r="O1" s="3567"/>
      <c r="P1" s="3567"/>
      <c r="Q1" s="3567"/>
      <c r="R1" s="3567"/>
      <c r="S1" s="3568"/>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7"/>
      <c r="E20" s="1254"/>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63" t="s">
        <v>27</v>
      </c>
      <c r="D22" s="3564"/>
      <c r="E22" s="3564"/>
      <c r="F22" s="3564"/>
      <c r="G22" s="3564"/>
      <c r="H22" s="3564"/>
      <c r="I22" s="3564"/>
      <c r="J22" s="3564"/>
      <c r="K22" s="3564"/>
      <c r="L22" s="3564"/>
      <c r="M22" s="3564"/>
      <c r="N22" s="3564"/>
      <c r="O22" s="3564"/>
      <c r="P22" s="3564"/>
      <c r="Q22" s="356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2"/>
      <c r="G1" s="2542"/>
      <c r="H1" s="2542"/>
      <c r="I1" s="2542"/>
      <c r="J1" s="2542"/>
      <c r="K1" s="2542"/>
      <c r="L1" s="2542"/>
      <c r="M1" s="2542"/>
      <c r="N1" s="2542"/>
      <c r="O1" s="2542"/>
      <c r="P1" s="2542"/>
    </row>
    <row r="2" spans="1:16" ht="15.75">
      <c r="A2" s="1982" t="s">
        <v>2071</v>
      </c>
      <c r="B2" s="2385" t="e">
        <f ca="1">SUMIF(B6:B13,"&lt;&gt;#ref!",B6:B13)</f>
        <v>#DIV/0!</v>
      </c>
      <c r="C2" s="1982" t="s">
        <v>2072</v>
      </c>
      <c r="D2" s="1982" t="s">
        <v>2073</v>
      </c>
      <c r="E2" s="2395">
        <f ca="1">SUMIF(E6:E13,"&lt;&gt;#ref!",E6:E13)</f>
        <v>0</v>
      </c>
      <c r="F2" s="2542"/>
      <c r="G2" s="2542"/>
      <c r="H2" s="2542"/>
      <c r="I2" s="2542"/>
      <c r="J2" s="2542"/>
      <c r="K2" s="2542"/>
      <c r="L2" s="2542"/>
      <c r="M2" s="2542"/>
      <c r="N2" s="2542"/>
      <c r="O2" s="2542"/>
      <c r="P2" s="2542"/>
    </row>
    <row r="3" spans="1:16" ht="15.75">
      <c r="A3" s="1982" t="s">
        <v>2074</v>
      </c>
      <c r="B3" s="2385" t="e">
        <f ca="1">ROUND(B2*10000/E2,0)</f>
        <v>#DIV/0!</v>
      </c>
      <c r="C3" s="1982" t="s">
        <v>2080</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2075</v>
      </c>
      <c r="B5" s="2393" t="s">
        <v>2076</v>
      </c>
      <c r="C5" s="1983"/>
      <c r="D5" s="2542"/>
      <c r="E5" s="2394" t="s">
        <v>2077</v>
      </c>
      <c r="F5" s="2542"/>
      <c r="G5" s="2542"/>
      <c r="H5" s="2542"/>
      <c r="I5" s="2542"/>
      <c r="J5" s="2542"/>
      <c r="K5" s="2542"/>
      <c r="L5" s="2542"/>
      <c r="M5" s="2542"/>
      <c r="N5" s="2542"/>
      <c r="O5" s="2542"/>
      <c r="P5" s="2542"/>
    </row>
    <row r="6" spans="1:16" ht="15.75">
      <c r="A6" s="2392" t="s">
        <v>2078</v>
      </c>
      <c r="B6" s="2385" t="e">
        <f ca="1">SUMIF(INDIRECT("'"&amp;A6&amp;"'"&amp;"!A:A"),"总价",INDIRECT("'"&amp;A6&amp;"'"&amp;"!B:B"))</f>
        <v>#DIV/0!</v>
      </c>
      <c r="C6" s="1982" t="s">
        <v>2072</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2072</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2072</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2072</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2072</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2072</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2072</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2072</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625" style="1893" customWidth="1"/>
    <col min="2" max="2" width="22.5" style="1981" customWidth="1"/>
    <col min="3" max="3" width="12" style="1843"/>
    <col min="4" max="4" width="14.875" style="1843" customWidth="1"/>
    <col min="5" max="5" width="14.625" style="1843" customWidth="1"/>
    <col min="6" max="8" width="12" style="1843"/>
    <col min="9" max="9" width="12.125" style="1843" bestFit="1" customWidth="1"/>
    <col min="10" max="10" width="12" style="1843"/>
    <col min="11" max="11" width="8.125" style="1889" customWidth="1"/>
    <col min="12" max="12" width="19.5" style="1843" customWidth="1"/>
    <col min="13" max="13" width="8.5" style="1843" customWidth="1"/>
    <col min="14" max="14" width="9.62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1924</v>
      </c>
      <c r="B1" s="189"/>
      <c r="C1" s="193" t="s">
        <v>1925</v>
      </c>
      <c r="D1" s="333">
        <f>SUM(D33:D34,D37:D42)</f>
        <v>0</v>
      </c>
      <c r="E1" s="1840"/>
      <c r="F1" s="1840"/>
      <c r="G1" s="1840"/>
      <c r="H1" s="1840"/>
      <c r="I1" s="1840"/>
      <c r="J1" s="1840"/>
      <c r="K1" s="1056"/>
      <c r="L1" s="1841" t="s">
        <v>1926</v>
      </c>
      <c r="M1" s="810">
        <f>SUMPRODUCT((区片价!B5:B9=I2)*(区片价!C3:G3=E2)*(区片价!C5:G9))</f>
        <v>0</v>
      </c>
      <c r="N1" s="813">
        <f>SUMPRODUCT((因素修正幅度!B5:B9=I2)*(因素修正幅度!C3:G3=E2)*(因素修正幅度!C5:G9))</f>
        <v>0</v>
      </c>
      <c r="O1" s="1842"/>
      <c r="P1" s="1842"/>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4" t="s">
        <v>1933</v>
      </c>
      <c r="D2" s="162" t="s">
        <v>1934</v>
      </c>
      <c r="E2" s="3118"/>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0"/>
      <c r="K2" s="1056"/>
      <c r="L2" s="1845" t="s">
        <v>1937</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4" t="s">
        <v>1939</v>
      </c>
      <c r="D3" s="162" t="s">
        <v>1940</v>
      </c>
      <c r="E3" s="3116"/>
      <c r="F3" s="1846"/>
      <c r="G3" s="708">
        <f>IF(F3="宗地容积率",'数据-汇总表'!I4,IF(F3="估价对象容积率",'数据-汇总表'!I6,'数据-汇总表'!I7))</f>
        <v>0</v>
      </c>
      <c r="H3" s="162" t="s">
        <v>1941</v>
      </c>
      <c r="I3" s="729"/>
      <c r="J3" s="1840" t="s">
        <v>1942</v>
      </c>
      <c r="K3" s="1056"/>
      <c r="L3" s="1845" t="s">
        <v>1943</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576"/>
      <c r="B4" s="3577"/>
      <c r="C4" s="3577"/>
      <c r="D4" s="3578"/>
      <c r="E4" s="3578"/>
      <c r="F4" s="3578"/>
      <c r="G4" s="3578"/>
      <c r="H4" s="3578"/>
      <c r="I4" s="3578"/>
      <c r="J4" s="3579"/>
      <c r="K4" s="1056"/>
      <c r="L4" s="1845" t="s">
        <v>1944</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1945</v>
      </c>
      <c r="C5" s="709" t="e">
        <f>ROUND(IF(E2="商业",C6*C7*C17+C20,(IF(E2="住宅",C6*C13*C17+C20,IF(E2="办公",C6*C12*C17+C20,C6+C20)))),0)</f>
        <v>#DIV/0!</v>
      </c>
      <c r="D5" s="1252" t="e">
        <f>ROUND(C6*C17+C20,0)</f>
        <v>#DIV/0!</v>
      </c>
      <c r="E5" s="1252"/>
      <c r="F5" s="1849"/>
      <c r="G5" s="1850"/>
      <c r="H5" s="1850"/>
      <c r="I5" s="1850"/>
      <c r="J5" s="1851"/>
      <c r="K5" s="1852"/>
      <c r="L5" s="1845" t="s">
        <v>1946</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3"/>
      <c r="AD5" s="1854"/>
      <c r="AE5" s="1854"/>
      <c r="AF5" s="1854"/>
      <c r="AG5" s="1854"/>
      <c r="AH5" s="1854"/>
      <c r="AI5" s="1854"/>
      <c r="AJ5" s="1855"/>
    </row>
    <row r="6" spans="1:36" ht="15.75" thickBot="1">
      <c r="A6" s="1857" t="s">
        <v>1947</v>
      </c>
      <c r="B6" s="1858" t="s">
        <v>1948</v>
      </c>
      <c r="C6" s="710">
        <f>SUMIF(L1:L12,G2,M1:M12)</f>
        <v>0</v>
      </c>
      <c r="D6" s="1859"/>
      <c r="E6" s="1860"/>
      <c r="F6" s="1860"/>
      <c r="G6" s="1861"/>
      <c r="H6" s="1861"/>
      <c r="I6" s="1861"/>
      <c r="J6" s="1862"/>
      <c r="K6" s="1292"/>
      <c r="L6" s="1845" t="s">
        <v>1949</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3"/>
      <c r="AD6" s="1854"/>
      <c r="AE6" s="1854"/>
      <c r="AF6" s="1854"/>
      <c r="AG6" s="1854"/>
      <c r="AH6" s="1854"/>
      <c r="AI6" s="1854"/>
      <c r="AJ6" s="1855"/>
    </row>
    <row r="7" spans="1:36" ht="24.75" thickBot="1">
      <c r="A7" s="3010" t="s">
        <v>3238</v>
      </c>
      <c r="B7" s="1863" t="s">
        <v>1950</v>
      </c>
      <c r="C7" s="711" t="e">
        <f>IF(C8="不临65条商业街",1,ROUND(1+(1.6*E8+1.2*E9+0.8*E10+0.4*E11)*C9,4))</f>
        <v>#DIV/0!</v>
      </c>
      <c r="D7" s="1864" t="s">
        <v>1951</v>
      </c>
      <c r="E7" s="730"/>
      <c r="F7" s="1865"/>
      <c r="G7" s="1866"/>
      <c r="H7" s="1866"/>
      <c r="I7" s="1866"/>
      <c r="J7" s="1867"/>
      <c r="K7" s="1292"/>
      <c r="L7" s="1845" t="s">
        <v>1952</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07"/>
      <c r="B8" s="162" t="s">
        <v>1955</v>
      </c>
      <c r="C8" s="1868"/>
      <c r="D8" s="712" t="s">
        <v>112</v>
      </c>
      <c r="E8" s="713" t="e">
        <f>ROUND(C11/E7,4)</f>
        <v>#DIV/0!</v>
      </c>
      <c r="F8" s="1869" t="s">
        <v>1956</v>
      </c>
      <c r="G8" s="1870"/>
      <c r="H8" s="1870"/>
      <c r="I8" s="1870"/>
      <c r="J8" s="1871"/>
      <c r="K8" s="1056"/>
      <c r="L8" s="1845" t="s">
        <v>1957</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573" t="s">
        <v>1958</v>
      </c>
      <c r="X8" s="3574"/>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7"/>
      <c r="B9" s="162" t="s">
        <v>1971</v>
      </c>
      <c r="C9" s="714">
        <f>SUMIF(修正!C71:C138,C8,修正!E71:E138)</f>
        <v>0</v>
      </c>
      <c r="D9" s="163" t="s">
        <v>113</v>
      </c>
      <c r="E9" s="163" t="e">
        <f>ROUND(C11/E7,4)</f>
        <v>#DIV/0!</v>
      </c>
      <c r="F9" s="1869" t="s">
        <v>1972</v>
      </c>
      <c r="G9" s="1870"/>
      <c r="H9" s="1870"/>
      <c r="I9" s="1870"/>
      <c r="J9" s="1871"/>
      <c r="K9" s="1056"/>
      <c r="L9" s="1845" t="s">
        <v>1973</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575"/>
      <c r="X9" s="3062" t="s">
        <v>3269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1974</v>
      </c>
      <c r="C10" s="163">
        <f>SUMIF(修正!C71:C138,C8,修正!F71:F138)</f>
        <v>0</v>
      </c>
      <c r="D10" s="163" t="s">
        <v>114</v>
      </c>
      <c r="E10" s="163" t="e">
        <f>ROUND(C11/E7,4)</f>
        <v>#DIV/0!</v>
      </c>
      <c r="F10" s="1869" t="s">
        <v>1975</v>
      </c>
      <c r="G10" s="1870"/>
      <c r="H10" s="1870"/>
      <c r="I10" s="1870"/>
      <c r="J10" s="1871"/>
      <c r="K10" s="1056"/>
      <c r="L10" s="1845"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57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1977</v>
      </c>
      <c r="C11" s="715">
        <f>C10/4</f>
        <v>0</v>
      </c>
      <c r="D11" s="715" t="s">
        <v>115</v>
      </c>
      <c r="E11" s="715" t="e">
        <f>ROUND(C11/E7,4)</f>
        <v>#DIV/0!</v>
      </c>
      <c r="F11" s="1873" t="s">
        <v>1978</v>
      </c>
      <c r="G11" s="1874"/>
      <c r="H11" s="1874"/>
      <c r="I11" s="1874"/>
      <c r="J11" s="1875"/>
      <c r="K11" s="1056"/>
      <c r="L11" s="1845"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3239</v>
      </c>
      <c r="B12" s="3011" t="s">
        <v>3240</v>
      </c>
      <c r="C12" s="3012"/>
      <c r="D12" s="3013" t="s">
        <v>3241</v>
      </c>
      <c r="E12" s="3014" t="s">
        <v>3242</v>
      </c>
      <c r="F12" s="3015"/>
      <c r="G12" s="3016"/>
      <c r="H12" s="3016"/>
      <c r="I12" s="3016"/>
      <c r="J12" s="3017"/>
      <c r="K12" s="1056"/>
      <c r="L12" s="1794"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3243</v>
      </c>
      <c r="B13" s="1876" t="s">
        <v>1980</v>
      </c>
      <c r="C13" s="711">
        <f>ROUND(C16*D16*E16*F16*G16*H16*I16*J16,4)</f>
        <v>0</v>
      </c>
      <c r="D13" s="1877" t="s">
        <v>1981</v>
      </c>
      <c r="E13" s="1878"/>
      <c r="F13" s="1878"/>
      <c r="G13" s="1879"/>
      <c r="H13" s="1879"/>
      <c r="I13" s="1879"/>
      <c r="J13" s="1880"/>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1" t="s">
        <v>1983</v>
      </c>
      <c r="C14" s="1882" t="s">
        <v>1984</v>
      </c>
      <c r="D14" s="1261" t="s">
        <v>1985</v>
      </c>
      <c r="E14" s="27" t="s">
        <v>1986</v>
      </c>
      <c r="F14" s="3018" t="s">
        <v>3244</v>
      </c>
      <c r="G14" s="3018" t="s">
        <v>3244</v>
      </c>
      <c r="H14" s="3018" t="s">
        <v>3244</v>
      </c>
      <c r="I14" s="3018" t="s">
        <v>3244</v>
      </c>
      <c r="J14" s="3018" t="s">
        <v>3244</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3"/>
      <c r="C15" s="1884"/>
      <c r="D15" s="1885"/>
      <c r="E15" s="1886"/>
      <c r="F15" s="1470" t="s">
        <v>3245</v>
      </c>
      <c r="G15" s="1926"/>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1987</v>
      </c>
      <c r="C16" s="3022"/>
      <c r="D16" s="3022"/>
      <c r="E16" s="3022"/>
      <c r="F16" s="3022">
        <v>1</v>
      </c>
      <c r="G16" s="3022">
        <v>1</v>
      </c>
      <c r="H16" s="3022">
        <v>1</v>
      </c>
      <c r="I16" s="3022">
        <v>1</v>
      </c>
      <c r="J16" s="3023">
        <v>1</v>
      </c>
      <c r="K16" s="1056"/>
      <c r="L16" s="1842"/>
      <c r="M16" s="1842"/>
      <c r="N16" s="1842"/>
      <c r="O16" s="1842"/>
      <c r="P16" s="1842"/>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3246</v>
      </c>
      <c r="B17" s="3025" t="s">
        <v>3247</v>
      </c>
      <c r="C17" s="3034">
        <f>ROUND(IF(OR(E2="工业",E2="公共服务"),1,IF(AND(E18=0,E19=0),1,IF(AND(E18=J24,E19=G19),0.8,IF(E19=0,1+E17*(-0.2),1+E17*G17*(-0.2))))),4)</f>
        <v>1</v>
      </c>
      <c r="D17" s="3026" t="s">
        <v>3248</v>
      </c>
      <c r="E17" s="3034" t="e">
        <f>ROUND(G18/I18,2)</f>
        <v>#DIV/0!</v>
      </c>
      <c r="F17" s="3026" t="s">
        <v>3251</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3249</v>
      </c>
      <c r="E18" s="2354"/>
      <c r="F18" s="3028" t="s">
        <v>3252</v>
      </c>
      <c r="G18" s="3032">
        <f>ROUND(1-(1/(POWER(1+G24,E18))),4)</f>
        <v>0</v>
      </c>
      <c r="H18" s="3028" t="s">
        <v>3254</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3250</v>
      </c>
      <c r="E19" s="3041"/>
      <c r="F19" s="3042" t="s">
        <v>3253</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80" t="s">
        <v>3255</v>
      </c>
      <c r="B20" s="159" t="s">
        <v>1992</v>
      </c>
      <c r="C20" s="3029" t="e">
        <f>ROUND(IF(F21="与级别开发程度一致",0,(G21-E21)/C21),0)</f>
        <v>#DIV/0!</v>
      </c>
      <c r="D20" s="3044" t="s">
        <v>1996</v>
      </c>
      <c r="E20" s="3045"/>
      <c r="F20" s="3586" t="s">
        <v>1993</v>
      </c>
      <c r="G20" s="3587"/>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81"/>
      <c r="B21" s="2000" t="s">
        <v>1995</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1998</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1999</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2000</v>
      </c>
      <c r="E23" s="717">
        <v>44197</v>
      </c>
      <c r="F23" s="1894" t="s">
        <v>2001</v>
      </c>
      <c r="G23" s="718">
        <f>'数据-取费表'!B2</f>
        <v>45221</v>
      </c>
      <c r="H23" s="3046" t="s">
        <v>3257</v>
      </c>
      <c r="I23" s="3047" t="str">
        <f>IF(H23="季度增幅（自定义）",SUMIF(N25:N28,E2,O25:O28),"")</f>
        <v/>
      </c>
      <c r="J23" s="3139" t="s">
        <v>3256</v>
      </c>
      <c r="K23" s="1061"/>
      <c r="L23" s="1895" t="s">
        <v>2002</v>
      </c>
      <c r="M23" s="1241">
        <f>ROUND(SUMIF(地价!B2:G2,E2,地价!B16:G16),0)</f>
        <v>0</v>
      </c>
      <c r="N23" s="1896" t="s">
        <v>2003</v>
      </c>
      <c r="O23" s="719">
        <f>ROUNDDOWN(DATEDIF(E23,G23,"M")/3,0)</f>
        <v>11</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2004</v>
      </c>
      <c r="C24" s="720" t="e">
        <f>ROUND(POWER(1+G24,J24-I24)*(POWER(1+G24,I24)-1)/(POWER(1+G24,J24)-1),4)</f>
        <v>#DIV/0!</v>
      </c>
      <c r="D24" s="1900" t="s">
        <v>2005</v>
      </c>
      <c r="E24" s="1248">
        <f>存贷款利率!E22/100</f>
        <v>4.3499999999999997E-2</v>
      </c>
      <c r="F24" s="1900" t="s">
        <v>1997</v>
      </c>
      <c r="G24" s="724">
        <f>SUMIF(M30:Q30,E2,M33:Q33)</f>
        <v>0</v>
      </c>
      <c r="H24" s="1900" t="s">
        <v>2006</v>
      </c>
      <c r="I24" s="725" t="e">
        <f>SUMIF('数据-取费表'!C6:C15,E2,'数据-取费表'!F6:F15)/COUNTIF('数据-取费表'!C6:C15,E2)</f>
        <v>#DIV/0!</v>
      </c>
      <c r="J24" s="726">
        <f>IF(E2="住宅",70,IF(E2="商业",40,50))</f>
        <v>50</v>
      </c>
      <c r="K24" s="1061"/>
      <c r="L24" s="1901" t="s">
        <v>2007</v>
      </c>
      <c r="M24" s="1242">
        <f>ROUND(SUMPRODUCT((地价!A4:A16=YEAR(G23)&amp;"-"&amp;ROUNDUP(MONTH(G23)/3,0))*(地价!B2:G2=E2)*(地价!B4:G16)),0)</f>
        <v>0</v>
      </c>
      <c r="N24" s="1902" t="s">
        <v>2008</v>
      </c>
      <c r="O24" s="1903" t="s">
        <v>2009</v>
      </c>
      <c r="P24" s="1904" t="s">
        <v>2010</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3336</v>
      </c>
      <c r="C25" s="461">
        <f>IF(B25="容积率修正",IF(G3&lt;10,D26,J26),C27)</f>
        <v>0</v>
      </c>
      <c r="D25" s="1907"/>
      <c r="E25" s="1907"/>
      <c r="F25" s="1907"/>
      <c r="G25" s="1907"/>
      <c r="H25" s="1907"/>
      <c r="I25" s="1907"/>
      <c r="J25" s="1908"/>
      <c r="K25" s="1061"/>
      <c r="L25" s="2550"/>
      <c r="M25" s="2550"/>
      <c r="N25" s="1909" t="s">
        <v>2011</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2012</v>
      </c>
      <c r="B26" s="1910" t="s">
        <v>2013</v>
      </c>
      <c r="C26" s="1910"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61"/>
      <c r="L26" s="2550"/>
      <c r="M26" s="2550"/>
      <c r="N26" s="1909" t="s">
        <v>2014</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2015</v>
      </c>
      <c r="B27" s="1911" t="s">
        <v>2016</v>
      </c>
      <c r="C27" s="791">
        <f>ROUND(IF(I3&lt;6,SUMPRODUCT((B106:B110=I3)*(C105:N105=G2)*(C106:N110)),SUMIF(C105:N105,G2,C112:N112)),4)</f>
        <v>0</v>
      </c>
      <c r="D27" s="1840"/>
      <c r="E27" s="1840"/>
      <c r="F27" s="1912"/>
      <c r="G27" s="1913"/>
      <c r="H27" s="1914"/>
      <c r="I27" s="1915"/>
      <c r="J27" s="1916"/>
      <c r="K27" s="1056"/>
      <c r="L27" s="1842"/>
      <c r="M27" s="1842"/>
      <c r="N27" s="1909" t="s">
        <v>2017</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2018</v>
      </c>
      <c r="C28" s="716">
        <f>SUMIF(A47:A101,E2,B47:B101)</f>
        <v>0</v>
      </c>
      <c r="D28" s="1892"/>
      <c r="E28" s="1917"/>
      <c r="F28" s="1917"/>
      <c r="G28" s="1917"/>
      <c r="H28" s="1917"/>
      <c r="I28" s="1917"/>
      <c r="J28" s="1918"/>
      <c r="K28" s="1061"/>
      <c r="L28" s="2550"/>
      <c r="M28" s="2550"/>
      <c r="N28" s="1919"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2020</v>
      </c>
      <c r="C29" s="721"/>
      <c r="D29" s="1866"/>
      <c r="E29" s="1866"/>
      <c r="F29" s="1921"/>
      <c r="G29" s="1866"/>
      <c r="H29" s="1866"/>
      <c r="I29" s="1866"/>
      <c r="J29" s="1867"/>
      <c r="K29" s="1056"/>
      <c r="L29" s="1842"/>
      <c r="M29" s="1842"/>
      <c r="N29" s="2547" t="s">
        <v>2021</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2022</v>
      </c>
      <c r="C30" s="2143" t="e">
        <f>IF(B25="容积率修正",E33+SUM(E37:E42),SUM(V2:V16)+SUM(E37:E42))</f>
        <v>#DIV/0!</v>
      </c>
      <c r="D30" s="1923"/>
      <c r="E30" s="1840"/>
      <c r="F30" s="1924"/>
      <c r="G30" s="1840"/>
      <c r="H30" s="1840"/>
      <c r="I30" s="1840"/>
      <c r="J30" s="1925"/>
      <c r="K30" s="1056"/>
      <c r="L30" s="3053" t="s">
        <v>1934</v>
      </c>
      <c r="M30" s="3054" t="s">
        <v>1988</v>
      </c>
      <c r="N30" s="3054" t="s">
        <v>1989</v>
      </c>
      <c r="O30" s="3054" t="s">
        <v>1990</v>
      </c>
      <c r="P30" s="3054" t="s">
        <v>1991</v>
      </c>
      <c r="Q30" s="3057" t="s">
        <v>3263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2023</v>
      </c>
      <c r="C31" s="722" t="e">
        <f>E34+SUM(I37:I42)</f>
        <v>#DIV/0!</v>
      </c>
      <c r="D31" s="1927"/>
      <c r="E31" s="1928"/>
      <c r="F31" s="1929"/>
      <c r="G31" s="1928"/>
      <c r="H31" s="1928"/>
      <c r="I31" s="1928"/>
      <c r="J31" s="1930"/>
      <c r="K31" s="1056"/>
      <c r="L31" s="3055" t="s">
        <v>1994</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2024</v>
      </c>
      <c r="C32" s="1933" t="s">
        <v>2025</v>
      </c>
      <c r="D32" s="1933" t="s">
        <v>2026</v>
      </c>
      <c r="E32" s="1934" t="s">
        <v>2027</v>
      </c>
      <c r="F32" s="1935"/>
      <c r="G32" s="1879"/>
      <c r="H32" s="1879"/>
      <c r="I32" s="1879"/>
      <c r="J32" s="1880"/>
      <c r="K32" s="1056"/>
      <c r="L32" s="3056" t="s">
        <v>1997</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2028</v>
      </c>
      <c r="C33" s="167" t="e">
        <f>ROUND(C5*C22*C23*C24*C25*C28,0)</f>
        <v>#DIV/0!</v>
      </c>
      <c r="D33" s="1938"/>
      <c r="E33" s="727" t="e">
        <f>ROUND(C33*D33/10000,0)</f>
        <v>#DIV/0!</v>
      </c>
      <c r="F33" s="3048" t="s">
        <v>3261</v>
      </c>
      <c r="G33" s="1939"/>
      <c r="H33" s="1939"/>
      <c r="I33" s="1939"/>
      <c r="J33" s="1940"/>
      <c r="K33" s="1056"/>
      <c r="L33" s="3051" t="s">
        <v>3264</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2029</v>
      </c>
      <c r="C34" s="179" t="e">
        <f>ROUND(IF(E2="工业",C33*M42,IF(B25="楼层修正",SUM(V2:V16)*M41*10000/D34,C33*M41)),0)</f>
        <v>#DIV/0!</v>
      </c>
      <c r="D34" s="1943"/>
      <c r="E34" s="727" t="e">
        <f>ROUND(IF(B25="楼层修正",SUM(V2:V16)*M40,C34*D34/10000),0)</f>
        <v>#DIV/0!</v>
      </c>
      <c r="F34" s="1944" t="s">
        <v>2030</v>
      </c>
      <c r="G34" s="1945"/>
      <c r="H34" s="1945"/>
      <c r="I34" s="1945"/>
      <c r="J34" s="1946"/>
      <c r="K34" s="1056"/>
      <c r="L34" s="3051" t="s">
        <v>3265</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2031</v>
      </c>
      <c r="C35" s="3049" t="s">
        <v>3262</v>
      </c>
      <c r="D35" s="1879"/>
      <c r="E35" s="1949"/>
      <c r="F35" s="1949"/>
      <c r="G35" s="1877" t="s">
        <v>2032</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2025</v>
      </c>
      <c r="D36" s="433" t="s">
        <v>2026</v>
      </c>
      <c r="E36" s="433" t="s">
        <v>2027</v>
      </c>
      <c r="F36" s="333" t="s">
        <v>2033</v>
      </c>
      <c r="G36" s="1952" t="s">
        <v>2025</v>
      </c>
      <c r="H36" s="1952" t="s">
        <v>2026</v>
      </c>
      <c r="I36" s="1952" t="s">
        <v>2027</v>
      </c>
      <c r="J36" s="235"/>
      <c r="K36" s="1962" t="s">
        <v>3266</v>
      </c>
      <c r="L36" s="3140" t="e">
        <f ca="1">'数据-取费表'!B40</f>
        <v>#VALUE!</v>
      </c>
      <c r="M36" s="2363" t="e">
        <f ca="1">ROUND($L$36*(1+M31),3)</f>
        <v>#VALUE!</v>
      </c>
      <c r="N36" s="2363" t="e">
        <f ca="1">ROUND($L$36*(1+N31),3)</f>
        <v>#VALUE!</v>
      </c>
      <c r="O36" s="2363" t="e">
        <f ca="1">ROUND($L$36*(1+O31),3)</f>
        <v>#VALUE!</v>
      </c>
      <c r="P36" s="2363" t="e">
        <f ca="1">ROUND($L$36*(1+P31),3)</f>
        <v>#VALUE!</v>
      </c>
      <c r="Q36" s="2363"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84"/>
      <c r="B37" s="1953" t="s">
        <v>2034</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3267</v>
      </c>
      <c r="L37" s="1962" t="e">
        <f ca="1">L36+K38</f>
        <v>#VALUE!</v>
      </c>
      <c r="M37" s="2363" t="e">
        <f ca="1">ROUND($L$37*(1+M31),3)</f>
        <v>#VALUE!</v>
      </c>
      <c r="N37" s="2363" t="e">
        <f t="shared" ref="N37:Q37" ca="1" si="3">ROUND($L$37*(1+N31),3)</f>
        <v>#VALUE!</v>
      </c>
      <c r="O37" s="2363" t="e">
        <f t="shared" ca="1" si="3"/>
        <v>#VALUE!</v>
      </c>
      <c r="P37" s="2363" t="e">
        <f t="shared" ca="1" si="3"/>
        <v>#VALUE!</v>
      </c>
      <c r="Q37" s="2363"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85"/>
      <c r="B38" s="1882" t="s">
        <v>2035</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85"/>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2036</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2037</v>
      </c>
      <c r="M40" s="1956"/>
      <c r="Z40" s="1057"/>
      <c r="AA40" s="1057"/>
      <c r="AB40" s="1057"/>
      <c r="AC40" s="1057"/>
      <c r="AD40" s="1057"/>
      <c r="AE40" s="1057"/>
      <c r="AF40" s="1057"/>
      <c r="AG40" s="1057"/>
      <c r="AH40" s="1057"/>
      <c r="AI40" s="1057"/>
      <c r="AJ40" s="1057"/>
    </row>
    <row r="41" spans="1:37" s="1056" customFormat="1">
      <c r="A41" s="1954"/>
      <c r="B41" s="1882" t="s">
        <v>2038</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3268</v>
      </c>
      <c r="M41" s="1957">
        <v>0.25</v>
      </c>
      <c r="Z41" s="1057"/>
      <c r="AA41" s="1057"/>
      <c r="AB41" s="1057"/>
      <c r="AC41" s="1057"/>
      <c r="AD41" s="1057"/>
      <c r="AE41" s="1057"/>
      <c r="AF41" s="1057"/>
      <c r="AG41" s="1057"/>
      <c r="AH41" s="1057"/>
      <c r="AI41" s="1057"/>
      <c r="AJ41" s="1057"/>
    </row>
    <row r="42" spans="1:37" s="1056" customFormat="1" ht="13.5" thickBot="1">
      <c r="A42" s="1941"/>
      <c r="B42" s="1958" t="s">
        <v>2039</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1991</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2120</v>
      </c>
      <c r="C44" s="333" t="e">
        <f>ROUND(POWER(1+E44,H44-G44)*(POWER(1+E44,G44)-1)/(POWER(1+E44,H44)-1),4)</f>
        <v>#DIV/0!</v>
      </c>
      <c r="D44" s="163" t="s">
        <v>1997</v>
      </c>
      <c r="E44" s="1989">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2040</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2041</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2042</v>
      </c>
      <c r="B49" s="1262" t="s">
        <v>2043</v>
      </c>
      <c r="C49" s="1262" t="s">
        <v>2044</v>
      </c>
      <c r="D49" s="1262" t="s">
        <v>2045</v>
      </c>
      <c r="E49" s="701" t="s">
        <v>2046</v>
      </c>
      <c r="F49" s="1969" t="s">
        <v>2047</v>
      </c>
      <c r="G49" s="1262" t="s">
        <v>310</v>
      </c>
      <c r="H49" s="1970"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68" t="s">
        <v>2050</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2051</v>
      </c>
      <c r="B51" s="1262" t="str">
        <f>估价对象房地状况!C18</f>
        <v>估价对象周边道路状况、公共交通通达情况、停车便捷程度，综合评价交通便捷度较好</v>
      </c>
      <c r="C51" s="1885"/>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3270</v>
      </c>
      <c r="B52" s="1262">
        <f>估价对象房地状况!C19</f>
        <v>0</v>
      </c>
      <c r="C52" s="1885"/>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2052</v>
      </c>
      <c r="B53" s="1972" t="s">
        <v>2053</v>
      </c>
      <c r="C53" s="1885"/>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2054</v>
      </c>
      <c r="B54" s="1262">
        <f>估价对象房地状况!C24</f>
        <v>0</v>
      </c>
      <c r="C54" s="1885"/>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2055</v>
      </c>
      <c r="B55" s="1973" t="s">
        <v>2056</v>
      </c>
      <c r="C55" s="1885"/>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2057</v>
      </c>
      <c r="B56" s="1240" t="str">
        <f>估价对象房地状况!C21</f>
        <v>估价对象所在区域公共配套设施齐备情况</v>
      </c>
      <c r="C56" s="1885"/>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2058</v>
      </c>
      <c r="B57" s="1262" t="str">
        <f>估价对象房地状况!C22</f>
        <v>估价对象所在区域基础设施水平</v>
      </c>
      <c r="C57" s="1885"/>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2059</v>
      </c>
      <c r="B58" s="1976" t="str">
        <f>估价对象房地状况!C20</f>
        <v>区域自然环境：；人文环境；综合评价环境状况一般</v>
      </c>
      <c r="C58" s="1885"/>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2060</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2042</v>
      </c>
      <c r="B60" s="1262"/>
      <c r="C60" s="1262" t="s">
        <v>2044</v>
      </c>
      <c r="D60" s="1262" t="s">
        <v>2045</v>
      </c>
      <c r="E60" s="701" t="s">
        <v>2046</v>
      </c>
      <c r="F60" s="1969" t="s">
        <v>2061</v>
      </c>
      <c r="G60" s="1262" t="s">
        <v>310</v>
      </c>
      <c r="H60" s="1970"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68" t="s">
        <v>2062</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2051</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3270</v>
      </c>
      <c r="B63" s="1262">
        <f>估价对象房地状况!C19</f>
        <v>0</v>
      </c>
      <c r="C63" s="1885"/>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2052</v>
      </c>
      <c r="B64" s="1972" t="s">
        <v>2053</v>
      </c>
      <c r="C64" s="1885"/>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2054</v>
      </c>
      <c r="B65" s="1262">
        <f>估价对象房地状况!C24</f>
        <v>0</v>
      </c>
      <c r="C65" s="1885"/>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2055</v>
      </c>
      <c r="B66" s="1973" t="s">
        <v>2056</v>
      </c>
      <c r="C66" s="1885"/>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2057</v>
      </c>
      <c r="B67" s="1240" t="str">
        <f>估价对象房地状况!C21</f>
        <v>估价对象所在区域公共配套设施齐备情况</v>
      </c>
      <c r="C67" s="1885"/>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2058</v>
      </c>
      <c r="B68" s="1240" t="str">
        <f>估价对象房地状况!C22</f>
        <v>估价对象所在区域基础设施水平</v>
      </c>
      <c r="C68" s="1885"/>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2059</v>
      </c>
      <c r="B69" s="1977" t="str">
        <f>估价对象房地状况!C20</f>
        <v>区域自然环境：；人文环境；综合评价环境状况一般</v>
      </c>
      <c r="C69" s="1885"/>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2063</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2042</v>
      </c>
      <c r="B71" s="1262"/>
      <c r="C71" s="1262" t="s">
        <v>2044</v>
      </c>
      <c r="D71" s="1262" t="s">
        <v>2045</v>
      </c>
      <c r="E71" s="701" t="s">
        <v>2046</v>
      </c>
      <c r="F71" s="1969" t="s">
        <v>2061</v>
      </c>
      <c r="G71" s="1262" t="s">
        <v>310</v>
      </c>
      <c r="H71" s="1970"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8" t="s">
        <v>2064</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2051</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3270</v>
      </c>
      <c r="B74" s="1262">
        <f>估价对象房地状况!C19</f>
        <v>0</v>
      </c>
      <c r="C74" s="1885"/>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2065</v>
      </c>
      <c r="B75" s="1262">
        <f>估价对象房地状况!C24</f>
        <v>0</v>
      </c>
      <c r="C75" s="1885"/>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2057</v>
      </c>
      <c r="B76" s="1240" t="str">
        <f>估价对象房地状况!C21</f>
        <v>估价对象所在区域公共配套设施齐备情况</v>
      </c>
      <c r="C76" s="1885"/>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2058</v>
      </c>
      <c r="B77" s="1240" t="str">
        <f>估价对象房地状况!C22</f>
        <v>估价对象所在区域基础设施水平</v>
      </c>
      <c r="C77" s="1885"/>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2055</v>
      </c>
      <c r="B78" s="1973" t="s">
        <v>2056</v>
      </c>
      <c r="C78" s="1885"/>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2059</v>
      </c>
      <c r="B79" s="1971" t="str">
        <f>估价对象房地状况!C20</f>
        <v>区域自然环境：；人文环境；综合评价环境状况一般</v>
      </c>
      <c r="C79" s="1885"/>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2066</v>
      </c>
      <c r="B80" s="1979"/>
      <c r="C80" s="1885"/>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2067</v>
      </c>
      <c r="B81" s="1966">
        <f>1+E83</f>
        <v>1</v>
      </c>
      <c r="C81" s="699"/>
      <c r="D81" s="699"/>
      <c r="E81" s="700"/>
      <c r="F81" s="1967"/>
      <c r="G81" s="3"/>
      <c r="H81" s="3"/>
      <c r="I81" s="3"/>
      <c r="J81" s="4"/>
      <c r="K81" s="4"/>
      <c r="L81" s="4"/>
      <c r="M81" s="4"/>
      <c r="N81" s="4"/>
      <c r="Z81" s="1843"/>
      <c r="AA81" s="1893"/>
      <c r="AG81" s="1058"/>
      <c r="AK81" s="1893"/>
    </row>
    <row r="82" spans="1:37" ht="24.75">
      <c r="A82" s="1968" t="s">
        <v>2042</v>
      </c>
      <c r="B82" s="1262"/>
      <c r="C82" s="1262" t="s">
        <v>2044</v>
      </c>
      <c r="D82" s="1262" t="s">
        <v>2045</v>
      </c>
      <c r="E82" s="701" t="s">
        <v>2046</v>
      </c>
      <c r="F82" s="1969" t="s">
        <v>2061</v>
      </c>
      <c r="G82" s="1262" t="s">
        <v>310</v>
      </c>
      <c r="H82" s="1970" t="s">
        <v>2048</v>
      </c>
      <c r="I82" s="1262" t="s">
        <v>2049</v>
      </c>
      <c r="J82" s="530" t="s">
        <v>1719</v>
      </c>
      <c r="K82" s="530" t="s">
        <v>1720</v>
      </c>
      <c r="L82" s="530" t="s">
        <v>1721</v>
      </c>
      <c r="M82" s="530" t="s">
        <v>1722</v>
      </c>
      <c r="N82" s="530" t="s">
        <v>1723</v>
      </c>
      <c r="Z82" s="1843"/>
      <c r="AA82" s="1893"/>
      <c r="AG82" s="1058"/>
      <c r="AK82" s="1893"/>
    </row>
    <row r="83" spans="1:37" ht="38.25">
      <c r="A83" s="1968" t="s">
        <v>2068</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2051</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3271</v>
      </c>
      <c r="B85" s="1262">
        <f>估价对象房地状况!G17</f>
        <v>0</v>
      </c>
      <c r="C85" s="1885"/>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2065</v>
      </c>
      <c r="B86" s="1262">
        <f>估价对象房地状况!G22</f>
        <v>0</v>
      </c>
      <c r="C86" s="1885"/>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2057</v>
      </c>
      <c r="B87" s="1240" t="str">
        <f>估价对象房地状况!G19</f>
        <v>估价对象所在区域公共配套设施齐备情况</v>
      </c>
      <c r="C87" s="1885"/>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8" t="s">
        <v>2058</v>
      </c>
      <c r="B88" s="1240" t="str">
        <f>估价对象房地状况!G20</f>
        <v>估价对象所在区域基础设施水平</v>
      </c>
      <c r="C88" s="1885"/>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8" t="s">
        <v>2055</v>
      </c>
      <c r="B89" s="1973" t="s">
        <v>2069</v>
      </c>
      <c r="C89" s="1885"/>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2070</v>
      </c>
      <c r="B90" s="1980" t="str">
        <f>估价对象房地状况!G18</f>
        <v>该园区内是否有污染型企业，绿化情况，卫生条件，整体环境状况判断</v>
      </c>
      <c r="C90" s="1885"/>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2609</v>
      </c>
      <c r="B91" s="3077">
        <f>1+E93</f>
        <v>1</v>
      </c>
      <c r="C91" s="3070"/>
      <c r="D91" s="3071"/>
      <c r="E91" s="1675"/>
      <c r="F91" s="1675"/>
      <c r="G91" s="3072"/>
      <c r="H91" s="3073"/>
      <c r="I91" s="3074"/>
      <c r="J91" s="3075"/>
      <c r="K91" s="3075"/>
      <c r="L91" s="3075"/>
      <c r="M91" s="3075"/>
      <c r="N91" s="3075"/>
    </row>
    <row r="92" spans="1:37" ht="24.75">
      <c r="A92" s="3078" t="s">
        <v>3272</v>
      </c>
      <c r="B92" s="2307"/>
      <c r="C92" s="2307" t="s">
        <v>3281</v>
      </c>
      <c r="D92" s="2307" t="s">
        <v>3282</v>
      </c>
      <c r="E92" s="3050" t="s">
        <v>3283</v>
      </c>
      <c r="F92" s="3080" t="s">
        <v>3284</v>
      </c>
      <c r="G92" s="2307" t="s">
        <v>3285</v>
      </c>
      <c r="H92" s="3087" t="s">
        <v>3288</v>
      </c>
      <c r="I92" s="2307" t="s">
        <v>3289</v>
      </c>
      <c r="J92" s="2148" t="s">
        <v>3290</v>
      </c>
      <c r="K92" s="2148" t="s">
        <v>3291</v>
      </c>
      <c r="L92" s="2148" t="s">
        <v>3292</v>
      </c>
      <c r="M92" s="2148" t="s">
        <v>3293</v>
      </c>
      <c r="N92" s="2148" t="s">
        <v>3294</v>
      </c>
    </row>
    <row r="93" spans="1:37" ht="24">
      <c r="A93" s="3068" t="s">
        <v>3273</v>
      </c>
      <c r="B93" s="1221"/>
      <c r="C93" s="1885"/>
      <c r="D93" s="2307">
        <f>SUMIF($J$92:$N$92,C93,J93:N93)</f>
        <v>0</v>
      </c>
      <c r="E93" s="3081">
        <f>ROUND(SUM(D93:D101),4)</f>
        <v>0</v>
      </c>
      <c r="F93" s="1675"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3274</v>
      </c>
      <c r="B94" s="3069" t="str">
        <f>估价对象房地状况!C18</f>
        <v>估价对象周边道路状况、公共交通通达情况、停车便捷程度，综合评价交通便捷度较好</v>
      </c>
      <c r="C94" s="1885"/>
      <c r="D94" s="2307">
        <f t="shared" ref="D94:D101" si="30">SUMIF($J$60:$N$60,C94,J94:N94)</f>
        <v>0</v>
      </c>
      <c r="E94" s="3082"/>
      <c r="F94" s="1675"/>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3270</v>
      </c>
      <c r="B95" s="3069">
        <f>估价对象房地状况!C19</f>
        <v>0</v>
      </c>
      <c r="C95" s="1885"/>
      <c r="D95" s="2307">
        <f t="shared" si="30"/>
        <v>0</v>
      </c>
      <c r="E95" s="3082"/>
      <c r="F95" s="1675"/>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3275</v>
      </c>
      <c r="B96" s="3084" t="s">
        <v>3286</v>
      </c>
      <c r="C96" s="1885"/>
      <c r="D96" s="2307">
        <f t="shared" si="30"/>
        <v>0</v>
      </c>
      <c r="E96" s="3082"/>
      <c r="F96" s="1675"/>
      <c r="G96" s="3072"/>
      <c r="H96" s="3117" t="str">
        <f t="shared" si="31"/>
        <v>——</v>
      </c>
      <c r="I96" s="3066">
        <v>0.05</v>
      </c>
      <c r="J96" s="1910">
        <f t="shared" si="27"/>
        <v>0</v>
      </c>
      <c r="K96" s="1910">
        <f t="shared" si="28"/>
        <v>0</v>
      </c>
      <c r="L96" s="1910">
        <v>0</v>
      </c>
      <c r="M96" s="1910">
        <f t="shared" si="29"/>
        <v>0</v>
      </c>
      <c r="N96" s="1910">
        <f t="shared" si="29"/>
        <v>0</v>
      </c>
    </row>
    <row r="97" spans="1:14" ht="24">
      <c r="A97" s="3078" t="s">
        <v>3276</v>
      </c>
      <c r="B97" s="3069">
        <f>估价对象房地状况!C24</f>
        <v>0</v>
      </c>
      <c r="C97" s="1885"/>
      <c r="D97" s="2307">
        <f t="shared" si="30"/>
        <v>0</v>
      </c>
      <c r="E97" s="3082"/>
      <c r="F97" s="1675"/>
      <c r="G97" s="3072"/>
      <c r="H97" s="3117" t="str">
        <f t="shared" si="31"/>
        <v>——</v>
      </c>
      <c r="I97" s="3066">
        <v>0.05</v>
      </c>
      <c r="J97" s="1910">
        <f t="shared" si="27"/>
        <v>0</v>
      </c>
      <c r="K97" s="1910">
        <f t="shared" si="28"/>
        <v>0</v>
      </c>
      <c r="L97" s="1910">
        <v>0</v>
      </c>
      <c r="M97" s="1910">
        <f t="shared" si="29"/>
        <v>0</v>
      </c>
      <c r="N97" s="1910">
        <f t="shared" si="29"/>
        <v>0</v>
      </c>
    </row>
    <row r="98" spans="1:14" ht="24">
      <c r="A98" s="3078" t="s">
        <v>3277</v>
      </c>
      <c r="B98" s="3085" t="s">
        <v>3287</v>
      </c>
      <c r="C98" s="1885"/>
      <c r="D98" s="2307">
        <f t="shared" si="30"/>
        <v>0</v>
      </c>
      <c r="E98" s="3082"/>
      <c r="F98" s="1675"/>
      <c r="G98" s="3072"/>
      <c r="H98" s="3117" t="str">
        <f t="shared" si="31"/>
        <v>——</v>
      </c>
      <c r="I98" s="3066">
        <v>0.06</v>
      </c>
      <c r="J98" s="1910">
        <f t="shared" si="27"/>
        <v>0</v>
      </c>
      <c r="K98" s="1910">
        <f t="shared" si="28"/>
        <v>0</v>
      </c>
      <c r="L98" s="1910">
        <v>0</v>
      </c>
      <c r="M98" s="1910">
        <f t="shared" si="29"/>
        <v>0</v>
      </c>
      <c r="N98" s="1910">
        <f t="shared" si="29"/>
        <v>0</v>
      </c>
    </row>
    <row r="99" spans="1:14" ht="25.5">
      <c r="A99" s="3078" t="s">
        <v>3278</v>
      </c>
      <c r="B99" s="3069" t="str">
        <f>估价对象房地状况!C21</f>
        <v>估价对象所在区域公共配套设施齐备情况</v>
      </c>
      <c r="C99" s="1885"/>
      <c r="D99" s="2307">
        <f t="shared" si="30"/>
        <v>0</v>
      </c>
      <c r="E99" s="3082"/>
      <c r="F99" s="1675"/>
      <c r="G99" s="3072"/>
      <c r="H99" s="3117" t="str">
        <f t="shared" si="31"/>
        <v>——</v>
      </c>
      <c r="I99" s="3066">
        <v>0.06</v>
      </c>
      <c r="J99" s="1910">
        <f t="shared" si="27"/>
        <v>0</v>
      </c>
      <c r="K99" s="1910">
        <f t="shared" si="28"/>
        <v>0</v>
      </c>
      <c r="L99" s="1910">
        <v>0</v>
      </c>
      <c r="M99" s="1910">
        <f t="shared" si="29"/>
        <v>0</v>
      </c>
      <c r="N99" s="1910">
        <f t="shared" si="29"/>
        <v>0</v>
      </c>
    </row>
    <row r="100" spans="1:14" ht="25.5">
      <c r="A100" s="3078" t="s">
        <v>3279</v>
      </c>
      <c r="B100" s="3069" t="str">
        <f>估价对象房地状况!C22</f>
        <v>估价对象所在区域基础设施水平</v>
      </c>
      <c r="C100" s="1885"/>
      <c r="D100" s="2307">
        <f t="shared" si="30"/>
        <v>0</v>
      </c>
      <c r="E100" s="3082"/>
      <c r="F100" s="1675"/>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3280</v>
      </c>
      <c r="B101" s="3086" t="str">
        <f>估价对象房地状况!C20</f>
        <v>区域自然环境：；人文环境；综合评价环境状况一般</v>
      </c>
      <c r="C101" s="1885"/>
      <c r="D101" s="2307">
        <f t="shared" si="30"/>
        <v>0</v>
      </c>
      <c r="E101" s="3083"/>
      <c r="F101" s="1675"/>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82" t="s">
        <v>3295</v>
      </c>
      <c r="B103" s="3582"/>
      <c r="C103" s="3582"/>
      <c r="D103" s="3582"/>
      <c r="E103" s="3582"/>
      <c r="F103" s="3582"/>
      <c r="G103" s="3582"/>
      <c r="H103" s="3582"/>
      <c r="I103" s="3582"/>
      <c r="J103" s="3582"/>
      <c r="K103" s="1667"/>
      <c r="L103" s="1667"/>
      <c r="M103" s="1667"/>
      <c r="N103" s="1667"/>
    </row>
    <row r="104" spans="1:14">
      <c r="A104" s="3583" t="s">
        <v>3296</v>
      </c>
      <c r="B104" s="3583" t="s">
        <v>3297</v>
      </c>
      <c r="C104" s="3088" t="s">
        <v>3298</v>
      </c>
      <c r="D104" s="3089"/>
      <c r="E104" s="3089"/>
      <c r="F104" s="3089"/>
      <c r="G104" s="3089"/>
      <c r="H104" s="3089"/>
      <c r="I104" s="3089"/>
      <c r="J104" s="3090"/>
      <c r="K104" s="3091"/>
      <c r="L104" s="3091"/>
      <c r="M104" s="3091"/>
      <c r="N104" s="3091"/>
    </row>
    <row r="105" spans="1:14">
      <c r="A105" s="3583"/>
      <c r="B105" s="3583"/>
      <c r="C105" s="3092" t="s">
        <v>3299</v>
      </c>
      <c r="D105" s="3092" t="s">
        <v>3300</v>
      </c>
      <c r="E105" s="3092" t="s">
        <v>3301</v>
      </c>
      <c r="F105" s="3092" t="s">
        <v>3302</v>
      </c>
      <c r="G105" s="3092" t="s">
        <v>3303</v>
      </c>
      <c r="H105" s="3092" t="s">
        <v>3304</v>
      </c>
      <c r="I105" s="3092" t="s">
        <v>3305</v>
      </c>
      <c r="J105" s="3092" t="s">
        <v>3306</v>
      </c>
      <c r="K105" s="3092" t="s">
        <v>3307</v>
      </c>
      <c r="L105" s="3092" t="s">
        <v>3308</v>
      </c>
      <c r="M105" s="3092" t="s">
        <v>3309</v>
      </c>
      <c r="N105" s="3092" t="s">
        <v>3310</v>
      </c>
    </row>
    <row r="106" spans="1:14">
      <c r="A106" s="3569" t="s">
        <v>3311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7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7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7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7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70"/>
      <c r="B111" s="3092" t="s">
        <v>3269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7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72" t="s">
        <v>3312</v>
      </c>
      <c r="B113" s="3572"/>
      <c r="C113" s="3572"/>
      <c r="D113" s="3572"/>
      <c r="E113" s="3572"/>
      <c r="F113" s="3572"/>
      <c r="G113" s="3572"/>
      <c r="H113" s="3572"/>
      <c r="I113" s="3572"/>
      <c r="J113" s="3572"/>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3313</v>
      </c>
      <c r="B116" s="3112">
        <f>G3</f>
        <v>0</v>
      </c>
      <c r="C116" s="3097" t="s">
        <v>3314</v>
      </c>
      <c r="D116" s="3098">
        <f>SUMPRODUCT((A118:A122=F116)*(B117:M117=H116)*B118:M122)</f>
        <v>0</v>
      </c>
      <c r="E116" s="162" t="s">
        <v>3315</v>
      </c>
      <c r="F116" s="3099">
        <f>E2</f>
        <v>0</v>
      </c>
      <c r="G116" s="162" t="s">
        <v>3316</v>
      </c>
      <c r="H116" s="3099">
        <f>G2</f>
        <v>0</v>
      </c>
      <c r="I116" s="162"/>
      <c r="J116" s="3100"/>
      <c r="K116" s="3100"/>
      <c r="L116" s="3100"/>
      <c r="M116" s="3100"/>
      <c r="N116" s="3095"/>
    </row>
    <row r="117" spans="1:14">
      <c r="A117" s="3101"/>
      <c r="B117" s="3102" t="s">
        <v>3317</v>
      </c>
      <c r="C117" s="3102" t="s">
        <v>3318</v>
      </c>
      <c r="D117" s="3102" t="s">
        <v>3319</v>
      </c>
      <c r="E117" s="3103" t="s">
        <v>3320</v>
      </c>
      <c r="F117" s="3103" t="s">
        <v>3321</v>
      </c>
      <c r="G117" s="3103" t="s">
        <v>3322</v>
      </c>
      <c r="H117" s="3104" t="s">
        <v>3323</v>
      </c>
      <c r="I117" s="3104" t="s">
        <v>3324</v>
      </c>
      <c r="J117" s="3105" t="s">
        <v>3325</v>
      </c>
      <c r="K117" s="3105" t="s">
        <v>3326</v>
      </c>
      <c r="L117" s="3105" t="s">
        <v>3327</v>
      </c>
      <c r="M117" s="3106" t="s">
        <v>3328</v>
      </c>
      <c r="N117" s="3095"/>
    </row>
    <row r="118" spans="1:14">
      <c r="A118" s="3055" t="s">
        <v>3329</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3330</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3331</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3332</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2609</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2811" customWidth="1"/>
    <col min="14" max="14" width="10" style="2811" customWidth="1"/>
    <col min="15" max="16" width="8.125" style="2811"/>
    <col min="17" max="17" width="34.125" style="2811" customWidth="1"/>
    <col min="18" max="18" width="8.125" style="2811" customWidth="1"/>
    <col min="19" max="19" width="8.125" style="2811"/>
    <col min="20" max="20" width="11.625" style="2811" customWidth="1"/>
    <col min="21" max="16384" width="8.1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597" t="s">
        <v>2604</v>
      </c>
      <c r="B20" s="3592" t="s">
        <v>2625</v>
      </c>
      <c r="C20" s="2840" t="s">
        <v>2436</v>
      </c>
      <c r="D20" s="2841"/>
      <c r="E20" s="2842">
        <v>1</v>
      </c>
      <c r="F20" s="2843" t="s">
        <v>2437</v>
      </c>
      <c r="G20" s="2843"/>
    </row>
    <row r="21" spans="1:13" ht="19.5" customHeight="1">
      <c r="A21" s="3598"/>
      <c r="B21" s="3591"/>
      <c r="C21" s="2844" t="s">
        <v>2438</v>
      </c>
      <c r="D21" s="2845"/>
      <c r="E21" s="2846">
        <v>1</v>
      </c>
      <c r="F21" s="2843" t="s">
        <v>2439</v>
      </c>
      <c r="G21" s="2843"/>
    </row>
    <row r="22" spans="1:13" ht="19.5" customHeight="1">
      <c r="A22" s="3598"/>
      <c r="B22" s="3591"/>
      <c r="C22" s="2844" t="s">
        <v>2440</v>
      </c>
      <c r="D22" s="2845"/>
      <c r="E22" s="2846">
        <v>0.9</v>
      </c>
      <c r="F22" s="2843" t="s">
        <v>2441</v>
      </c>
      <c r="G22" s="2843"/>
    </row>
    <row r="23" spans="1:13" ht="19.5" customHeight="1">
      <c r="A23" s="3598"/>
      <c r="B23" s="3591"/>
      <c r="C23" s="2844" t="s">
        <v>2442</v>
      </c>
      <c r="D23" s="2845"/>
      <c r="E23" s="2846">
        <v>0.9</v>
      </c>
      <c r="F23" s="2843" t="s">
        <v>2443</v>
      </c>
      <c r="G23" s="2843"/>
    </row>
    <row r="24" spans="1:13" ht="19.5" customHeight="1">
      <c r="A24" s="3598"/>
      <c r="B24" s="3591"/>
      <c r="C24" s="2844" t="s">
        <v>2444</v>
      </c>
      <c r="D24" s="2845"/>
      <c r="E24" s="2846">
        <v>0.8</v>
      </c>
      <c r="F24" s="2843" t="s">
        <v>2445</v>
      </c>
      <c r="G24" s="2843"/>
    </row>
    <row r="25" spans="1:13" ht="19.5" customHeight="1" thickBot="1">
      <c r="A25" s="3599"/>
      <c r="B25" s="3593"/>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594" t="s">
        <v>2628</v>
      </c>
      <c r="B27" s="3592" t="s">
        <v>2609</v>
      </c>
      <c r="C27" s="2840" t="s">
        <v>2449</v>
      </c>
      <c r="D27" s="2841"/>
      <c r="E27" s="2842">
        <v>1</v>
      </c>
      <c r="F27" s="2843" t="s">
        <v>2450</v>
      </c>
      <c r="G27" s="2843"/>
    </row>
    <row r="28" spans="1:13" ht="19.5" customHeight="1">
      <c r="A28" s="3595"/>
      <c r="B28" s="3591"/>
      <c r="C28" s="2844" t="s">
        <v>2451</v>
      </c>
      <c r="D28" s="2845"/>
      <c r="E28" s="2846">
        <v>1</v>
      </c>
      <c r="F28" s="2843" t="s">
        <v>2452</v>
      </c>
      <c r="G28" s="2843"/>
    </row>
    <row r="29" spans="1:13" ht="19.5" customHeight="1">
      <c r="A29" s="3595"/>
      <c r="B29" s="3591"/>
      <c r="C29" s="2844" t="s">
        <v>2453</v>
      </c>
      <c r="D29" s="2845"/>
      <c r="E29" s="2846">
        <v>0.8</v>
      </c>
      <c r="F29" s="2843" t="s">
        <v>2454</v>
      </c>
      <c r="G29" s="2843"/>
    </row>
    <row r="30" spans="1:13" ht="19.5" customHeight="1">
      <c r="A30" s="3595"/>
      <c r="B30" s="3591"/>
      <c r="C30" s="2844" t="s">
        <v>2455</v>
      </c>
      <c r="D30" s="2845"/>
      <c r="E30" s="2846">
        <v>0.8</v>
      </c>
      <c r="F30" s="2843" t="s">
        <v>2456</v>
      </c>
      <c r="G30" s="2843"/>
    </row>
    <row r="31" spans="1:13" ht="19.5" customHeight="1">
      <c r="A31" s="3595"/>
      <c r="B31" s="3591"/>
      <c r="C31" s="2844" t="s">
        <v>2457</v>
      </c>
      <c r="D31" s="2845"/>
      <c r="E31" s="2846">
        <v>0.8</v>
      </c>
      <c r="F31" s="2843" t="s">
        <v>2458</v>
      </c>
      <c r="G31" s="2843"/>
    </row>
    <row r="32" spans="1:13" ht="19.5" customHeight="1">
      <c r="A32" s="3595"/>
      <c r="B32" s="3591"/>
      <c r="C32" s="2844" t="s">
        <v>2459</v>
      </c>
      <c r="D32" s="2845"/>
      <c r="E32" s="2846">
        <v>0.7</v>
      </c>
      <c r="F32" s="2843" t="s">
        <v>2460</v>
      </c>
      <c r="G32" s="2843"/>
    </row>
    <row r="33" spans="1:7" ht="19.5" customHeight="1">
      <c r="A33" s="3595"/>
      <c r="B33" s="3591"/>
      <c r="C33" s="2844" t="s">
        <v>2461</v>
      </c>
      <c r="D33" s="2845"/>
      <c r="E33" s="2846">
        <v>0.8</v>
      </c>
      <c r="F33" s="2843" t="s">
        <v>2462</v>
      </c>
      <c r="G33" s="2843"/>
    </row>
    <row r="34" spans="1:7" ht="19.5" customHeight="1">
      <c r="A34" s="3595"/>
      <c r="B34" s="3591"/>
      <c r="C34" s="2844" t="s">
        <v>2463</v>
      </c>
      <c r="D34" s="2845"/>
      <c r="E34" s="2846">
        <v>0.6</v>
      </c>
      <c r="F34" s="2843" t="s">
        <v>2464</v>
      </c>
      <c r="G34" s="2843"/>
    </row>
    <row r="35" spans="1:7" ht="19.5" customHeight="1">
      <c r="A35" s="3595"/>
      <c r="B35" s="3591"/>
      <c r="C35" s="2844" t="s">
        <v>2465</v>
      </c>
      <c r="D35" s="2845"/>
      <c r="E35" s="2846">
        <v>0.2</v>
      </c>
      <c r="F35" s="2843" t="s">
        <v>2466</v>
      </c>
      <c r="G35" s="2843"/>
    </row>
    <row r="36" spans="1:7" ht="19.5" customHeight="1">
      <c r="A36" s="3595"/>
      <c r="B36" s="3591"/>
      <c r="C36" s="2844" t="s">
        <v>2467</v>
      </c>
      <c r="D36" s="2845"/>
      <c r="E36" s="2846">
        <v>0.2</v>
      </c>
      <c r="F36" s="2843" t="s">
        <v>2468</v>
      </c>
      <c r="G36" s="2843"/>
    </row>
    <row r="37" spans="1:7" ht="19.5" customHeight="1">
      <c r="A37" s="3595"/>
      <c r="B37" s="3589" t="s">
        <v>2629</v>
      </c>
      <c r="C37" s="2844" t="s">
        <v>2469</v>
      </c>
      <c r="D37" s="2845"/>
      <c r="E37" s="2846">
        <v>0.6</v>
      </c>
      <c r="F37" s="2843" t="s">
        <v>2470</v>
      </c>
      <c r="G37" s="2843"/>
    </row>
    <row r="38" spans="1:7" ht="19.5" customHeight="1">
      <c r="A38" s="3595"/>
      <c r="B38" s="3591"/>
      <c r="C38" s="2844" t="s">
        <v>2471</v>
      </c>
      <c r="D38" s="2845"/>
      <c r="E38" s="2846">
        <v>0.6</v>
      </c>
      <c r="F38" s="2843" t="s">
        <v>2472</v>
      </c>
      <c r="G38" s="2843"/>
    </row>
    <row r="39" spans="1:7" ht="19.5" customHeight="1" thickBot="1">
      <c r="A39" s="3596"/>
      <c r="B39" s="3593"/>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597" t="s">
        <v>2607</v>
      </c>
      <c r="B41" s="3592" t="s">
        <v>2631</v>
      </c>
      <c r="C41" s="2840" t="s">
        <v>2476</v>
      </c>
      <c r="D41" s="2841"/>
      <c r="E41" s="2842">
        <v>1</v>
      </c>
      <c r="F41" s="2843" t="s">
        <v>2477</v>
      </c>
      <c r="G41" s="2843"/>
    </row>
    <row r="42" spans="1:7" ht="19.5" customHeight="1">
      <c r="A42" s="3598"/>
      <c r="B42" s="3591"/>
      <c r="C42" s="2844" t="s">
        <v>2478</v>
      </c>
      <c r="D42" s="2845"/>
      <c r="E42" s="2846">
        <v>1</v>
      </c>
      <c r="F42" s="2843" t="s">
        <v>2479</v>
      </c>
      <c r="G42" s="2843"/>
    </row>
    <row r="43" spans="1:7" ht="19.5" customHeight="1">
      <c r="A43" s="3598"/>
      <c r="B43" s="3590"/>
      <c r="C43" s="2844" t="s">
        <v>2480</v>
      </c>
      <c r="D43" s="2845"/>
      <c r="E43" s="2846">
        <v>1.5</v>
      </c>
      <c r="F43" s="2843" t="s">
        <v>2481</v>
      </c>
      <c r="G43" s="2843"/>
    </row>
    <row r="44" spans="1:7" ht="19.5" customHeight="1">
      <c r="A44" s="3598"/>
      <c r="B44" s="2855" t="s">
        <v>2632</v>
      </c>
      <c r="C44" s="2844" t="s">
        <v>2633</v>
      </c>
      <c r="D44" s="2845"/>
      <c r="E44" s="2846">
        <v>2</v>
      </c>
      <c r="F44" s="2843" t="s">
        <v>2482</v>
      </c>
      <c r="G44" s="2843"/>
    </row>
    <row r="45" spans="1:7" ht="19.5" customHeight="1">
      <c r="A45" s="3598"/>
      <c r="B45" s="3589" t="s">
        <v>2634</v>
      </c>
      <c r="C45" s="2844" t="s">
        <v>2483</v>
      </c>
      <c r="D45" s="2845"/>
      <c r="E45" s="2846">
        <v>1</v>
      </c>
      <c r="F45" s="2843" t="s">
        <v>2484</v>
      </c>
      <c r="G45" s="2843"/>
    </row>
    <row r="46" spans="1:7" ht="19.5" customHeight="1">
      <c r="A46" s="3598"/>
      <c r="B46" s="3591"/>
      <c r="C46" s="2844" t="s">
        <v>2485</v>
      </c>
      <c r="D46" s="2845"/>
      <c r="E46" s="2846">
        <v>1</v>
      </c>
      <c r="F46" s="2843" t="s">
        <v>2486</v>
      </c>
      <c r="G46" s="2843"/>
    </row>
    <row r="47" spans="1:7" ht="19.5" customHeight="1">
      <c r="A47" s="3598"/>
      <c r="B47" s="3591"/>
      <c r="C47" s="2844" t="s">
        <v>2487</v>
      </c>
      <c r="D47" s="2845"/>
      <c r="E47" s="2846">
        <v>1</v>
      </c>
      <c r="F47" s="2843" t="s">
        <v>2488</v>
      </c>
      <c r="G47" s="2843"/>
    </row>
    <row r="48" spans="1:7" ht="19.5" customHeight="1">
      <c r="A48" s="3598"/>
      <c r="B48" s="3591"/>
      <c r="C48" s="2844" t="s">
        <v>2489</v>
      </c>
      <c r="D48" s="2845"/>
      <c r="E48" s="2846">
        <v>1</v>
      </c>
      <c r="F48" s="2843" t="s">
        <v>2490</v>
      </c>
      <c r="G48" s="2843"/>
    </row>
    <row r="49" spans="1:7" ht="19.5" customHeight="1">
      <c r="A49" s="3598"/>
      <c r="B49" s="3591"/>
      <c r="C49" s="2844" t="s">
        <v>2491</v>
      </c>
      <c r="D49" s="2845"/>
      <c r="E49" s="2846">
        <v>1</v>
      </c>
      <c r="F49" s="2843" t="s">
        <v>2492</v>
      </c>
      <c r="G49" s="2843"/>
    </row>
    <row r="50" spans="1:7" ht="19.5" customHeight="1">
      <c r="A50" s="3598"/>
      <c r="B50" s="3591"/>
      <c r="C50" s="2844" t="s">
        <v>2493</v>
      </c>
      <c r="D50" s="2845"/>
      <c r="E50" s="2846">
        <v>1</v>
      </c>
      <c r="F50" s="2843" t="s">
        <v>2494</v>
      </c>
      <c r="G50" s="2843"/>
    </row>
    <row r="51" spans="1:7" ht="19.5" customHeight="1" thickBot="1">
      <c r="A51" s="3599"/>
      <c r="B51" s="3593"/>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3.5">
      <c r="A72" s="2855"/>
      <c r="B72" s="2855"/>
      <c r="C72" s="2855" t="s">
        <v>2647</v>
      </c>
      <c r="D72" s="2855"/>
      <c r="E72" s="2855" t="s">
        <v>2618</v>
      </c>
      <c r="F72" s="2855" t="s">
        <v>2618</v>
      </c>
    </row>
    <row r="73" spans="1:7" ht="13.5">
      <c r="A73" s="2855">
        <v>1</v>
      </c>
      <c r="B73" s="3589" t="s">
        <v>2648</v>
      </c>
      <c r="C73" s="2829" t="s">
        <v>2649</v>
      </c>
      <c r="D73" s="2829" t="s">
        <v>2650</v>
      </c>
      <c r="E73" s="2855">
        <v>0.2</v>
      </c>
      <c r="F73" s="2855">
        <v>25</v>
      </c>
    </row>
    <row r="74" spans="1:7" ht="24">
      <c r="A74" s="2855">
        <v>2</v>
      </c>
      <c r="B74" s="3591"/>
      <c r="C74" s="2829" t="s">
        <v>2651</v>
      </c>
      <c r="D74" s="2829" t="s">
        <v>2652</v>
      </c>
      <c r="E74" s="2855">
        <v>0.2</v>
      </c>
      <c r="F74" s="2855">
        <v>25</v>
      </c>
    </row>
    <row r="75" spans="1:7" ht="24">
      <c r="A75" s="2855">
        <v>3</v>
      </c>
      <c r="B75" s="3591"/>
      <c r="C75" s="2829" t="s">
        <v>2653</v>
      </c>
      <c r="D75" s="2829" t="s">
        <v>2654</v>
      </c>
      <c r="E75" s="2855">
        <v>0.2</v>
      </c>
      <c r="F75" s="2855">
        <v>25</v>
      </c>
    </row>
    <row r="76" spans="1:7" ht="13.5">
      <c r="A76" s="2855">
        <v>4</v>
      </c>
      <c r="B76" s="3591"/>
      <c r="C76" s="2829" t="s">
        <v>2655</v>
      </c>
      <c r="D76" s="2829" t="s">
        <v>2656</v>
      </c>
      <c r="E76" s="2855">
        <v>0.15</v>
      </c>
      <c r="F76" s="2855">
        <v>20</v>
      </c>
    </row>
    <row r="77" spans="1:7" ht="24">
      <c r="A77" s="2855">
        <v>5</v>
      </c>
      <c r="B77" s="3591"/>
      <c r="C77" s="2829" t="s">
        <v>2657</v>
      </c>
      <c r="D77" s="2829" t="s">
        <v>2658</v>
      </c>
      <c r="E77" s="2855">
        <v>0.15</v>
      </c>
      <c r="F77" s="2855">
        <v>20</v>
      </c>
    </row>
    <row r="78" spans="1:7" ht="24">
      <c r="A78" s="2855">
        <v>6</v>
      </c>
      <c r="B78" s="3591"/>
      <c r="C78" s="2829" t="s">
        <v>2659</v>
      </c>
      <c r="D78" s="2829" t="s">
        <v>2660</v>
      </c>
      <c r="E78" s="2855">
        <v>0.15</v>
      </c>
      <c r="F78" s="2855">
        <v>20</v>
      </c>
    </row>
    <row r="79" spans="1:7" ht="24">
      <c r="A79" s="2855">
        <v>7</v>
      </c>
      <c r="B79" s="3591"/>
      <c r="C79" s="2829" t="s">
        <v>2661</v>
      </c>
      <c r="D79" s="2829" t="s">
        <v>2662</v>
      </c>
      <c r="E79" s="2855">
        <v>0.15</v>
      </c>
      <c r="F79" s="2855">
        <v>20</v>
      </c>
    </row>
    <row r="80" spans="1:7" ht="24">
      <c r="A80" s="2855">
        <v>8</v>
      </c>
      <c r="B80" s="3591"/>
      <c r="C80" s="2829" t="s">
        <v>2663</v>
      </c>
      <c r="D80" s="2829" t="s">
        <v>2664</v>
      </c>
      <c r="E80" s="2855">
        <v>0.1</v>
      </c>
      <c r="F80" s="2855">
        <v>15</v>
      </c>
    </row>
    <row r="81" spans="1:6" ht="24">
      <c r="A81" s="2855">
        <v>9</v>
      </c>
      <c r="B81" s="3591"/>
      <c r="C81" s="2829" t="s">
        <v>2665</v>
      </c>
      <c r="D81" s="2829" t="s">
        <v>2666</v>
      </c>
      <c r="E81" s="2855">
        <v>0.1</v>
      </c>
      <c r="F81" s="2855">
        <v>15</v>
      </c>
    </row>
    <row r="82" spans="1:6" ht="24">
      <c r="A82" s="2855">
        <v>10</v>
      </c>
      <c r="B82" s="3591"/>
      <c r="C82" s="2829" t="s">
        <v>2667</v>
      </c>
      <c r="D82" s="2829" t="s">
        <v>2668</v>
      </c>
      <c r="E82" s="2855">
        <v>0.1</v>
      </c>
      <c r="F82" s="2855">
        <v>15</v>
      </c>
    </row>
    <row r="83" spans="1:6" ht="24">
      <c r="A83" s="2855">
        <v>11</v>
      </c>
      <c r="B83" s="3591"/>
      <c r="C83" s="2829" t="s">
        <v>2669</v>
      </c>
      <c r="D83" s="2829" t="s">
        <v>2670</v>
      </c>
      <c r="E83" s="2855">
        <v>0.1</v>
      </c>
      <c r="F83" s="2855">
        <v>15</v>
      </c>
    </row>
    <row r="84" spans="1:6" ht="24">
      <c r="A84" s="2855">
        <v>12</v>
      </c>
      <c r="B84" s="3591"/>
      <c r="C84" s="2829" t="s">
        <v>2671</v>
      </c>
      <c r="D84" s="2829" t="s">
        <v>2672</v>
      </c>
      <c r="E84" s="2855">
        <v>0.1</v>
      </c>
      <c r="F84" s="2855">
        <v>15</v>
      </c>
    </row>
    <row r="85" spans="1:6" ht="13.5">
      <c r="A85" s="2855">
        <v>13</v>
      </c>
      <c r="B85" s="3591"/>
      <c r="C85" s="2829" t="s">
        <v>2673</v>
      </c>
      <c r="D85" s="2829" t="s">
        <v>2674</v>
      </c>
      <c r="E85" s="2855">
        <v>0.1</v>
      </c>
      <c r="F85" s="2855">
        <v>15</v>
      </c>
    </row>
    <row r="86" spans="1:6" ht="13.5">
      <c r="A86" s="2855">
        <v>14</v>
      </c>
      <c r="B86" s="3591"/>
      <c r="C86" s="2829" t="s">
        <v>2675</v>
      </c>
      <c r="D86" s="2829" t="s">
        <v>2676</v>
      </c>
      <c r="E86" s="2855">
        <v>0.1</v>
      </c>
      <c r="F86" s="2855">
        <v>15</v>
      </c>
    </row>
    <row r="87" spans="1:6" ht="13.5">
      <c r="A87" s="2855">
        <v>15</v>
      </c>
      <c r="B87" s="3591"/>
      <c r="C87" s="2829" t="s">
        <v>2677</v>
      </c>
      <c r="D87" s="2829" t="s">
        <v>2678</v>
      </c>
      <c r="E87" s="2855">
        <v>0.1</v>
      </c>
      <c r="F87" s="2855">
        <v>15</v>
      </c>
    </row>
    <row r="88" spans="1:6" ht="24">
      <c r="A88" s="2855">
        <v>16</v>
      </c>
      <c r="B88" s="3591"/>
      <c r="C88" s="2829" t="s">
        <v>2679</v>
      </c>
      <c r="D88" s="2829" t="s">
        <v>2680</v>
      </c>
      <c r="E88" s="2855">
        <v>0.1</v>
      </c>
      <c r="F88" s="2855">
        <v>15</v>
      </c>
    </row>
    <row r="89" spans="1:6" ht="24">
      <c r="A89" s="2855">
        <v>17</v>
      </c>
      <c r="B89" s="3590"/>
      <c r="C89" s="2829" t="s">
        <v>2681</v>
      </c>
      <c r="D89" s="2829" t="s">
        <v>2682</v>
      </c>
      <c r="E89" s="2855">
        <v>0.1</v>
      </c>
      <c r="F89" s="2855">
        <v>15</v>
      </c>
    </row>
    <row r="90" spans="1:6" ht="13.5">
      <c r="A90" s="2855">
        <v>18</v>
      </c>
      <c r="B90" s="3589" t="s">
        <v>2683</v>
      </c>
      <c r="C90" s="2829" t="s">
        <v>2684</v>
      </c>
      <c r="D90" s="2829" t="s">
        <v>2685</v>
      </c>
      <c r="E90" s="2855">
        <v>0.2</v>
      </c>
      <c r="F90" s="2855">
        <v>25</v>
      </c>
    </row>
    <row r="91" spans="1:6" ht="24">
      <c r="A91" s="2855">
        <v>19</v>
      </c>
      <c r="B91" s="3591"/>
      <c r="C91" s="2829" t="s">
        <v>2686</v>
      </c>
      <c r="D91" s="2829" t="s">
        <v>2687</v>
      </c>
      <c r="E91" s="2855">
        <v>0.2</v>
      </c>
      <c r="F91" s="2855">
        <v>25</v>
      </c>
    </row>
    <row r="92" spans="1:6" ht="13.5">
      <c r="A92" s="2855">
        <v>20</v>
      </c>
      <c r="B92" s="3591"/>
      <c r="C92" s="2829" t="s">
        <v>2688</v>
      </c>
      <c r="D92" s="2829" t="s">
        <v>2689</v>
      </c>
      <c r="E92" s="2855">
        <v>0.15</v>
      </c>
      <c r="F92" s="2855">
        <v>20</v>
      </c>
    </row>
    <row r="93" spans="1:6" ht="24">
      <c r="A93" s="2855">
        <v>21</v>
      </c>
      <c r="B93" s="3591"/>
      <c r="C93" s="2829" t="s">
        <v>2690</v>
      </c>
      <c r="D93" s="2829" t="s">
        <v>2691</v>
      </c>
      <c r="E93" s="2855">
        <v>0.15</v>
      </c>
      <c r="F93" s="2855">
        <v>20</v>
      </c>
    </row>
    <row r="94" spans="1:6" ht="24">
      <c r="A94" s="2855">
        <v>22</v>
      </c>
      <c r="B94" s="3591"/>
      <c r="C94" s="2829" t="s">
        <v>2692</v>
      </c>
      <c r="D94" s="2829" t="s">
        <v>2693</v>
      </c>
      <c r="E94" s="2855">
        <v>0.15</v>
      </c>
      <c r="F94" s="2855">
        <v>20</v>
      </c>
    </row>
    <row r="95" spans="1:6" ht="36">
      <c r="A95" s="2855">
        <v>23</v>
      </c>
      <c r="B95" s="3591"/>
      <c r="C95" s="2829" t="s">
        <v>2694</v>
      </c>
      <c r="D95" s="2829" t="s">
        <v>2695</v>
      </c>
      <c r="E95" s="2855">
        <v>0.15</v>
      </c>
      <c r="F95" s="2855">
        <v>20</v>
      </c>
    </row>
    <row r="96" spans="1:6" ht="13.5">
      <c r="A96" s="2855">
        <v>24</v>
      </c>
      <c r="B96" s="3591"/>
      <c r="C96" s="2829" t="s">
        <v>2696</v>
      </c>
      <c r="D96" s="2829" t="s">
        <v>2697</v>
      </c>
      <c r="E96" s="2855">
        <v>0.1</v>
      </c>
      <c r="F96" s="2855">
        <v>15</v>
      </c>
    </row>
    <row r="97" spans="1:6" ht="24">
      <c r="A97" s="2855">
        <v>25</v>
      </c>
      <c r="B97" s="3591"/>
      <c r="C97" s="2829" t="s">
        <v>2698</v>
      </c>
      <c r="D97" s="2829" t="s">
        <v>2699</v>
      </c>
      <c r="E97" s="2855">
        <v>0.1</v>
      </c>
      <c r="F97" s="2855">
        <v>15</v>
      </c>
    </row>
    <row r="98" spans="1:6" ht="24">
      <c r="A98" s="2855">
        <v>26</v>
      </c>
      <c r="B98" s="3591"/>
      <c r="C98" s="2829" t="s">
        <v>2700</v>
      </c>
      <c r="D98" s="2829" t="s">
        <v>2701</v>
      </c>
      <c r="E98" s="2855">
        <v>0.1</v>
      </c>
      <c r="F98" s="2855">
        <v>15</v>
      </c>
    </row>
    <row r="99" spans="1:6" ht="24">
      <c r="A99" s="2855">
        <v>27</v>
      </c>
      <c r="B99" s="3591"/>
      <c r="C99" s="2829" t="s">
        <v>2702</v>
      </c>
      <c r="D99" s="2829" t="s">
        <v>2703</v>
      </c>
      <c r="E99" s="2855">
        <v>0.1</v>
      </c>
      <c r="F99" s="2855">
        <v>15</v>
      </c>
    </row>
    <row r="100" spans="1:6" ht="24">
      <c r="A100" s="2855">
        <v>28</v>
      </c>
      <c r="B100" s="3591"/>
      <c r="C100" s="2829" t="s">
        <v>2704</v>
      </c>
      <c r="D100" s="2829" t="s">
        <v>2705</v>
      </c>
      <c r="E100" s="2855">
        <v>0.1</v>
      </c>
      <c r="F100" s="2855">
        <v>15</v>
      </c>
    </row>
    <row r="101" spans="1:6" ht="24">
      <c r="A101" s="2855">
        <v>29</v>
      </c>
      <c r="B101" s="3591"/>
      <c r="C101" s="2829" t="s">
        <v>2706</v>
      </c>
      <c r="D101" s="2829" t="s">
        <v>2707</v>
      </c>
      <c r="E101" s="2855">
        <v>0.1</v>
      </c>
      <c r="F101" s="2855">
        <v>15</v>
      </c>
    </row>
    <row r="102" spans="1:6" ht="24">
      <c r="A102" s="2855">
        <v>30</v>
      </c>
      <c r="B102" s="3591"/>
      <c r="C102" s="2829" t="s">
        <v>2708</v>
      </c>
      <c r="D102" s="2829" t="s">
        <v>2709</v>
      </c>
      <c r="E102" s="2855">
        <v>0.1</v>
      </c>
      <c r="F102" s="2855">
        <v>15</v>
      </c>
    </row>
    <row r="103" spans="1:6" ht="24">
      <c r="A103" s="2855">
        <v>31</v>
      </c>
      <c r="B103" s="3591"/>
      <c r="C103" s="2829" t="s">
        <v>2710</v>
      </c>
      <c r="D103" s="2829" t="s">
        <v>2711</v>
      </c>
      <c r="E103" s="2855">
        <v>0.1</v>
      </c>
      <c r="F103" s="2855">
        <v>15</v>
      </c>
    </row>
    <row r="104" spans="1:6" ht="24">
      <c r="A104" s="2855">
        <v>32</v>
      </c>
      <c r="B104" s="3591"/>
      <c r="C104" s="2829" t="s">
        <v>2712</v>
      </c>
      <c r="D104" s="2829" t="s">
        <v>2713</v>
      </c>
      <c r="E104" s="2855">
        <v>0.1</v>
      </c>
      <c r="F104" s="2855">
        <v>15</v>
      </c>
    </row>
    <row r="105" spans="1:6" ht="24">
      <c r="A105" s="2855">
        <v>33</v>
      </c>
      <c r="B105" s="3591"/>
      <c r="C105" s="2829" t="s">
        <v>2714</v>
      </c>
      <c r="D105" s="2829" t="s">
        <v>2715</v>
      </c>
      <c r="E105" s="2855">
        <v>0.1</v>
      </c>
      <c r="F105" s="2855">
        <v>15</v>
      </c>
    </row>
    <row r="106" spans="1:6" ht="24">
      <c r="A106" s="2855">
        <v>34</v>
      </c>
      <c r="B106" s="3590"/>
      <c r="C106" s="2829" t="s">
        <v>2716</v>
      </c>
      <c r="D106" s="2829" t="s">
        <v>2717</v>
      </c>
      <c r="E106" s="2855">
        <v>0.1</v>
      </c>
      <c r="F106" s="2855">
        <v>15</v>
      </c>
    </row>
    <row r="107" spans="1:6" ht="24">
      <c r="A107" s="2855">
        <v>35</v>
      </c>
      <c r="B107" s="3589" t="s">
        <v>2718</v>
      </c>
      <c r="C107" s="2855" t="s">
        <v>2719</v>
      </c>
      <c r="D107" s="2829" t="s">
        <v>2720</v>
      </c>
      <c r="E107" s="2855">
        <v>0.15</v>
      </c>
      <c r="F107" s="2855">
        <v>20</v>
      </c>
    </row>
    <row r="108" spans="1:6" ht="24">
      <c r="A108" s="2855">
        <v>36</v>
      </c>
      <c r="B108" s="3591"/>
      <c r="C108" s="2855" t="s">
        <v>2721</v>
      </c>
      <c r="D108" s="2829" t="s">
        <v>2722</v>
      </c>
      <c r="E108" s="2855">
        <v>0.15</v>
      </c>
      <c r="F108" s="2855">
        <v>20</v>
      </c>
    </row>
    <row r="109" spans="1:6" ht="24">
      <c r="A109" s="2855">
        <v>37</v>
      </c>
      <c r="B109" s="3591"/>
      <c r="C109" s="2855" t="s">
        <v>2723</v>
      </c>
      <c r="D109" s="2829" t="s">
        <v>2724</v>
      </c>
      <c r="E109" s="2855">
        <v>0.15</v>
      </c>
      <c r="F109" s="2855">
        <v>20</v>
      </c>
    </row>
    <row r="110" spans="1:6" ht="13.5">
      <c r="A110" s="2855">
        <v>38</v>
      </c>
      <c r="B110" s="3591"/>
      <c r="C110" s="2855" t="s">
        <v>2725</v>
      </c>
      <c r="D110" s="2829" t="s">
        <v>2726</v>
      </c>
      <c r="E110" s="2855">
        <v>0.1</v>
      </c>
      <c r="F110" s="2855">
        <v>15</v>
      </c>
    </row>
    <row r="111" spans="1:6" ht="24">
      <c r="A111" s="2855">
        <v>39</v>
      </c>
      <c r="B111" s="3591"/>
      <c r="C111" s="2855" t="s">
        <v>2727</v>
      </c>
      <c r="D111" s="2829" t="s">
        <v>2728</v>
      </c>
      <c r="E111" s="2855">
        <v>0.1</v>
      </c>
      <c r="F111" s="2855">
        <v>15</v>
      </c>
    </row>
    <row r="112" spans="1:6" ht="24">
      <c r="A112" s="2855">
        <v>40</v>
      </c>
      <c r="B112" s="3590"/>
      <c r="C112" s="2855" t="s">
        <v>2729</v>
      </c>
      <c r="D112" s="2829" t="s">
        <v>2730</v>
      </c>
      <c r="E112" s="2855">
        <v>0.1</v>
      </c>
      <c r="F112" s="2855">
        <v>15</v>
      </c>
    </row>
    <row r="113" spans="1:6" ht="24">
      <c r="A113" s="2855">
        <v>41</v>
      </c>
      <c r="B113" s="3588" t="s">
        <v>2731</v>
      </c>
      <c r="C113" s="2855" t="s">
        <v>2732</v>
      </c>
      <c r="D113" s="2829" t="s">
        <v>2733</v>
      </c>
      <c r="E113" s="2855">
        <v>0.1</v>
      </c>
      <c r="F113" s="2855">
        <v>15</v>
      </c>
    </row>
    <row r="114" spans="1:6" ht="13.5">
      <c r="A114" s="2855">
        <v>42</v>
      </c>
      <c r="B114" s="3588"/>
      <c r="C114" s="2855" t="s">
        <v>2734</v>
      </c>
      <c r="D114" s="2829" t="s">
        <v>2735</v>
      </c>
      <c r="E114" s="2855">
        <v>0.1</v>
      </c>
      <c r="F114" s="2855">
        <v>15</v>
      </c>
    </row>
    <row r="115" spans="1:6" ht="24">
      <c r="A115" s="2855">
        <v>43</v>
      </c>
      <c r="B115" s="3588"/>
      <c r="C115" s="2855" t="s">
        <v>2736</v>
      </c>
      <c r="D115" s="2829" t="s">
        <v>2737</v>
      </c>
      <c r="E115" s="2855">
        <v>0.1</v>
      </c>
      <c r="F115" s="2855">
        <v>15</v>
      </c>
    </row>
    <row r="116" spans="1:6" ht="24">
      <c r="A116" s="2855">
        <v>44</v>
      </c>
      <c r="B116" s="3589" t="s">
        <v>2738</v>
      </c>
      <c r="C116" s="2855" t="s">
        <v>2739</v>
      </c>
      <c r="D116" s="2829" t="s">
        <v>2740</v>
      </c>
      <c r="E116" s="2855">
        <v>0.1</v>
      </c>
      <c r="F116" s="2855">
        <v>15</v>
      </c>
    </row>
    <row r="117" spans="1:6" ht="24">
      <c r="A117" s="2855">
        <v>45</v>
      </c>
      <c r="B117" s="3590"/>
      <c r="C117" s="2829" t="s">
        <v>2741</v>
      </c>
      <c r="D117" s="2829" t="s">
        <v>2742</v>
      </c>
      <c r="E117" s="2855">
        <v>0.1</v>
      </c>
      <c r="F117" s="2855">
        <v>15</v>
      </c>
    </row>
    <row r="118" spans="1:6" ht="24">
      <c r="A118" s="2855">
        <v>46</v>
      </c>
      <c r="B118" s="3589" t="s">
        <v>2743</v>
      </c>
      <c r="C118" s="2855" t="s">
        <v>2744</v>
      </c>
      <c r="D118" s="2829" t="s">
        <v>2745</v>
      </c>
      <c r="E118" s="2855">
        <v>0.1</v>
      </c>
      <c r="F118" s="2855">
        <v>15</v>
      </c>
    </row>
    <row r="119" spans="1:6" ht="24">
      <c r="A119" s="2855">
        <v>47</v>
      </c>
      <c r="B119" s="3590"/>
      <c r="C119" s="2855" t="s">
        <v>2746</v>
      </c>
      <c r="D119" s="2829" t="s">
        <v>2747</v>
      </c>
      <c r="E119" s="2855">
        <v>0.1</v>
      </c>
      <c r="F119" s="2855">
        <v>15</v>
      </c>
    </row>
    <row r="120" spans="1:6" ht="24">
      <c r="A120" s="2855">
        <v>48</v>
      </c>
      <c r="B120" s="3589" t="s">
        <v>2748</v>
      </c>
      <c r="C120" s="2855" t="s">
        <v>2749</v>
      </c>
      <c r="D120" s="2829" t="s">
        <v>2750</v>
      </c>
      <c r="E120" s="2855">
        <v>0.1</v>
      </c>
      <c r="F120" s="2855">
        <v>15</v>
      </c>
    </row>
    <row r="121" spans="1:6" ht="13.5">
      <c r="A121" s="2855">
        <v>49</v>
      </c>
      <c r="B121" s="3590"/>
      <c r="C121" s="2855" t="s">
        <v>2751</v>
      </c>
      <c r="D121" s="2829" t="s">
        <v>2752</v>
      </c>
      <c r="E121" s="2855">
        <v>0.1</v>
      </c>
      <c r="F121" s="2855">
        <v>15</v>
      </c>
    </row>
    <row r="122" spans="1:6" ht="24">
      <c r="A122" s="2855">
        <v>50</v>
      </c>
      <c r="B122" s="3588" t="s">
        <v>2753</v>
      </c>
      <c r="C122" s="2855" t="s">
        <v>2754</v>
      </c>
      <c r="D122" s="2829" t="s">
        <v>2755</v>
      </c>
      <c r="E122" s="2855">
        <v>0.1</v>
      </c>
      <c r="F122" s="2855">
        <v>15</v>
      </c>
    </row>
    <row r="123" spans="1:6" ht="24">
      <c r="A123" s="2855">
        <v>51</v>
      </c>
      <c r="B123" s="3588"/>
      <c r="C123" s="2855" t="s">
        <v>2756</v>
      </c>
      <c r="D123" s="2829" t="s">
        <v>2757</v>
      </c>
      <c r="E123" s="2855">
        <v>0.1</v>
      </c>
      <c r="F123" s="2855">
        <v>15</v>
      </c>
    </row>
    <row r="124" spans="1:6" ht="24">
      <c r="A124" s="2855">
        <v>52</v>
      </c>
      <c r="B124" s="3588" t="s">
        <v>2758</v>
      </c>
      <c r="C124" s="2855" t="s">
        <v>2759</v>
      </c>
      <c r="D124" s="2829" t="s">
        <v>2760</v>
      </c>
      <c r="E124" s="2855">
        <v>0.1</v>
      </c>
      <c r="F124" s="2855">
        <v>15</v>
      </c>
    </row>
    <row r="125" spans="1:6" ht="24">
      <c r="A125" s="2855">
        <v>53</v>
      </c>
      <c r="B125" s="3588"/>
      <c r="C125" s="2855" t="s">
        <v>2761</v>
      </c>
      <c r="D125" s="2829" t="s">
        <v>2762</v>
      </c>
      <c r="E125" s="2855">
        <v>0.1</v>
      </c>
      <c r="F125" s="2855">
        <v>15</v>
      </c>
    </row>
    <row r="126" spans="1:6" ht="24">
      <c r="A126" s="2855">
        <v>54</v>
      </c>
      <c r="B126" s="2855" t="s">
        <v>2763</v>
      </c>
      <c r="C126" s="2855" t="s">
        <v>2764</v>
      </c>
      <c r="D126" s="2829" t="s">
        <v>2765</v>
      </c>
      <c r="E126" s="2855">
        <v>0.1</v>
      </c>
      <c r="F126" s="2855">
        <v>15</v>
      </c>
    </row>
    <row r="127" spans="1:6" ht="13.5">
      <c r="A127" s="2855">
        <v>55</v>
      </c>
      <c r="B127" s="3588" t="s">
        <v>2766</v>
      </c>
      <c r="C127" s="2855" t="s">
        <v>2767</v>
      </c>
      <c r="D127" s="2829" t="s">
        <v>2768</v>
      </c>
      <c r="E127" s="2855">
        <v>0.1</v>
      </c>
      <c r="F127" s="2855">
        <v>15</v>
      </c>
    </row>
    <row r="128" spans="1:6" ht="13.5">
      <c r="A128" s="2855">
        <v>56</v>
      </c>
      <c r="B128" s="3588"/>
      <c r="C128" s="2855" t="s">
        <v>2769</v>
      </c>
      <c r="D128" s="2829" t="s">
        <v>2770</v>
      </c>
      <c r="E128" s="2855">
        <v>0.1</v>
      </c>
      <c r="F128" s="2855">
        <v>15</v>
      </c>
    </row>
    <row r="129" spans="1:6" ht="24">
      <c r="A129" s="2855">
        <v>57</v>
      </c>
      <c r="B129" s="3588"/>
      <c r="C129" s="2855" t="s">
        <v>2771</v>
      </c>
      <c r="D129" s="2829" t="s">
        <v>2772</v>
      </c>
      <c r="E129" s="2855">
        <v>0.1</v>
      </c>
      <c r="F129" s="2855">
        <v>15</v>
      </c>
    </row>
    <row r="130" spans="1:6" ht="24">
      <c r="A130" s="2855">
        <v>58</v>
      </c>
      <c r="B130" s="3588" t="s">
        <v>2773</v>
      </c>
      <c r="C130" s="2855" t="s">
        <v>2774</v>
      </c>
      <c r="D130" s="2829" t="s">
        <v>2775</v>
      </c>
      <c r="E130" s="2855">
        <v>0.1</v>
      </c>
      <c r="F130" s="2855">
        <v>15</v>
      </c>
    </row>
    <row r="131" spans="1:6" ht="24">
      <c r="A131" s="2855">
        <v>59</v>
      </c>
      <c r="B131" s="3588"/>
      <c r="C131" s="2855" t="s">
        <v>2776</v>
      </c>
      <c r="D131" s="2829" t="s">
        <v>2777</v>
      </c>
      <c r="E131" s="2855">
        <v>0.1</v>
      </c>
      <c r="F131" s="2855">
        <v>15</v>
      </c>
    </row>
    <row r="132" spans="1:6" ht="24">
      <c r="A132" s="2855">
        <v>60</v>
      </c>
      <c r="B132" s="3589" t="s">
        <v>2778</v>
      </c>
      <c r="C132" s="2855" t="s">
        <v>2779</v>
      </c>
      <c r="D132" s="2829" t="s">
        <v>2780</v>
      </c>
      <c r="E132" s="2855">
        <v>0.1</v>
      </c>
      <c r="F132" s="2855">
        <v>15</v>
      </c>
    </row>
    <row r="133" spans="1:6" ht="24">
      <c r="A133" s="2855">
        <v>61</v>
      </c>
      <c r="B133" s="3590"/>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24">
      <c r="A135" s="2855">
        <v>63</v>
      </c>
      <c r="B135" s="3588" t="s">
        <v>2786</v>
      </c>
      <c r="C135" s="2855" t="s">
        <v>2787</v>
      </c>
      <c r="D135" s="2829" t="s">
        <v>2788</v>
      </c>
      <c r="E135" s="2855">
        <v>0.1</v>
      </c>
      <c r="F135" s="2855">
        <v>15</v>
      </c>
    </row>
    <row r="136" spans="1:6" ht="13.5">
      <c r="A136" s="2855">
        <v>64</v>
      </c>
      <c r="B136" s="3588"/>
      <c r="C136" s="2855" t="s">
        <v>2789</v>
      </c>
      <c r="D136" s="2829" t="s">
        <v>2790</v>
      </c>
      <c r="E136" s="2855">
        <v>0.1</v>
      </c>
      <c r="F136" s="2855">
        <v>15</v>
      </c>
    </row>
    <row r="137" spans="1:6" ht="24">
      <c r="A137" s="2855">
        <v>65</v>
      </c>
      <c r="B137" s="2855" t="s">
        <v>2791</v>
      </c>
      <c r="C137" s="2855" t="s">
        <v>2792</v>
      </c>
      <c r="D137" s="2829" t="s">
        <v>2793</v>
      </c>
      <c r="E137" s="2855">
        <v>0.1</v>
      </c>
      <c r="F137" s="2855">
        <v>15</v>
      </c>
    </row>
    <row r="138" spans="1:6" ht="13.5">
      <c r="A138" s="2855"/>
      <c r="B138" s="2855"/>
      <c r="C138" s="2855"/>
      <c r="D138" s="2855"/>
      <c r="E138" s="2855" t="s">
        <v>2794</v>
      </c>
      <c r="F138" s="285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7"/>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0</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625" style="1390" customWidth="1"/>
    <col min="5" max="5" width="0.5" style="1390" customWidth="1"/>
    <col min="6" max="7" width="13" style="1390" customWidth="1"/>
    <col min="8" max="16384" width="9" style="1390"/>
  </cols>
  <sheetData>
    <row r="1" spans="1:5" ht="18.75">
      <c r="A1" s="1389" t="s">
        <v>908</v>
      </c>
    </row>
    <row r="2" spans="1:5" ht="78" customHeight="1">
      <c r="A2" s="3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7"/>
      <c r="C2" s="3287"/>
      <c r="D2" s="3287"/>
      <c r="E2" s="3287"/>
    </row>
    <row r="3" spans="1:5" ht="18">
      <c r="A3" s="3288" t="str">
        <f>IF(项目基本情况!B9="房地产市场价值","估价结果一览表（市场价值不需“结果表-1”）","估价结果一览表")</f>
        <v>估价结果一览表</v>
      </c>
      <c r="B3" s="3288"/>
      <c r="C3" s="3288"/>
      <c r="D3" s="3288"/>
      <c r="E3" s="3288"/>
    </row>
    <row r="4" spans="1:5" ht="19.5" thickBot="1">
      <c r="A4" s="1391"/>
      <c r="B4" s="3286" t="s">
        <v>917</v>
      </c>
      <c r="C4" s="3286"/>
      <c r="D4" s="3286"/>
      <c r="E4" s="1391"/>
    </row>
    <row r="5" spans="1:5" ht="16.5" thickTop="1">
      <c r="B5" s="3284" t="s">
        <v>909</v>
      </c>
      <c r="C5" s="1392" t="s">
        <v>910</v>
      </c>
      <c r="D5" s="797" t="e">
        <f ca="1">结果表!H101</f>
        <v>#REF!</v>
      </c>
    </row>
    <row r="6" spans="1:5" ht="15.75">
      <c r="B6" s="3284"/>
      <c r="C6" s="1392" t="s">
        <v>911</v>
      </c>
      <c r="D6" s="797" t="e">
        <f ca="1">NUMBERSTRING(INT(D5*10000),2)&amp;"元整"</f>
        <v>#REF!</v>
      </c>
    </row>
    <row r="7" spans="1:5" ht="15.75">
      <c r="B7" s="3289"/>
      <c r="C7" s="1393" t="s">
        <v>912</v>
      </c>
      <c r="D7" s="798" t="e">
        <f ca="1">结果表!H102</f>
        <v>#REF!</v>
      </c>
    </row>
    <row r="8" spans="1:5" ht="15.75">
      <c r="B8" s="3290" t="str">
        <f>结果表!E103</f>
        <v>2.估价师知悉的法定优先受偿款</v>
      </c>
      <c r="C8" s="1394" t="s">
        <v>913</v>
      </c>
      <c r="D8" s="798">
        <f>结果表!H103</f>
        <v>0</v>
      </c>
    </row>
    <row r="9" spans="1:5" ht="15.75">
      <c r="B9" s="32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83" t="str">
        <f>结果表!E107</f>
        <v>3.房地产抵押价值</v>
      </c>
      <c r="C13" s="1397" t="s">
        <v>910</v>
      </c>
      <c r="D13" s="800" t="e">
        <f ca="1">结果表!H107</f>
        <v>#REF!</v>
      </c>
    </row>
    <row r="14" spans="1:5" ht="15.75">
      <c r="B14" s="3284"/>
      <c r="C14" s="1392" t="s">
        <v>911</v>
      </c>
      <c r="D14" s="797" t="e">
        <f ca="1">NUMBERSTRING(INT(D13*10000),2)&amp;"元整"</f>
        <v>#REF!</v>
      </c>
    </row>
    <row r="15" spans="1:5" ht="15">
      <c r="B15" s="3289"/>
      <c r="C15" s="1393" t="s">
        <v>921</v>
      </c>
      <c r="D15" s="806" t="e">
        <f ca="1">结果表!H108</f>
        <v>#REF!</v>
      </c>
    </row>
    <row r="16" spans="1:5" ht="15">
      <c r="B16" s="3290" t="str">
        <f>结果表!E109</f>
        <v>——</v>
      </c>
      <c r="C16" s="1397" t="s">
        <v>922</v>
      </c>
      <c r="D16" s="1398" t="str">
        <f>结果表!H109</f>
        <v>——</v>
      </c>
    </row>
    <row r="17" spans="1:5" ht="15.75">
      <c r="B17" s="3291"/>
      <c r="C17" s="1392" t="s">
        <v>923</v>
      </c>
      <c r="D17" s="797" t="e">
        <f>NUMBERSTRING(INT(D16*10000),2)&amp;"元整"</f>
        <v>#VALUE!</v>
      </c>
    </row>
    <row r="18" spans="1:5" ht="15">
      <c r="B18" s="3292"/>
      <c r="C18" s="1393" t="s">
        <v>912</v>
      </c>
      <c r="D18" s="806" t="str">
        <f>结果表!H110</f>
        <v>——</v>
      </c>
    </row>
    <row r="19" spans="1:5" ht="15.75">
      <c r="B19" s="3283" t="str">
        <f>结果表!E111</f>
        <v>——</v>
      </c>
      <c r="C19" s="1397" t="s">
        <v>910</v>
      </c>
      <c r="D19" s="798" t="str">
        <f>结果表!H111</f>
        <v>——</v>
      </c>
    </row>
    <row r="20" spans="1:5" ht="15.75">
      <c r="B20" s="3284"/>
      <c r="C20" s="1392" t="s">
        <v>923</v>
      </c>
      <c r="D20" s="797" t="e">
        <f>NUMBERSTRING(INT(D19*10000),2)&amp;"元整"</f>
        <v>#VALUE!</v>
      </c>
    </row>
    <row r="21" spans="1:5" ht="15.75" thickBot="1">
      <c r="B21" s="32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464" t="s">
        <v>94</v>
      </c>
    </row>
    <row r="43" spans="1:7" ht="13.5" customHeight="1">
      <c r="A43" s="734" t="s">
        <v>347</v>
      </c>
      <c r="B43" s="207" t="s">
        <v>426</v>
      </c>
      <c r="C43" s="230" t="e">
        <f ca="1">ROUND(IF('数据-取费表'!B22&lt;=1,C39*F22*'数据-取费表'!B21/2,C39*(POWER((1+F22),'数据-取费表'!B21/2)-1)),0)</f>
        <v>#VALUE!</v>
      </c>
      <c r="D43" s="230"/>
      <c r="E43" s="230"/>
      <c r="F43" s="231"/>
      <c r="G43" s="3465"/>
    </row>
    <row r="44" spans="1:7" ht="13.5" customHeight="1">
      <c r="A44" s="734" t="s">
        <v>348</v>
      </c>
      <c r="B44" s="207" t="s">
        <v>428</v>
      </c>
      <c r="C44" s="230" t="e">
        <f ca="1">ROUND(IF('数据-取费表'!B22&lt;=1,C40*F22*'数据-取费表'!B21/2,C40*(POWER((1+F22),'数据-取费表'!B21/2)-1)),4)</f>
        <v>#VALUE!</v>
      </c>
      <c r="D44" s="230"/>
      <c r="E44" s="230"/>
      <c r="F44" s="231"/>
      <c r="G44" s="34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2780" customWidth="1"/>
    <col min="2" max="2" width="18.625" style="2780" customWidth="1"/>
    <col min="3" max="6" width="10.125" style="2780" customWidth="1"/>
    <col min="7" max="7" width="10.5" style="2780" bestFit="1" customWidth="1"/>
    <col min="8" max="8" width="8.875" style="2779"/>
    <col min="9" max="9" width="13.375" style="2779" customWidth="1"/>
    <col min="10" max="13" width="13.375" style="2780" customWidth="1"/>
    <col min="14" max="14" width="18.125" style="2780" customWidth="1"/>
    <col min="15" max="17" width="15.125" style="2780" customWidth="1"/>
    <col min="18" max="20" width="11.5" style="2780" customWidth="1"/>
    <col min="21" max="16384" width="8.875" style="2780"/>
  </cols>
  <sheetData>
    <row r="1" spans="1:20" ht="12" thickBot="1">
      <c r="A1" s="3602" t="s">
        <v>2840</v>
      </c>
      <c r="B1" s="3602"/>
      <c r="C1" s="3602"/>
      <c r="D1" s="3602"/>
      <c r="E1" s="3602"/>
      <c r="F1" s="3602"/>
      <c r="G1" s="3603"/>
      <c r="I1" s="2936" t="s">
        <v>2841</v>
      </c>
      <c r="J1" s="2937" t="s">
        <v>2842</v>
      </c>
      <c r="K1" s="2937" t="s">
        <v>2843</v>
      </c>
      <c r="L1" s="2937" t="s">
        <v>2844</v>
      </c>
      <c r="M1" s="2937" t="s">
        <v>2845</v>
      </c>
      <c r="N1" s="2937" t="s">
        <v>2846</v>
      </c>
      <c r="O1" s="2937" t="s">
        <v>2847</v>
      </c>
      <c r="P1" s="2937" t="s">
        <v>2848</v>
      </c>
      <c r="Q1" s="2937" t="s">
        <v>2849</v>
      </c>
      <c r="R1" s="2937" t="s">
        <v>2850</v>
      </c>
      <c r="S1" s="2937" t="s">
        <v>2851</v>
      </c>
      <c r="T1" s="2938" t="s">
        <v>2852</v>
      </c>
    </row>
    <row r="2" spans="1:20" ht="12" thickBot="1">
      <c r="A2" s="2939" t="s">
        <v>2853</v>
      </c>
      <c r="B2" s="2939"/>
      <c r="C2" s="2939"/>
      <c r="D2" s="2939"/>
      <c r="E2" s="2939"/>
      <c r="F2" s="2939"/>
      <c r="G2" s="2940" t="s">
        <v>2854</v>
      </c>
      <c r="I2" s="2941" t="s">
        <v>2855</v>
      </c>
      <c r="J2" s="2941" t="s">
        <v>2856</v>
      </c>
      <c r="K2" s="2941" t="s">
        <v>2857</v>
      </c>
      <c r="L2" s="2941" t="s">
        <v>2858</v>
      </c>
      <c r="M2" s="2941" t="s">
        <v>2859</v>
      </c>
      <c r="N2" s="2941" t="s">
        <v>2860</v>
      </c>
      <c r="O2" s="2941" t="s">
        <v>2861</v>
      </c>
      <c r="P2" s="2941" t="s">
        <v>2862</v>
      </c>
      <c r="Q2" s="2941" t="s">
        <v>2863</v>
      </c>
      <c r="R2" s="2941" t="s">
        <v>2864</v>
      </c>
      <c r="S2" s="2941" t="s">
        <v>2865</v>
      </c>
      <c r="T2" s="2941" t="s">
        <v>2866</v>
      </c>
    </row>
    <row r="3" spans="1:20" s="2947" customFormat="1">
      <c r="A3" s="3600" t="s">
        <v>2867</v>
      </c>
      <c r="B3" s="2942"/>
      <c r="C3" s="2943" t="s">
        <v>2808</v>
      </c>
      <c r="D3" s="2943" t="s">
        <v>2868</v>
      </c>
      <c r="E3" s="2943" t="s">
        <v>2810</v>
      </c>
      <c r="F3" s="2943" t="s">
        <v>2869</v>
      </c>
      <c r="G3" s="2943" t="s">
        <v>2628</v>
      </c>
      <c r="H3" s="2944"/>
      <c r="I3" s="2945" t="s">
        <v>2870</v>
      </c>
      <c r="J3" s="2946" t="s">
        <v>128</v>
      </c>
      <c r="K3" s="2946" t="s">
        <v>129</v>
      </c>
      <c r="L3" s="2945" t="s">
        <v>130</v>
      </c>
      <c r="M3" s="2945" t="s">
        <v>131</v>
      </c>
      <c r="N3" s="2945" t="s">
        <v>132</v>
      </c>
      <c r="O3" s="2945" t="s">
        <v>133</v>
      </c>
      <c r="P3" s="2945" t="s">
        <v>134</v>
      </c>
      <c r="Q3" s="2945" t="s">
        <v>135</v>
      </c>
      <c r="R3" s="2945" t="s">
        <v>136</v>
      </c>
      <c r="S3" s="2945" t="s">
        <v>2871</v>
      </c>
      <c r="T3" s="2945" t="s">
        <v>2872</v>
      </c>
    </row>
    <row r="4" spans="1:20" s="2947" customFormat="1" ht="12" thickBot="1">
      <c r="A4" s="3601"/>
      <c r="B4" s="2948" t="s">
        <v>2873</v>
      </c>
      <c r="C4" s="2948" t="s">
        <v>2874</v>
      </c>
      <c r="D4" s="2948" t="s">
        <v>2874</v>
      </c>
      <c r="E4" s="2948" t="s">
        <v>2874</v>
      </c>
      <c r="F4" s="2949" t="s">
        <v>2874</v>
      </c>
      <c r="G4" s="2949" t="s">
        <v>2874</v>
      </c>
      <c r="H4" s="2944"/>
      <c r="I4" s="2946" t="s">
        <v>137</v>
      </c>
      <c r="J4" s="2946" t="s">
        <v>111</v>
      </c>
      <c r="K4" s="2946" t="s">
        <v>138</v>
      </c>
      <c r="L4" s="2945" t="s">
        <v>139</v>
      </c>
      <c r="M4" s="2945" t="s">
        <v>140</v>
      </c>
      <c r="N4" s="2945" t="s">
        <v>141</v>
      </c>
      <c r="O4" s="2945" t="s">
        <v>142</v>
      </c>
      <c r="P4" s="2945" t="s">
        <v>143</v>
      </c>
      <c r="Q4" s="2945" t="s">
        <v>2875</v>
      </c>
      <c r="R4" s="2945" t="s">
        <v>2876</v>
      </c>
      <c r="S4" s="2945" t="s">
        <v>2877</v>
      </c>
      <c r="T4" s="2945" t="s">
        <v>2878</v>
      </c>
    </row>
    <row r="5" spans="1:20">
      <c r="A5" s="2950" t="s">
        <v>2841</v>
      </c>
      <c r="B5" s="2941" t="s">
        <v>2855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2879</v>
      </c>
      <c r="R5" s="2945" t="s">
        <v>2880</v>
      </c>
      <c r="S5" s="2945" t="s">
        <v>153</v>
      </c>
      <c r="T5" s="2945" t="s">
        <v>2881</v>
      </c>
    </row>
    <row r="6" spans="1:20" ht="12" thickBot="1">
      <c r="A6" s="2945" t="s">
        <v>144</v>
      </c>
      <c r="B6" s="2945" t="s">
        <v>2870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2882</v>
      </c>
      <c r="Q6" s="2945" t="s">
        <v>2883</v>
      </c>
      <c r="R6" s="2945" t="s">
        <v>161</v>
      </c>
      <c r="S6" s="2945" t="s">
        <v>2884</v>
      </c>
      <c r="T6" s="2945" t="s">
        <v>2885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2886</v>
      </c>
      <c r="Q7" s="2945" t="s">
        <v>2887</v>
      </c>
      <c r="R7" s="2945" t="s">
        <v>2888</v>
      </c>
      <c r="S7" s="2945" t="s">
        <v>2889</v>
      </c>
      <c r="T7" s="2945" t="s">
        <v>2890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2891</v>
      </c>
      <c r="Q8" s="2945" t="s">
        <v>174</v>
      </c>
      <c r="R8" s="2945" t="s">
        <v>2892</v>
      </c>
      <c r="S8" s="2945" t="s">
        <v>2893</v>
      </c>
      <c r="T8" s="2952" t="s">
        <v>2894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2895</v>
      </c>
      <c r="Q9" s="2945" t="s">
        <v>182</v>
      </c>
      <c r="R9" s="2945" t="s">
        <v>183</v>
      </c>
      <c r="S9" s="2945" t="s">
        <v>200</v>
      </c>
    </row>
    <row r="10" spans="1:20">
      <c r="A10" s="2950" t="s">
        <v>184</v>
      </c>
      <c r="B10" s="2941" t="s">
        <v>2856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2897</v>
      </c>
      <c r="P11" s="2945" t="s">
        <v>191</v>
      </c>
      <c r="Q11" s="2945" t="s">
        <v>199</v>
      </c>
      <c r="R11" s="2945" t="s">
        <v>2898</v>
      </c>
      <c r="S11" s="2945" t="s">
        <v>2899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2900</v>
      </c>
      <c r="P12" s="2945" t="s">
        <v>2901</v>
      </c>
      <c r="Q12" s="2945" t="s">
        <v>2902</v>
      </c>
      <c r="R12" s="2945" t="s">
        <v>2903</v>
      </c>
      <c r="S12" s="2945" t="s">
        <v>2904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2906</v>
      </c>
      <c r="K14" s="2946" t="s">
        <v>215</v>
      </c>
      <c r="L14" s="2945" t="s">
        <v>216</v>
      </c>
      <c r="M14" s="2945" t="s">
        <v>217</v>
      </c>
      <c r="N14" s="2945" t="s">
        <v>218</v>
      </c>
      <c r="O14" s="2945" t="s">
        <v>240</v>
      </c>
      <c r="P14" s="2945" t="s">
        <v>213</v>
      </c>
      <c r="Q14" s="2945" t="s">
        <v>2907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2908</v>
      </c>
      <c r="P15" s="2945" t="s">
        <v>2909</v>
      </c>
      <c r="Q15" s="2945" t="s">
        <v>242</v>
      </c>
      <c r="R15" s="2945" t="s">
        <v>2910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2911</v>
      </c>
      <c r="P16" s="2945" t="s">
        <v>227</v>
      </c>
      <c r="Q16" s="2945" t="s">
        <v>250</v>
      </c>
      <c r="R16" s="2945" t="s">
        <v>207</v>
      </c>
      <c r="S16" s="2945" t="s">
        <v>2912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2913</v>
      </c>
      <c r="P17" s="2945" t="s">
        <v>2914</v>
      </c>
      <c r="Q17" s="2945" t="s">
        <v>256</v>
      </c>
      <c r="R17" s="2945" t="s">
        <v>2915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2916</v>
      </c>
      <c r="P18" s="2945" t="s">
        <v>241</v>
      </c>
      <c r="Q18" s="2945" t="s">
        <v>2917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2918</v>
      </c>
      <c r="P19" s="2945" t="s">
        <v>249</v>
      </c>
      <c r="Q19" s="2945" t="s">
        <v>2919</v>
      </c>
      <c r="R19" s="2945" t="s">
        <v>265</v>
      </c>
      <c r="S19" s="2945" t="s">
        <v>2920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2921</v>
      </c>
      <c r="P20" s="2945" t="s">
        <v>2922</v>
      </c>
      <c r="Q20" s="2945" t="s">
        <v>290</v>
      </c>
      <c r="R20" s="2945" t="s">
        <v>2923</v>
      </c>
      <c r="S20" s="2945" t="s">
        <v>277</v>
      </c>
    </row>
    <row r="21" spans="1:19" ht="14.25" customHeight="1" thickBot="1">
      <c r="A21" s="2945" t="s">
        <v>184</v>
      </c>
      <c r="B21" s="2946" t="s">
        <v>208</v>
      </c>
      <c r="C21" s="2945">
        <v>32370</v>
      </c>
      <c r="D21" s="2945">
        <v>26730</v>
      </c>
      <c r="E21" s="2945">
        <v>26640</v>
      </c>
      <c r="F21" s="2945"/>
      <c r="G21" s="2945">
        <v>19440</v>
      </c>
      <c r="J21" s="2952" t="s">
        <v>2924</v>
      </c>
      <c r="K21" s="2946" t="s">
        <v>267</v>
      </c>
      <c r="L21" s="2945" t="s">
        <v>268</v>
      </c>
      <c r="M21" s="2945" t="s">
        <v>269</v>
      </c>
      <c r="N21" s="2945" t="s">
        <v>270</v>
      </c>
      <c r="O21" s="2945" t="s">
        <v>264</v>
      </c>
      <c r="P21" s="2945" t="s">
        <v>283</v>
      </c>
      <c r="Q21" s="2945" t="s">
        <v>293</v>
      </c>
      <c r="R21" s="2945" t="s">
        <v>2925</v>
      </c>
      <c r="S21" s="2952" t="s">
        <v>2926</v>
      </c>
    </row>
    <row r="22" spans="1:19" ht="14.25" customHeight="1">
      <c r="A22" s="2945" t="s">
        <v>184</v>
      </c>
      <c r="B22" s="2946" t="s">
        <v>2906</v>
      </c>
      <c r="C22" s="2945">
        <v>29830</v>
      </c>
      <c r="D22" s="2945">
        <v>27600</v>
      </c>
      <c r="E22" s="2945">
        <v>28150</v>
      </c>
      <c r="F22" s="2945"/>
      <c r="G22" s="2945">
        <v>20080</v>
      </c>
      <c r="K22" s="2946" t="s">
        <v>2927</v>
      </c>
      <c r="L22" s="2945" t="s">
        <v>272</v>
      </c>
      <c r="M22" s="2945" t="s">
        <v>273</v>
      </c>
      <c r="N22" s="2945" t="s">
        <v>274</v>
      </c>
      <c r="O22" s="2945" t="s">
        <v>2928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2929</v>
      </c>
      <c r="L23" s="2945" t="s">
        <v>278</v>
      </c>
      <c r="M23" s="2945" t="s">
        <v>279</v>
      </c>
      <c r="N23" s="2945" t="s">
        <v>2930</v>
      </c>
      <c r="O23" s="2945" t="s">
        <v>2931</v>
      </c>
      <c r="P23" s="2945" t="s">
        <v>289</v>
      </c>
      <c r="Q23" s="2945" t="s">
        <v>298</v>
      </c>
      <c r="R23" s="2945" t="s">
        <v>2932</v>
      </c>
    </row>
    <row r="24" spans="1:19" ht="14.25" customHeight="1">
      <c r="A24" s="2945" t="s">
        <v>184</v>
      </c>
      <c r="B24" s="2946" t="s">
        <v>230</v>
      </c>
      <c r="C24" s="2945">
        <v>27930</v>
      </c>
      <c r="D24" s="2945">
        <v>32260</v>
      </c>
      <c r="E24" s="2945">
        <v>32120</v>
      </c>
      <c r="F24" s="2945"/>
      <c r="G24" s="2945">
        <v>23470</v>
      </c>
      <c r="K24" s="2946" t="s">
        <v>2933</v>
      </c>
      <c r="L24" s="2945" t="s">
        <v>281</v>
      </c>
      <c r="M24" s="2945" t="s">
        <v>282</v>
      </c>
      <c r="N24" s="2945" t="s">
        <v>2934</v>
      </c>
      <c r="O24" s="2945" t="s">
        <v>285</v>
      </c>
      <c r="P24" s="2945" t="s">
        <v>2935</v>
      </c>
      <c r="Q24" s="2954" t="s">
        <v>2936</v>
      </c>
      <c r="R24" s="2945" t="s">
        <v>2937</v>
      </c>
    </row>
    <row r="25" spans="1:19" ht="14.25" customHeight="1">
      <c r="A25" s="2945" t="s">
        <v>184</v>
      </c>
      <c r="B25" s="2946" t="s">
        <v>235</v>
      </c>
      <c r="C25" s="2945">
        <v>32230</v>
      </c>
      <c r="D25" s="2945">
        <v>29640</v>
      </c>
      <c r="E25" s="2945">
        <v>29510</v>
      </c>
      <c r="F25" s="2945"/>
      <c r="G25" s="2945">
        <v>21560</v>
      </c>
      <c r="K25" s="2946" t="s">
        <v>2938</v>
      </c>
      <c r="L25" s="2945" t="s">
        <v>2939</v>
      </c>
      <c r="M25" s="2945" t="s">
        <v>284</v>
      </c>
      <c r="N25" s="2945" t="s">
        <v>292</v>
      </c>
      <c r="O25" s="2945" t="s">
        <v>288</v>
      </c>
      <c r="P25" s="2945" t="s">
        <v>275</v>
      </c>
      <c r="Q25" s="2954" t="s">
        <v>271</v>
      </c>
      <c r="R25" s="2945" t="s">
        <v>2940</v>
      </c>
    </row>
    <row r="26" spans="1:19" ht="14.25" customHeight="1" thickBot="1">
      <c r="A26" s="2945" t="s">
        <v>184</v>
      </c>
      <c r="B26" s="2946" t="s">
        <v>244</v>
      </c>
      <c r="C26" s="2945">
        <v>31690</v>
      </c>
      <c r="D26" s="2945">
        <v>27650</v>
      </c>
      <c r="E26" s="2945">
        <v>28200</v>
      </c>
      <c r="F26" s="2945"/>
      <c r="G26" s="2945">
        <v>20110</v>
      </c>
      <c r="K26" s="2951" t="s">
        <v>2941</v>
      </c>
      <c r="L26" s="2945" t="s">
        <v>2942</v>
      </c>
      <c r="M26" s="2945" t="s">
        <v>287</v>
      </c>
      <c r="N26" s="2945" t="s">
        <v>294</v>
      </c>
      <c r="O26" s="2945" t="s">
        <v>2943</v>
      </c>
      <c r="P26" s="2945" t="s">
        <v>2944</v>
      </c>
      <c r="Q26" s="2954" t="s">
        <v>276</v>
      </c>
      <c r="R26" s="2945" t="s">
        <v>2945</v>
      </c>
    </row>
    <row r="27" spans="1:19" ht="14.25" customHeight="1">
      <c r="A27" s="2945" t="s">
        <v>184</v>
      </c>
      <c r="B27" s="2946" t="s">
        <v>251</v>
      </c>
      <c r="C27" s="2945">
        <v>29610</v>
      </c>
      <c r="D27" s="2945">
        <v>27770</v>
      </c>
      <c r="E27" s="2945">
        <v>28300</v>
      </c>
      <c r="F27" s="2945"/>
      <c r="G27" s="2945">
        <v>20210</v>
      </c>
      <c r="L27" s="2945" t="s">
        <v>2946</v>
      </c>
      <c r="M27" s="2945" t="s">
        <v>291</v>
      </c>
      <c r="N27" s="2945" t="s">
        <v>297</v>
      </c>
      <c r="O27" s="2945" t="s">
        <v>2947</v>
      </c>
      <c r="P27" s="2945" t="s">
        <v>2948</v>
      </c>
      <c r="Q27" s="2945" t="s">
        <v>2949</v>
      </c>
      <c r="R27" s="2945" t="s">
        <v>2950</v>
      </c>
    </row>
    <row r="28" spans="1:19" ht="14.25" customHeight="1">
      <c r="A28" s="2945" t="s">
        <v>184</v>
      </c>
      <c r="B28" s="2946" t="s">
        <v>259</v>
      </c>
      <c r="C28" s="2945"/>
      <c r="D28" s="2945">
        <v>31520</v>
      </c>
      <c r="E28" s="2945">
        <v>31410</v>
      </c>
      <c r="F28" s="2945"/>
      <c r="G28" s="2945">
        <v>22940</v>
      </c>
      <c r="L28" s="2945" t="s">
        <v>2951</v>
      </c>
      <c r="M28" s="2945" t="s">
        <v>2952</v>
      </c>
      <c r="N28" s="2945" t="s">
        <v>2953</v>
      </c>
      <c r="O28" s="2945" t="s">
        <v>2954</v>
      </c>
      <c r="P28" s="2945" t="s">
        <v>2955</v>
      </c>
      <c r="Q28" s="2945" t="s">
        <v>2956</v>
      </c>
      <c r="R28" s="2945" t="s">
        <v>2957</v>
      </c>
    </row>
    <row r="29" spans="1:19" ht="14.25" customHeight="1" thickBot="1">
      <c r="A29" s="2953" t="s">
        <v>184</v>
      </c>
      <c r="B29" s="2955" t="s">
        <v>2924</v>
      </c>
      <c r="C29" s="2956"/>
      <c r="D29" s="2956">
        <v>29460</v>
      </c>
      <c r="E29" s="2956">
        <v>28640</v>
      </c>
      <c r="F29" s="2956"/>
      <c r="G29" s="2956">
        <v>21430</v>
      </c>
      <c r="L29" s="2945" t="s">
        <v>2958</v>
      </c>
      <c r="M29" s="2945" t="s">
        <v>2959</v>
      </c>
      <c r="N29" s="2945" t="s">
        <v>2960</v>
      </c>
      <c r="O29" s="2945" t="s">
        <v>2961</v>
      </c>
      <c r="P29" s="2945" t="s">
        <v>2962</v>
      </c>
      <c r="Q29" s="2945" t="s">
        <v>2963</v>
      </c>
      <c r="R29" s="2945" t="s">
        <v>280</v>
      </c>
    </row>
    <row r="30" spans="1:19" ht="14.25" customHeight="1">
      <c r="A30" s="2950" t="s">
        <v>296</v>
      </c>
      <c r="B30" s="2941" t="s">
        <v>2857</v>
      </c>
      <c r="C30" s="2941">
        <v>26890</v>
      </c>
      <c r="D30" s="2941">
        <v>26770</v>
      </c>
      <c r="E30" s="2941">
        <v>25700</v>
      </c>
      <c r="F30" s="2941">
        <v>8180</v>
      </c>
      <c r="G30" s="2957">
        <v>18740</v>
      </c>
      <c r="L30" s="2945" t="s">
        <v>2964</v>
      </c>
      <c r="M30" s="2945" t="s">
        <v>2965</v>
      </c>
      <c r="N30" s="2945" t="s">
        <v>2966</v>
      </c>
      <c r="O30" s="2945" t="s">
        <v>2967</v>
      </c>
      <c r="P30" s="2945" t="s">
        <v>2968</v>
      </c>
      <c r="Q30" s="2945" t="s">
        <v>2969</v>
      </c>
      <c r="R30" s="2945" t="s">
        <v>2970</v>
      </c>
    </row>
    <row r="31" spans="1:19" ht="14.25" customHeight="1">
      <c r="A31" s="2945" t="s">
        <v>296</v>
      </c>
      <c r="B31" s="2946" t="s">
        <v>129</v>
      </c>
      <c r="C31" s="2945">
        <v>24550</v>
      </c>
      <c r="D31" s="2945">
        <v>23990</v>
      </c>
      <c r="E31" s="2945">
        <v>22930</v>
      </c>
      <c r="F31" s="2945">
        <v>7470</v>
      </c>
      <c r="G31" s="2958">
        <v>16790</v>
      </c>
      <c r="L31" s="2945" t="s">
        <v>2971</v>
      </c>
      <c r="M31" s="2945" t="s">
        <v>2972</v>
      </c>
      <c r="N31" s="2945" t="s">
        <v>2973</v>
      </c>
      <c r="O31" s="2945" t="s">
        <v>2974</v>
      </c>
      <c r="P31" s="2945" t="s">
        <v>2975</v>
      </c>
      <c r="Q31" s="2945" t="s">
        <v>2976</v>
      </c>
      <c r="R31" s="2945" t="s">
        <v>2977</v>
      </c>
    </row>
    <row r="32" spans="1:19" ht="14.25" customHeight="1" thickBot="1">
      <c r="A32" s="2945" t="s">
        <v>296</v>
      </c>
      <c r="B32" s="2946" t="s">
        <v>138</v>
      </c>
      <c r="C32" s="2945">
        <v>27210</v>
      </c>
      <c r="D32" s="2945">
        <v>23240</v>
      </c>
      <c r="E32" s="2945">
        <v>23260</v>
      </c>
      <c r="F32" s="2945">
        <v>7130</v>
      </c>
      <c r="G32" s="2958">
        <v>16270</v>
      </c>
      <c r="L32" s="2945" t="s">
        <v>2978</v>
      </c>
      <c r="M32" s="2945" t="s">
        <v>2979</v>
      </c>
      <c r="N32" s="2945" t="s">
        <v>300</v>
      </c>
      <c r="O32" s="2945" t="s">
        <v>2980</v>
      </c>
      <c r="P32" s="2945" t="s">
        <v>299</v>
      </c>
      <c r="Q32" s="2945" t="s">
        <v>2981</v>
      </c>
      <c r="R32" s="2952" t="s">
        <v>2982</v>
      </c>
    </row>
    <row r="33" spans="1:17" ht="14.25" customHeight="1" thickBot="1">
      <c r="A33" s="2945" t="s">
        <v>296</v>
      </c>
      <c r="B33" s="2946" t="s">
        <v>147</v>
      </c>
      <c r="C33" s="2945">
        <v>27300</v>
      </c>
      <c r="D33" s="2945">
        <v>22980</v>
      </c>
      <c r="E33" s="2945">
        <v>24260</v>
      </c>
      <c r="F33" s="2945">
        <v>5860</v>
      </c>
      <c r="G33" s="2958">
        <v>16090</v>
      </c>
      <c r="L33" s="2952" t="s">
        <v>2983</v>
      </c>
      <c r="M33" s="2945" t="s">
        <v>2984</v>
      </c>
      <c r="N33" s="2945" t="s">
        <v>301</v>
      </c>
      <c r="O33" s="2945" t="s">
        <v>2985</v>
      </c>
      <c r="P33" s="2945" t="s">
        <v>2986</v>
      </c>
      <c r="Q33" s="2945" t="s">
        <v>2987</v>
      </c>
    </row>
    <row r="34" spans="1:17" ht="14.25" customHeight="1">
      <c r="A34" s="2945" t="s">
        <v>296</v>
      </c>
      <c r="B34" s="2946" t="s">
        <v>156</v>
      </c>
      <c r="C34" s="2945">
        <v>23090</v>
      </c>
      <c r="D34" s="2945">
        <v>23390</v>
      </c>
      <c r="E34" s="2945">
        <v>23510</v>
      </c>
      <c r="F34" s="2945">
        <v>6700</v>
      </c>
      <c r="G34" s="2958">
        <v>16370</v>
      </c>
      <c r="M34" s="2945" t="s">
        <v>2988</v>
      </c>
      <c r="N34" s="2945" t="s">
        <v>302</v>
      </c>
      <c r="O34" s="2945" t="s">
        <v>2989</v>
      </c>
      <c r="P34" s="2945" t="s">
        <v>2990</v>
      </c>
      <c r="Q34" s="2945" t="s">
        <v>2991</v>
      </c>
    </row>
    <row r="35" spans="1:17" ht="14.25" customHeight="1">
      <c r="A35" s="2945" t="s">
        <v>296</v>
      </c>
      <c r="B35" s="2946" t="s">
        <v>163</v>
      </c>
      <c r="C35" s="2945">
        <v>27270</v>
      </c>
      <c r="D35" s="2945">
        <v>24270</v>
      </c>
      <c r="E35" s="2945">
        <v>24950</v>
      </c>
      <c r="F35" s="2945">
        <v>6600</v>
      </c>
      <c r="G35" s="2958">
        <v>16990</v>
      </c>
      <c r="M35" s="2945" t="s">
        <v>2992</v>
      </c>
      <c r="N35" s="2945" t="s">
        <v>2993</v>
      </c>
      <c r="O35" s="2945" t="s">
        <v>2994</v>
      </c>
      <c r="P35" s="2945" t="s">
        <v>2995</v>
      </c>
      <c r="Q35" s="2945" t="s">
        <v>2996</v>
      </c>
    </row>
    <row r="36" spans="1:17" ht="14.25" customHeight="1">
      <c r="A36" s="2945" t="s">
        <v>296</v>
      </c>
      <c r="B36" s="2946" t="s">
        <v>169</v>
      </c>
      <c r="C36" s="2945">
        <v>23490</v>
      </c>
      <c r="D36" s="2945">
        <v>23020</v>
      </c>
      <c r="E36" s="2945">
        <v>25230</v>
      </c>
      <c r="F36" s="2945">
        <v>6780</v>
      </c>
      <c r="G36" s="2958">
        <v>16120</v>
      </c>
      <c r="M36" s="2945" t="s">
        <v>2997</v>
      </c>
      <c r="N36" s="2945" t="s">
        <v>2998</v>
      </c>
      <c r="O36" s="2945" t="s">
        <v>2999</v>
      </c>
      <c r="P36" s="2945" t="s">
        <v>3000</v>
      </c>
      <c r="Q36" s="2945" t="s">
        <v>3001</v>
      </c>
    </row>
    <row r="37" spans="1:17" ht="14.25" customHeight="1">
      <c r="A37" s="2945" t="s">
        <v>296</v>
      </c>
      <c r="B37" s="2946" t="s">
        <v>176</v>
      </c>
      <c r="C37" s="2945">
        <v>24380</v>
      </c>
      <c r="D37" s="2945">
        <v>22240</v>
      </c>
      <c r="E37" s="2945">
        <v>25980</v>
      </c>
      <c r="F37" s="2945">
        <v>8160</v>
      </c>
      <c r="G37" s="2958">
        <v>15570</v>
      </c>
      <c r="M37" s="2945" t="s">
        <v>3002</v>
      </c>
      <c r="N37" s="2945" t="s">
        <v>3003</v>
      </c>
      <c r="O37" s="2945" t="s">
        <v>3004</v>
      </c>
      <c r="P37" s="2945" t="s">
        <v>3005</v>
      </c>
      <c r="Q37" s="2945" t="s">
        <v>3006</v>
      </c>
    </row>
    <row r="38" spans="1:17" ht="14.25" customHeight="1">
      <c r="A38" s="2945" t="s">
        <v>296</v>
      </c>
      <c r="B38" s="2946" t="s">
        <v>186</v>
      </c>
      <c r="C38" s="2945">
        <v>23120</v>
      </c>
      <c r="D38" s="2945">
        <v>24630</v>
      </c>
      <c r="E38" s="2945">
        <v>25030</v>
      </c>
      <c r="F38" s="2945">
        <v>7710</v>
      </c>
      <c r="G38" s="2958">
        <v>17240</v>
      </c>
      <c r="M38" s="2945" t="s">
        <v>3007</v>
      </c>
      <c r="N38" s="2945" t="s">
        <v>3008</v>
      </c>
      <c r="O38" s="2945" t="s">
        <v>3009</v>
      </c>
      <c r="P38" s="2945" t="s">
        <v>3010</v>
      </c>
      <c r="Q38" s="2945" t="s">
        <v>3011</v>
      </c>
    </row>
    <row r="39" spans="1:17" ht="14.25" customHeight="1">
      <c r="A39" s="2945" t="s">
        <v>296</v>
      </c>
      <c r="B39" s="2946" t="s">
        <v>195</v>
      </c>
      <c r="C39" s="2945">
        <v>22330</v>
      </c>
      <c r="D39" s="2945">
        <v>21140</v>
      </c>
      <c r="E39" s="2945">
        <v>23970</v>
      </c>
      <c r="F39" s="2945">
        <v>7940</v>
      </c>
      <c r="G39" s="2958">
        <v>14790</v>
      </c>
      <c r="M39" s="2945" t="s">
        <v>3012</v>
      </c>
      <c r="N39" s="2945" t="s">
        <v>3013</v>
      </c>
      <c r="O39" s="2945" t="s">
        <v>3014</v>
      </c>
      <c r="P39" s="2945" t="s">
        <v>3015</v>
      </c>
      <c r="Q39" s="2945" t="s">
        <v>3016</v>
      </c>
    </row>
    <row r="40" spans="1:17" ht="14.25" customHeight="1">
      <c r="A40" s="2945" t="s">
        <v>296</v>
      </c>
      <c r="B40" s="2946" t="s">
        <v>202</v>
      </c>
      <c r="C40" s="2945">
        <v>24740</v>
      </c>
      <c r="D40" s="2945">
        <v>24690</v>
      </c>
      <c r="E40" s="2945">
        <v>22610</v>
      </c>
      <c r="F40" s="2945"/>
      <c r="G40" s="2958">
        <v>17280</v>
      </c>
      <c r="M40" s="2945" t="s">
        <v>3017</v>
      </c>
      <c r="N40" s="2945" t="s">
        <v>3018</v>
      </c>
      <c r="O40" s="2945" t="s">
        <v>3019</v>
      </c>
      <c r="P40" s="2945" t="s">
        <v>3020</v>
      </c>
      <c r="Q40" s="2945" t="s">
        <v>3021</v>
      </c>
    </row>
    <row r="41" spans="1:17" ht="14.25" customHeight="1" thickBot="1">
      <c r="A41" s="2945" t="s">
        <v>296</v>
      </c>
      <c r="B41" s="2946" t="s">
        <v>209</v>
      </c>
      <c r="C41" s="2945">
        <v>21220</v>
      </c>
      <c r="D41" s="2945">
        <v>21120</v>
      </c>
      <c r="E41" s="2945">
        <v>22590</v>
      </c>
      <c r="F41" s="2945"/>
      <c r="G41" s="2958">
        <v>14780</v>
      </c>
      <c r="M41" s="2952" t="s">
        <v>3022</v>
      </c>
      <c r="N41" s="2945" t="s">
        <v>3023</v>
      </c>
      <c r="O41" s="2945" t="s">
        <v>3024</v>
      </c>
      <c r="P41" s="2945" t="s">
        <v>3025</v>
      </c>
      <c r="Q41" s="2945" t="s">
        <v>3026</v>
      </c>
    </row>
    <row r="42" spans="1:17" ht="14.25" customHeight="1">
      <c r="A42" s="2945" t="s">
        <v>296</v>
      </c>
      <c r="B42" s="2946" t="s">
        <v>215</v>
      </c>
      <c r="C42" s="2945">
        <v>24800</v>
      </c>
      <c r="D42" s="2945">
        <v>22280</v>
      </c>
      <c r="E42" s="2945">
        <v>24350</v>
      </c>
      <c r="F42" s="2945"/>
      <c r="G42" s="2958">
        <v>15590</v>
      </c>
      <c r="N42" s="2945" t="s">
        <v>3027</v>
      </c>
      <c r="O42" s="2945" t="s">
        <v>3028</v>
      </c>
      <c r="P42" s="2945" t="s">
        <v>3029</v>
      </c>
      <c r="Q42" s="2945" t="s">
        <v>3030</v>
      </c>
    </row>
    <row r="43" spans="1:17" ht="14.25" customHeight="1">
      <c r="A43" s="2945" t="s">
        <v>3031</v>
      </c>
      <c r="B43" s="2946" t="s">
        <v>223</v>
      </c>
      <c r="C43" s="2945">
        <v>21210</v>
      </c>
      <c r="D43" s="2945">
        <v>21160</v>
      </c>
      <c r="E43" s="2945">
        <v>22650</v>
      </c>
      <c r="F43" s="2945"/>
      <c r="G43" s="2958">
        <v>14800</v>
      </c>
      <c r="N43" s="2945" t="s">
        <v>3032</v>
      </c>
      <c r="O43" s="2945" t="s">
        <v>3033</v>
      </c>
      <c r="P43" s="2945" t="s">
        <v>3034</v>
      </c>
      <c r="Q43" s="2945" t="s">
        <v>3035</v>
      </c>
    </row>
    <row r="44" spans="1:17" ht="14.25" customHeight="1" thickBot="1">
      <c r="A44" s="2945" t="s">
        <v>296</v>
      </c>
      <c r="B44" s="2946" t="s">
        <v>231</v>
      </c>
      <c r="C44" s="2945">
        <v>22370</v>
      </c>
      <c r="D44" s="2945">
        <v>23140</v>
      </c>
      <c r="E44" s="2945">
        <v>25090</v>
      </c>
      <c r="F44" s="2945"/>
      <c r="G44" s="2958">
        <v>16190</v>
      </c>
      <c r="N44" s="2945" t="s">
        <v>3036</v>
      </c>
      <c r="O44" s="2945" t="s">
        <v>3037</v>
      </c>
      <c r="P44" s="2952" t="s">
        <v>3038</v>
      </c>
      <c r="Q44" s="2945" t="s">
        <v>3039</v>
      </c>
    </row>
    <row r="45" spans="1:17" ht="14.25" customHeight="1" thickBot="1">
      <c r="A45" s="2945" t="s">
        <v>296</v>
      </c>
      <c r="B45" s="2946" t="s">
        <v>236</v>
      </c>
      <c r="C45" s="2945">
        <v>21240</v>
      </c>
      <c r="D45" s="2945">
        <v>27050</v>
      </c>
      <c r="E45" s="2945">
        <v>28000</v>
      </c>
      <c r="F45" s="2945"/>
      <c r="G45" s="2958">
        <v>18940</v>
      </c>
      <c r="N45" s="2945" t="s">
        <v>3040</v>
      </c>
      <c r="O45" s="2952" t="s">
        <v>3041</v>
      </c>
      <c r="Q45" s="2945" t="s">
        <v>3042</v>
      </c>
    </row>
    <row r="46" spans="1:17" ht="14.25" customHeight="1">
      <c r="A46" s="2945" t="s">
        <v>296</v>
      </c>
      <c r="B46" s="2946" t="s">
        <v>245</v>
      </c>
      <c r="C46" s="2945">
        <v>23240</v>
      </c>
      <c r="D46" s="2945">
        <v>23000</v>
      </c>
      <c r="E46" s="2945">
        <v>24980</v>
      </c>
      <c r="F46" s="2945"/>
      <c r="G46" s="2958">
        <v>16100</v>
      </c>
      <c r="N46" s="2945" t="s">
        <v>3043</v>
      </c>
      <c r="Q46" s="2945" t="s">
        <v>3044</v>
      </c>
    </row>
    <row r="47" spans="1:17" ht="14.25" customHeight="1">
      <c r="A47" s="2945" t="s">
        <v>296</v>
      </c>
      <c r="B47" s="2946" t="s">
        <v>252</v>
      </c>
      <c r="C47" s="2945">
        <v>27150</v>
      </c>
      <c r="D47" s="2945">
        <v>23310</v>
      </c>
      <c r="E47" s="2945">
        <v>25150</v>
      </c>
      <c r="F47" s="2945"/>
      <c r="G47" s="2958">
        <v>16310</v>
      </c>
      <c r="N47" s="2945" t="s">
        <v>3045</v>
      </c>
      <c r="Q47" s="2945" t="s">
        <v>3046</v>
      </c>
    </row>
    <row r="48" spans="1:17" ht="14.25" customHeight="1">
      <c r="A48" s="2945" t="s">
        <v>296</v>
      </c>
      <c r="B48" s="2946" t="s">
        <v>260</v>
      </c>
      <c r="C48" s="2945">
        <v>23100</v>
      </c>
      <c r="D48" s="2945">
        <v>21110</v>
      </c>
      <c r="E48" s="2945">
        <v>23080</v>
      </c>
      <c r="F48" s="2945"/>
      <c r="G48" s="2958">
        <v>14780</v>
      </c>
      <c r="N48" s="2945" t="s">
        <v>3047</v>
      </c>
      <c r="Q48" s="2945" t="s">
        <v>3048</v>
      </c>
    </row>
    <row r="49" spans="1:17" ht="14.25" customHeight="1">
      <c r="A49" s="2945" t="s">
        <v>296</v>
      </c>
      <c r="B49" s="2946" t="s">
        <v>267</v>
      </c>
      <c r="C49" s="2945">
        <v>23400</v>
      </c>
      <c r="D49" s="2945">
        <v>22920</v>
      </c>
      <c r="E49" s="2945">
        <v>24900</v>
      </c>
      <c r="F49" s="2945"/>
      <c r="G49" s="2958">
        <v>16040</v>
      </c>
      <c r="N49" s="2945" t="s">
        <v>3049</v>
      </c>
      <c r="Q49" s="2945" t="s">
        <v>3050</v>
      </c>
    </row>
    <row r="50" spans="1:17" ht="14.25" customHeight="1">
      <c r="A50" s="2945" t="s">
        <v>296</v>
      </c>
      <c r="B50" s="2946" t="s">
        <v>2927</v>
      </c>
      <c r="C50" s="2945">
        <v>21200</v>
      </c>
      <c r="D50" s="2945">
        <v>26540</v>
      </c>
      <c r="E50" s="2945">
        <v>23200</v>
      </c>
      <c r="F50" s="2945"/>
      <c r="G50" s="2958">
        <v>18580</v>
      </c>
      <c r="N50" s="2945" t="s">
        <v>3051</v>
      </c>
      <c r="Q50" s="2946" t="s">
        <v>3052</v>
      </c>
    </row>
    <row r="51" spans="1:17" ht="14.25" customHeight="1" thickBot="1">
      <c r="A51" s="2945" t="s">
        <v>296</v>
      </c>
      <c r="B51" s="2946" t="s">
        <v>2929</v>
      </c>
      <c r="C51" s="2945">
        <v>23000</v>
      </c>
      <c r="D51" s="2945">
        <v>23460</v>
      </c>
      <c r="E51" s="2945">
        <v>25290</v>
      </c>
      <c r="F51" s="2945"/>
      <c r="G51" s="2958">
        <v>16420</v>
      </c>
      <c r="N51" s="2945" t="s">
        <v>3053</v>
      </c>
      <c r="Q51" s="2952" t="s">
        <v>3054</v>
      </c>
    </row>
    <row r="52" spans="1:17" ht="14.25" customHeight="1">
      <c r="A52" s="2945" t="s">
        <v>296</v>
      </c>
      <c r="B52" s="2946" t="s">
        <v>2933</v>
      </c>
      <c r="C52" s="2945">
        <v>26660</v>
      </c>
      <c r="D52" s="2945">
        <v>22350</v>
      </c>
      <c r="E52" s="2945">
        <v>22920</v>
      </c>
      <c r="F52" s="2945"/>
      <c r="G52" s="2958">
        <v>15640</v>
      </c>
      <c r="N52" s="2945" t="s">
        <v>3055</v>
      </c>
    </row>
    <row r="53" spans="1:17" ht="14.25" customHeight="1">
      <c r="A53" s="2945" t="s">
        <v>296</v>
      </c>
      <c r="B53" s="2946" t="s">
        <v>2938</v>
      </c>
      <c r="C53" s="2945">
        <v>23580</v>
      </c>
      <c r="D53" s="2945"/>
      <c r="E53" s="2945">
        <v>24280</v>
      </c>
      <c r="F53" s="2945"/>
      <c r="G53" s="2958"/>
      <c r="N53" s="2945" t="s">
        <v>3056</v>
      </c>
    </row>
    <row r="54" spans="1:17" ht="14.25" customHeight="1" thickBot="1">
      <c r="A54" s="2959" t="s">
        <v>296</v>
      </c>
      <c r="B54" s="2951" t="s">
        <v>2941</v>
      </c>
      <c r="C54" s="2952">
        <v>22460</v>
      </c>
      <c r="D54" s="2952"/>
      <c r="E54" s="2952"/>
      <c r="F54" s="2952"/>
      <c r="G54" s="2960"/>
      <c r="N54" s="2945" t="s">
        <v>3057</v>
      </c>
    </row>
    <row r="55" spans="1:17" ht="14.25" customHeight="1">
      <c r="A55" s="2950" t="s">
        <v>110</v>
      </c>
      <c r="B55" s="2941" t="s">
        <v>3058</v>
      </c>
      <c r="C55" s="2945">
        <v>21970</v>
      </c>
      <c r="D55" s="2945">
        <v>20370</v>
      </c>
      <c r="E55" s="2945">
        <v>20180</v>
      </c>
      <c r="F55" s="2945">
        <v>5730</v>
      </c>
      <c r="G55" s="2945">
        <v>13820</v>
      </c>
      <c r="N55" s="2945" t="s">
        <v>3059</v>
      </c>
    </row>
    <row r="56" spans="1:17" ht="14.25" customHeight="1">
      <c r="A56" s="2945" t="s">
        <v>110</v>
      </c>
      <c r="B56" s="2945" t="s">
        <v>130</v>
      </c>
      <c r="C56" s="2945">
        <v>20470</v>
      </c>
      <c r="D56" s="2945">
        <v>20700</v>
      </c>
      <c r="E56" s="2945">
        <v>20380</v>
      </c>
      <c r="F56" s="2945">
        <v>4760</v>
      </c>
      <c r="G56" s="2945">
        <v>14050</v>
      </c>
      <c r="N56" s="2945" t="s">
        <v>3060</v>
      </c>
    </row>
    <row r="57" spans="1:17" ht="14.25" customHeight="1">
      <c r="A57" s="2945" t="s">
        <v>110</v>
      </c>
      <c r="B57" s="2945" t="s">
        <v>139</v>
      </c>
      <c r="C57" s="2945">
        <v>20790</v>
      </c>
      <c r="D57" s="2945">
        <v>21370</v>
      </c>
      <c r="E57" s="2945">
        <v>20890</v>
      </c>
      <c r="F57" s="2945">
        <v>4910</v>
      </c>
      <c r="G57" s="2945">
        <v>14510</v>
      </c>
      <c r="N57" s="2945" t="s">
        <v>3061</v>
      </c>
    </row>
    <row r="58" spans="1:17" ht="14.25" customHeight="1">
      <c r="A58" s="2945" t="s">
        <v>110</v>
      </c>
      <c r="B58" s="2945" t="s">
        <v>148</v>
      </c>
      <c r="C58" s="2945">
        <v>21460</v>
      </c>
      <c r="D58" s="2945">
        <v>20920</v>
      </c>
      <c r="E58" s="2945">
        <v>23410</v>
      </c>
      <c r="F58" s="2945">
        <v>5100</v>
      </c>
      <c r="G58" s="2945">
        <v>14200</v>
      </c>
      <c r="N58" s="2945" t="s">
        <v>3062</v>
      </c>
    </row>
    <row r="59" spans="1:17" ht="14.25" customHeight="1">
      <c r="A59" s="2945" t="s">
        <v>110</v>
      </c>
      <c r="B59" s="2945" t="s">
        <v>157</v>
      </c>
      <c r="C59" s="2945">
        <v>21000</v>
      </c>
      <c r="D59" s="2945">
        <v>21550</v>
      </c>
      <c r="E59" s="2945">
        <v>21150</v>
      </c>
      <c r="F59" s="2945">
        <v>5250</v>
      </c>
      <c r="G59" s="2945">
        <v>14630</v>
      </c>
      <c r="N59" s="2945" t="s">
        <v>3063</v>
      </c>
    </row>
    <row r="60" spans="1:17" ht="14.25" customHeight="1">
      <c r="A60" s="2945" t="s">
        <v>110</v>
      </c>
      <c r="B60" s="2945" t="s">
        <v>164</v>
      </c>
      <c r="C60" s="2945">
        <v>21640</v>
      </c>
      <c r="D60" s="2945">
        <v>21260</v>
      </c>
      <c r="E60" s="2945">
        <v>24040</v>
      </c>
      <c r="F60" s="2945">
        <v>4470</v>
      </c>
      <c r="G60" s="2945">
        <v>14430</v>
      </c>
      <c r="N60" s="2945" t="s">
        <v>3064</v>
      </c>
    </row>
    <row r="61" spans="1:17" ht="14.25" customHeight="1">
      <c r="A61" s="2945" t="s">
        <v>110</v>
      </c>
      <c r="B61" s="2945" t="s">
        <v>170</v>
      </c>
      <c r="C61" s="2945">
        <v>21330</v>
      </c>
      <c r="D61" s="2945">
        <v>18640</v>
      </c>
      <c r="E61" s="2945">
        <v>21190</v>
      </c>
      <c r="F61" s="2945">
        <v>4180</v>
      </c>
      <c r="G61" s="2945">
        <v>12650</v>
      </c>
      <c r="N61" s="2945" t="s">
        <v>3065</v>
      </c>
    </row>
    <row r="62" spans="1:17" ht="14.25" customHeight="1">
      <c r="A62" s="2945" t="s">
        <v>110</v>
      </c>
      <c r="B62" s="2945" t="s">
        <v>177</v>
      </c>
      <c r="C62" s="2945">
        <v>18710</v>
      </c>
      <c r="D62" s="2945">
        <v>19400</v>
      </c>
      <c r="E62" s="2945">
        <v>23750</v>
      </c>
      <c r="F62" s="2945">
        <v>4860</v>
      </c>
      <c r="G62" s="2945">
        <v>13170</v>
      </c>
      <c r="N62" s="2945" t="s">
        <v>3066</v>
      </c>
    </row>
    <row r="63" spans="1:17" ht="14.25" customHeight="1">
      <c r="A63" s="2945" t="s">
        <v>110</v>
      </c>
      <c r="B63" s="2945" t="s">
        <v>187</v>
      </c>
      <c r="C63" s="2945">
        <v>19480</v>
      </c>
      <c r="D63" s="2945">
        <v>16830</v>
      </c>
      <c r="E63" s="2945">
        <v>21590</v>
      </c>
      <c r="F63" s="2945">
        <v>4560</v>
      </c>
      <c r="G63" s="2945">
        <v>11420</v>
      </c>
      <c r="N63" s="2945" t="s">
        <v>3067</v>
      </c>
    </row>
    <row r="64" spans="1:17" ht="14.25" customHeight="1" thickBot="1">
      <c r="A64" s="2945" t="s">
        <v>110</v>
      </c>
      <c r="B64" s="2945" t="s">
        <v>196</v>
      </c>
      <c r="C64" s="2945">
        <v>16920</v>
      </c>
      <c r="D64" s="2945">
        <v>19190</v>
      </c>
      <c r="E64" s="2945">
        <v>22200</v>
      </c>
      <c r="F64" s="2945">
        <v>4390</v>
      </c>
      <c r="G64" s="2945">
        <v>13030</v>
      </c>
      <c r="N64" s="2952" t="s">
        <v>3068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2939</v>
      </c>
      <c r="C78" s="2945">
        <v>19820</v>
      </c>
      <c r="D78" s="2945">
        <v>19780</v>
      </c>
      <c r="E78" s="2945">
        <v>18560</v>
      </c>
      <c r="F78" s="2945"/>
      <c r="G78" s="2945">
        <v>13430</v>
      </c>
    </row>
    <row r="79" spans="1:7" s="2779" customFormat="1" ht="14.25" customHeight="1">
      <c r="A79" s="2945" t="s">
        <v>110</v>
      </c>
      <c r="B79" s="2945" t="s">
        <v>2942</v>
      </c>
      <c r="C79" s="2945">
        <v>21660</v>
      </c>
      <c r="D79" s="2945">
        <v>18000</v>
      </c>
      <c r="E79" s="2945">
        <v>22570</v>
      </c>
      <c r="F79" s="2945"/>
      <c r="G79" s="2945">
        <v>12220</v>
      </c>
    </row>
    <row r="80" spans="1:7" s="2779" customFormat="1" ht="14.25" customHeight="1">
      <c r="A80" s="2945" t="s">
        <v>110</v>
      </c>
      <c r="B80" s="2945" t="s">
        <v>2946</v>
      </c>
      <c r="C80" s="2945">
        <v>19850</v>
      </c>
      <c r="D80" s="2945"/>
      <c r="E80" s="2945">
        <v>21700</v>
      </c>
      <c r="F80" s="2945"/>
      <c r="G80" s="2945"/>
    </row>
    <row r="81" spans="1:7" s="2779" customFormat="1" ht="14.25" customHeight="1">
      <c r="A81" s="2945" t="s">
        <v>110</v>
      </c>
      <c r="B81" s="2945" t="s">
        <v>2951</v>
      </c>
      <c r="C81" s="2945">
        <v>18080</v>
      </c>
      <c r="D81" s="2945"/>
      <c r="E81" s="2945">
        <v>20900</v>
      </c>
      <c r="F81" s="2945"/>
      <c r="G81" s="2945"/>
    </row>
    <row r="82" spans="1:7" s="2779" customFormat="1" ht="14.25" customHeight="1">
      <c r="A82" s="2945" t="s">
        <v>110</v>
      </c>
      <c r="B82" s="2945" t="s">
        <v>2958</v>
      </c>
      <c r="C82" s="2945"/>
      <c r="D82" s="2945"/>
      <c r="E82" s="2945">
        <v>20840</v>
      </c>
      <c r="F82" s="2945"/>
      <c r="G82" s="2945"/>
    </row>
    <row r="83" spans="1:7" s="2779" customFormat="1" ht="14.25" customHeight="1">
      <c r="A83" s="2945" t="s">
        <v>110</v>
      </c>
      <c r="B83" s="2945" t="s">
        <v>3069</v>
      </c>
      <c r="C83" s="2945"/>
      <c r="D83" s="2945"/>
      <c r="E83" s="2945"/>
      <c r="F83" s="2945">
        <v>4770</v>
      </c>
      <c r="G83" s="2945"/>
    </row>
    <row r="84" spans="1:7" s="2779" customFormat="1" ht="14.25" customHeight="1">
      <c r="A84" s="2945" t="s">
        <v>110</v>
      </c>
      <c r="B84" s="2945" t="s">
        <v>3070</v>
      </c>
      <c r="C84" s="2945"/>
      <c r="D84" s="2945"/>
      <c r="E84" s="2945"/>
      <c r="F84" s="2945">
        <v>4600</v>
      </c>
      <c r="G84" s="2945"/>
    </row>
    <row r="85" spans="1:7" s="2779" customFormat="1" ht="14.25" customHeight="1">
      <c r="A85" s="2945" t="s">
        <v>110</v>
      </c>
      <c r="B85" s="2945" t="s">
        <v>3071</v>
      </c>
      <c r="C85" s="2945"/>
      <c r="D85" s="2945"/>
      <c r="E85" s="2945"/>
      <c r="F85" s="2945">
        <v>4680</v>
      </c>
      <c r="G85" s="2945"/>
    </row>
    <row r="86" spans="1:7" s="2779" customFormat="1" ht="14.25" customHeight="1" thickBot="1">
      <c r="A86" s="2953" t="s">
        <v>110</v>
      </c>
      <c r="B86" s="2955" t="s">
        <v>3072</v>
      </c>
      <c r="C86" s="2956">
        <v>16610</v>
      </c>
      <c r="D86" s="2956">
        <v>16540</v>
      </c>
      <c r="E86" s="2956">
        <v>18850</v>
      </c>
      <c r="F86" s="2956"/>
      <c r="G86" s="2956">
        <v>11220</v>
      </c>
    </row>
    <row r="87" spans="1:7" s="2779" customFormat="1" ht="14.25" customHeight="1">
      <c r="A87" s="2950" t="s">
        <v>303</v>
      </c>
      <c r="B87" s="2941" t="s">
        <v>3073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2952</v>
      </c>
      <c r="C113" s="2945">
        <v>15520</v>
      </c>
      <c r="D113" s="2945">
        <v>15450</v>
      </c>
      <c r="E113" s="2945"/>
      <c r="F113" s="2945"/>
      <c r="G113" s="2958">
        <v>10210</v>
      </c>
    </row>
    <row r="114" spans="1:7" s="2779" customFormat="1" ht="14.25" customHeight="1">
      <c r="A114" s="2945" t="s">
        <v>303</v>
      </c>
      <c r="B114" s="2945" t="s">
        <v>2959</v>
      </c>
      <c r="C114" s="2945">
        <v>13110</v>
      </c>
      <c r="D114" s="2945">
        <v>13050</v>
      </c>
      <c r="E114" s="2945"/>
      <c r="F114" s="2945"/>
      <c r="G114" s="2958">
        <v>8620</v>
      </c>
    </row>
    <row r="115" spans="1:7" s="2779" customFormat="1" ht="14.25" customHeight="1">
      <c r="A115" s="2945" t="s">
        <v>303</v>
      </c>
      <c r="B115" s="2945" t="s">
        <v>2965</v>
      </c>
      <c r="C115" s="2945">
        <v>12460</v>
      </c>
      <c r="D115" s="2945">
        <v>12390</v>
      </c>
      <c r="E115" s="2945"/>
      <c r="F115" s="2945"/>
      <c r="G115" s="2958">
        <v>8190</v>
      </c>
    </row>
    <row r="116" spans="1:7" s="2779" customFormat="1" ht="14.25" customHeight="1">
      <c r="A116" s="2945" t="s">
        <v>303</v>
      </c>
      <c r="B116" s="2945" t="s">
        <v>2972</v>
      </c>
      <c r="C116" s="2945">
        <v>13580</v>
      </c>
      <c r="D116" s="2945">
        <v>13520</v>
      </c>
      <c r="E116" s="2945"/>
      <c r="F116" s="2945"/>
      <c r="G116" s="2958">
        <v>8930</v>
      </c>
    </row>
    <row r="117" spans="1:7" s="2779" customFormat="1" ht="14.25" customHeight="1">
      <c r="A117" s="2945" t="s">
        <v>303</v>
      </c>
      <c r="B117" s="2945" t="s">
        <v>2979</v>
      </c>
      <c r="C117" s="2945">
        <v>17120</v>
      </c>
      <c r="D117" s="2945">
        <v>17040</v>
      </c>
      <c r="E117" s="2945"/>
      <c r="F117" s="2945"/>
      <c r="G117" s="2958">
        <v>11260</v>
      </c>
    </row>
    <row r="118" spans="1:7" s="2779" customFormat="1" ht="14.25" customHeight="1">
      <c r="A118" s="2945" t="s">
        <v>303</v>
      </c>
      <c r="B118" s="2945" t="s">
        <v>2984</v>
      </c>
      <c r="C118" s="2945">
        <v>14860</v>
      </c>
      <c r="D118" s="2945">
        <v>14790</v>
      </c>
      <c r="E118" s="2945"/>
      <c r="F118" s="2945"/>
      <c r="G118" s="2958">
        <v>9780</v>
      </c>
    </row>
    <row r="119" spans="1:7" s="2779" customFormat="1" ht="14.25" customHeight="1">
      <c r="A119" s="2945" t="s">
        <v>303</v>
      </c>
      <c r="B119" s="2945" t="s">
        <v>2988</v>
      </c>
      <c r="C119" s="2945">
        <v>16470</v>
      </c>
      <c r="D119" s="2945">
        <v>16400</v>
      </c>
      <c r="E119" s="2945"/>
      <c r="F119" s="2945"/>
      <c r="G119" s="2958">
        <v>10840</v>
      </c>
    </row>
    <row r="120" spans="1:7" s="2779" customFormat="1" ht="14.25" customHeight="1">
      <c r="A120" s="2945" t="s">
        <v>303</v>
      </c>
      <c r="B120" s="2945" t="s">
        <v>3074</v>
      </c>
      <c r="C120" s="2945"/>
      <c r="D120" s="2945"/>
      <c r="E120" s="2945"/>
      <c r="F120" s="2945">
        <v>4160</v>
      </c>
      <c r="G120" s="2958"/>
    </row>
    <row r="121" spans="1:7" s="2779" customFormat="1" ht="14.25" customHeight="1">
      <c r="A121" s="2945" t="s">
        <v>303</v>
      </c>
      <c r="B121" s="2945" t="s">
        <v>3075</v>
      </c>
      <c r="C121" s="2945"/>
      <c r="D121" s="2945"/>
      <c r="E121" s="2945"/>
      <c r="F121" s="2945">
        <v>3880</v>
      </c>
      <c r="G121" s="2958"/>
    </row>
    <row r="122" spans="1:7" s="2779" customFormat="1" ht="14.25" customHeight="1">
      <c r="A122" s="2945" t="s">
        <v>303</v>
      </c>
      <c r="B122" s="2945" t="s">
        <v>3076</v>
      </c>
      <c r="C122" s="2945">
        <v>13750</v>
      </c>
      <c r="D122" s="2945">
        <v>13680</v>
      </c>
      <c r="E122" s="2945">
        <v>16460</v>
      </c>
      <c r="F122" s="2945">
        <v>2880</v>
      </c>
      <c r="G122" s="2958">
        <v>9040</v>
      </c>
    </row>
    <row r="123" spans="1:7" s="2779" customFormat="1" ht="14.25" customHeight="1">
      <c r="A123" s="2945" t="s">
        <v>303</v>
      </c>
      <c r="B123" s="2945" t="s">
        <v>3007</v>
      </c>
      <c r="C123" s="2945">
        <v>13590</v>
      </c>
      <c r="D123" s="2945">
        <v>13520</v>
      </c>
      <c r="E123" s="2945">
        <v>16290</v>
      </c>
      <c r="F123" s="2945">
        <v>2790</v>
      </c>
      <c r="G123" s="2958">
        <v>8930</v>
      </c>
    </row>
    <row r="124" spans="1:7" s="2779" customFormat="1" ht="14.25" customHeight="1">
      <c r="A124" s="2945" t="s">
        <v>303</v>
      </c>
      <c r="B124" s="2945" t="s">
        <v>3012</v>
      </c>
      <c r="C124" s="2945">
        <v>13400</v>
      </c>
      <c r="D124" s="2945">
        <v>13320</v>
      </c>
      <c r="E124" s="2945">
        <v>16100</v>
      </c>
      <c r="F124" s="2945">
        <v>2320</v>
      </c>
      <c r="G124" s="2958">
        <v>8800</v>
      </c>
    </row>
    <row r="125" spans="1:7" s="2779" customFormat="1" ht="14.25" customHeight="1">
      <c r="A125" s="2945" t="s">
        <v>303</v>
      </c>
      <c r="B125" s="2945" t="s">
        <v>3017</v>
      </c>
      <c r="C125" s="2945">
        <v>12860</v>
      </c>
      <c r="D125" s="2945">
        <v>12790</v>
      </c>
      <c r="E125" s="2945">
        <v>15370</v>
      </c>
      <c r="F125" s="2945">
        <v>2280</v>
      </c>
      <c r="G125" s="2958">
        <v>8450</v>
      </c>
    </row>
    <row r="126" spans="1:7" s="2779" customFormat="1" ht="14.25" customHeight="1" thickBot="1">
      <c r="A126" s="2959" t="s">
        <v>303</v>
      </c>
      <c r="B126" s="2952" t="s">
        <v>3022</v>
      </c>
      <c r="C126" s="2952">
        <v>12960</v>
      </c>
      <c r="D126" s="2952">
        <v>12890</v>
      </c>
      <c r="E126" s="2952">
        <v>15530</v>
      </c>
      <c r="F126" s="2952">
        <v>2910</v>
      </c>
      <c r="G126" s="2960">
        <v>8520</v>
      </c>
    </row>
    <row r="127" spans="1:7" s="2779" customFormat="1" ht="14.25" customHeight="1">
      <c r="A127" s="2950" t="s">
        <v>29</v>
      </c>
      <c r="B127" s="2941" t="s">
        <v>3077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3078</v>
      </c>
      <c r="C148" s="2945">
        <v>10370</v>
      </c>
      <c r="D148" s="2945">
        <v>10310</v>
      </c>
      <c r="E148" s="2945">
        <v>12970</v>
      </c>
      <c r="F148" s="2945"/>
      <c r="G148" s="2945">
        <v>6630</v>
      </c>
    </row>
    <row r="149" spans="1:7" s="2779" customFormat="1" ht="14.25" customHeight="1">
      <c r="A149" s="2945" t="s">
        <v>29</v>
      </c>
      <c r="B149" s="2945" t="s">
        <v>3079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2953</v>
      </c>
      <c r="C153" s="2945">
        <v>10880</v>
      </c>
      <c r="D153" s="2945">
        <v>10820</v>
      </c>
      <c r="E153" s="2945">
        <v>13660</v>
      </c>
      <c r="F153" s="2945">
        <v>2260</v>
      </c>
      <c r="G153" s="2945">
        <v>6970</v>
      </c>
    </row>
    <row r="154" spans="1:7" s="2779" customFormat="1" ht="14.25" customHeight="1">
      <c r="A154" s="2945" t="s">
        <v>29</v>
      </c>
      <c r="B154" s="2945" t="s">
        <v>3080</v>
      </c>
      <c r="C154" s="2945">
        <v>11220</v>
      </c>
      <c r="D154" s="2945">
        <v>11160</v>
      </c>
      <c r="E154" s="2945">
        <v>14130</v>
      </c>
      <c r="F154" s="2945">
        <v>2230</v>
      </c>
      <c r="G154" s="2945">
        <v>7180</v>
      </c>
    </row>
    <row r="155" spans="1:7" s="2779" customFormat="1" ht="14.25" customHeight="1">
      <c r="A155" s="2945" t="s">
        <v>29</v>
      </c>
      <c r="B155" s="2945" t="s">
        <v>2966</v>
      </c>
      <c r="C155" s="2945">
        <v>10430</v>
      </c>
      <c r="D155" s="2945">
        <v>10380</v>
      </c>
      <c r="E155" s="2945">
        <v>13140</v>
      </c>
      <c r="F155" s="2945">
        <v>2080</v>
      </c>
      <c r="G155" s="2945">
        <v>6650</v>
      </c>
    </row>
    <row r="156" spans="1:7" s="2779" customFormat="1" ht="14.25" customHeight="1">
      <c r="A156" s="2945" t="s">
        <v>29</v>
      </c>
      <c r="B156" s="2945" t="s">
        <v>3081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3082</v>
      </c>
      <c r="C160" s="2945">
        <v>11180</v>
      </c>
      <c r="D160" s="2945">
        <v>11140</v>
      </c>
      <c r="E160" s="2945">
        <v>14050</v>
      </c>
      <c r="F160" s="2945">
        <v>2270</v>
      </c>
      <c r="G160" s="2945">
        <v>7170</v>
      </c>
    </row>
    <row r="161" spans="1:7" s="2779" customFormat="1" ht="14.25" customHeight="1">
      <c r="A161" s="2945" t="s">
        <v>29</v>
      </c>
      <c r="B161" s="2945" t="s">
        <v>2998</v>
      </c>
      <c r="C161" s="2945">
        <v>11160</v>
      </c>
      <c r="D161" s="2945">
        <v>11120</v>
      </c>
      <c r="E161" s="2945">
        <v>14020</v>
      </c>
      <c r="F161" s="2945">
        <v>2150</v>
      </c>
      <c r="G161" s="2945">
        <v>7160</v>
      </c>
    </row>
    <row r="162" spans="1:7" s="2779" customFormat="1" ht="14.25" customHeight="1">
      <c r="A162" s="2945" t="s">
        <v>29</v>
      </c>
      <c r="B162" s="2945" t="s">
        <v>3003</v>
      </c>
      <c r="C162" s="2945">
        <v>9620</v>
      </c>
      <c r="D162" s="2945">
        <v>9570</v>
      </c>
      <c r="E162" s="2945">
        <v>12320</v>
      </c>
      <c r="F162" s="2945">
        <v>2010</v>
      </c>
      <c r="G162" s="2945">
        <v>6160</v>
      </c>
    </row>
    <row r="163" spans="1:7" s="2779" customFormat="1" ht="14.25" customHeight="1">
      <c r="A163" s="2945" t="s">
        <v>29</v>
      </c>
      <c r="B163" s="2945" t="s">
        <v>3008</v>
      </c>
      <c r="C163" s="2945">
        <v>9320</v>
      </c>
      <c r="D163" s="2945">
        <v>9270</v>
      </c>
      <c r="E163" s="2945">
        <v>11790</v>
      </c>
      <c r="F163" s="2945">
        <v>1920</v>
      </c>
      <c r="G163" s="2945">
        <v>5960</v>
      </c>
    </row>
    <row r="164" spans="1:7" s="2779" customFormat="1" ht="14.25" customHeight="1">
      <c r="A164" s="2945" t="s">
        <v>29</v>
      </c>
      <c r="B164" s="2945" t="s">
        <v>3013</v>
      </c>
      <c r="C164" s="2945"/>
      <c r="D164" s="2945"/>
      <c r="E164" s="2945"/>
      <c r="F164" s="2945">
        <v>1980</v>
      </c>
      <c r="G164" s="2945"/>
    </row>
    <row r="165" spans="1:7" s="2779" customFormat="1" ht="14.25" customHeight="1">
      <c r="A165" s="2945" t="s">
        <v>29</v>
      </c>
      <c r="B165" s="2945" t="s">
        <v>3083</v>
      </c>
      <c r="C165" s="2945">
        <v>11060</v>
      </c>
      <c r="D165" s="2945">
        <v>11030</v>
      </c>
      <c r="E165" s="2945">
        <v>13850</v>
      </c>
      <c r="F165" s="2945">
        <v>2170</v>
      </c>
      <c r="G165" s="2945">
        <v>7090</v>
      </c>
    </row>
    <row r="166" spans="1:7" s="2779" customFormat="1" ht="14.25" customHeight="1">
      <c r="A166" s="2945" t="s">
        <v>29</v>
      </c>
      <c r="B166" s="2945" t="s">
        <v>3023</v>
      </c>
      <c r="C166" s="2945">
        <v>11050</v>
      </c>
      <c r="D166" s="2945">
        <v>11010</v>
      </c>
      <c r="E166" s="2945">
        <v>13920</v>
      </c>
      <c r="F166" s="2945">
        <v>2140</v>
      </c>
      <c r="G166" s="2945">
        <v>7080</v>
      </c>
    </row>
    <row r="167" spans="1:7" s="2779" customFormat="1" ht="14.25" customHeight="1">
      <c r="A167" s="2945" t="s">
        <v>29</v>
      </c>
      <c r="B167" s="2945" t="s">
        <v>3027</v>
      </c>
      <c r="C167" s="2945">
        <v>10930</v>
      </c>
      <c r="D167" s="2945">
        <v>10890</v>
      </c>
      <c r="E167" s="2945">
        <v>13790</v>
      </c>
      <c r="F167" s="2945">
        <v>2010</v>
      </c>
      <c r="G167" s="2945">
        <v>7000</v>
      </c>
    </row>
    <row r="168" spans="1:7" s="2779" customFormat="1" ht="14.25" customHeight="1">
      <c r="A168" s="2945" t="s">
        <v>29</v>
      </c>
      <c r="B168" s="2945" t="s">
        <v>3032</v>
      </c>
      <c r="C168" s="2945">
        <v>9420</v>
      </c>
      <c r="D168" s="2945">
        <v>9380</v>
      </c>
      <c r="E168" s="2945">
        <v>11970</v>
      </c>
      <c r="F168" s="2945"/>
      <c r="G168" s="2945">
        <v>6040</v>
      </c>
    </row>
    <row r="169" spans="1:7" s="2779" customFormat="1" ht="14.25" customHeight="1">
      <c r="A169" s="2945" t="s">
        <v>29</v>
      </c>
      <c r="B169" s="2945" t="s">
        <v>3084</v>
      </c>
      <c r="C169" s="2945"/>
      <c r="D169" s="2945"/>
      <c r="E169" s="2945"/>
      <c r="F169" s="2945">
        <v>2880</v>
      </c>
      <c r="G169" s="2945"/>
    </row>
    <row r="170" spans="1:7" s="2779" customFormat="1" ht="14.25" customHeight="1">
      <c r="A170" s="2945" t="s">
        <v>29</v>
      </c>
      <c r="B170" s="2945" t="s">
        <v>3040</v>
      </c>
      <c r="C170" s="2945"/>
      <c r="D170" s="2945"/>
      <c r="E170" s="2945"/>
      <c r="F170" s="2945">
        <v>2880</v>
      </c>
      <c r="G170" s="2945"/>
    </row>
    <row r="171" spans="1:7" s="2779" customFormat="1" ht="14.25" customHeight="1">
      <c r="A171" s="2945" t="s">
        <v>29</v>
      </c>
      <c r="B171" s="2945" t="s">
        <v>3043</v>
      </c>
      <c r="C171" s="2945"/>
      <c r="D171" s="2945"/>
      <c r="E171" s="2945"/>
      <c r="F171" s="2945">
        <v>2880</v>
      </c>
      <c r="G171" s="2945"/>
    </row>
    <row r="172" spans="1:7" s="2779" customFormat="1" ht="14.25" customHeight="1">
      <c r="A172" s="2945" t="s">
        <v>29</v>
      </c>
      <c r="B172" s="2945" t="s">
        <v>3045</v>
      </c>
      <c r="C172" s="2945"/>
      <c r="D172" s="2945"/>
      <c r="E172" s="2945"/>
      <c r="F172" s="2945">
        <v>2880</v>
      </c>
      <c r="G172" s="2945"/>
    </row>
    <row r="173" spans="1:7" s="2779" customFormat="1" ht="14.25" customHeight="1">
      <c r="A173" s="2945" t="s">
        <v>29</v>
      </c>
      <c r="B173" s="2945" t="s">
        <v>3047</v>
      </c>
      <c r="C173" s="2945"/>
      <c r="D173" s="2945"/>
      <c r="E173" s="2945"/>
      <c r="F173" s="2945">
        <v>2150</v>
      </c>
      <c r="G173" s="2945"/>
    </row>
    <row r="174" spans="1:7" s="2779" customFormat="1" ht="14.25" customHeight="1">
      <c r="A174" s="2945" t="s">
        <v>29</v>
      </c>
      <c r="B174" s="2945" t="s">
        <v>3049</v>
      </c>
      <c r="C174" s="2945"/>
      <c r="D174" s="2945"/>
      <c r="E174" s="2945"/>
      <c r="F174" s="2945">
        <v>2030</v>
      </c>
      <c r="G174" s="2945"/>
    </row>
    <row r="175" spans="1:7" s="2779" customFormat="1" ht="14.25" customHeight="1">
      <c r="A175" s="2945" t="s">
        <v>29</v>
      </c>
      <c r="B175" s="2945" t="s">
        <v>3051</v>
      </c>
      <c r="C175" s="2945"/>
      <c r="D175" s="2945"/>
      <c r="E175" s="2945"/>
      <c r="F175" s="2945">
        <v>2780</v>
      </c>
      <c r="G175" s="2945"/>
    </row>
    <row r="176" spans="1:7" s="2779" customFormat="1" ht="14.25" customHeight="1">
      <c r="A176" s="2945" t="s">
        <v>29</v>
      </c>
      <c r="B176" s="2945" t="s">
        <v>3053</v>
      </c>
      <c r="C176" s="2945"/>
      <c r="D176" s="2945"/>
      <c r="E176" s="2945"/>
      <c r="F176" s="2945">
        <v>2780</v>
      </c>
      <c r="G176" s="2945"/>
    </row>
    <row r="177" spans="1:7" s="2779" customFormat="1" ht="14.25" customHeight="1">
      <c r="A177" s="2945" t="s">
        <v>29</v>
      </c>
      <c r="B177" s="2945" t="s">
        <v>3085</v>
      </c>
      <c r="C177" s="2945"/>
      <c r="D177" s="2945"/>
      <c r="E177" s="2945"/>
      <c r="F177" s="2945">
        <v>2780</v>
      </c>
      <c r="G177" s="2945"/>
    </row>
    <row r="178" spans="1:7" s="2779" customFormat="1" ht="14.25" customHeight="1">
      <c r="A178" s="2945" t="s">
        <v>29</v>
      </c>
      <c r="B178" s="2945" t="s">
        <v>3086</v>
      </c>
      <c r="C178" s="2945"/>
      <c r="D178" s="2945"/>
      <c r="E178" s="2945"/>
      <c r="F178" s="2945">
        <v>2060</v>
      </c>
      <c r="G178" s="2945"/>
    </row>
    <row r="179" spans="1:7" s="2779" customFormat="1" ht="14.25" customHeight="1">
      <c r="A179" s="2945" t="s">
        <v>29</v>
      </c>
      <c r="B179" s="2945" t="s">
        <v>3087</v>
      </c>
      <c r="C179" s="2945"/>
      <c r="D179" s="2945"/>
      <c r="E179" s="2945"/>
      <c r="F179" s="2945">
        <v>2120</v>
      </c>
      <c r="G179" s="2945"/>
    </row>
    <row r="180" spans="1:7" s="2779" customFormat="1" ht="14.25" customHeight="1">
      <c r="A180" s="2945" t="s">
        <v>29</v>
      </c>
      <c r="B180" s="2945" t="s">
        <v>3059</v>
      </c>
      <c r="C180" s="2945"/>
      <c r="D180" s="2945"/>
      <c r="E180" s="2945"/>
      <c r="F180" s="2945">
        <v>2340</v>
      </c>
      <c r="G180" s="2945"/>
    </row>
    <row r="181" spans="1:7" s="2779" customFormat="1" ht="14.25" customHeight="1">
      <c r="A181" s="2945" t="s">
        <v>29</v>
      </c>
      <c r="B181" s="2945" t="s">
        <v>3060</v>
      </c>
      <c r="C181" s="2945"/>
      <c r="D181" s="2945"/>
      <c r="E181" s="2945"/>
      <c r="F181" s="2945">
        <v>2340</v>
      </c>
      <c r="G181" s="2945"/>
    </row>
    <row r="182" spans="1:7" s="2779" customFormat="1" ht="14.25" customHeight="1">
      <c r="A182" s="2945" t="s">
        <v>29</v>
      </c>
      <c r="B182" s="2945" t="s">
        <v>3061</v>
      </c>
      <c r="C182" s="2945"/>
      <c r="D182" s="2945"/>
      <c r="E182" s="2945"/>
      <c r="F182" s="2945">
        <v>2340</v>
      </c>
      <c r="G182" s="2945"/>
    </row>
    <row r="183" spans="1:7" s="2779" customFormat="1" ht="14.25" customHeight="1">
      <c r="A183" s="2945" t="s">
        <v>29</v>
      </c>
      <c r="B183" s="2945" t="s">
        <v>3062</v>
      </c>
      <c r="C183" s="2945"/>
      <c r="D183" s="2945"/>
      <c r="E183" s="2945"/>
      <c r="F183" s="2945">
        <v>2340</v>
      </c>
      <c r="G183" s="2945"/>
    </row>
    <row r="184" spans="1:7" s="2779" customFormat="1" ht="14.25" customHeight="1">
      <c r="A184" s="2945" t="s">
        <v>29</v>
      </c>
      <c r="B184" s="2945" t="s">
        <v>3063</v>
      </c>
      <c r="C184" s="2945"/>
      <c r="D184" s="2945"/>
      <c r="E184" s="2945"/>
      <c r="F184" s="2945">
        <v>2340</v>
      </c>
      <c r="G184" s="2945"/>
    </row>
    <row r="185" spans="1:7" s="2779" customFormat="1" ht="14.25" customHeight="1">
      <c r="A185" s="2945" t="s">
        <v>29</v>
      </c>
      <c r="B185" s="2945" t="s">
        <v>3064</v>
      </c>
      <c r="C185" s="2945"/>
      <c r="D185" s="2945"/>
      <c r="E185" s="2945"/>
      <c r="F185" s="2945">
        <v>2530</v>
      </c>
      <c r="G185" s="2945"/>
    </row>
    <row r="186" spans="1:7" s="2779" customFormat="1" ht="14.25" customHeight="1">
      <c r="A186" s="2945" t="s">
        <v>29</v>
      </c>
      <c r="B186" s="2945" t="s">
        <v>3065</v>
      </c>
      <c r="C186" s="2945"/>
      <c r="D186" s="2945"/>
      <c r="E186" s="2945"/>
      <c r="F186" s="2945">
        <v>2550</v>
      </c>
      <c r="G186" s="2945"/>
    </row>
    <row r="187" spans="1:7" s="2779" customFormat="1" ht="14.25" customHeight="1">
      <c r="A187" s="2945" t="s">
        <v>29</v>
      </c>
      <c r="B187" s="2945" t="s">
        <v>3066</v>
      </c>
      <c r="C187" s="2945"/>
      <c r="D187" s="2945"/>
      <c r="E187" s="2945"/>
      <c r="F187" s="2945">
        <v>2070</v>
      </c>
      <c r="G187" s="2945"/>
    </row>
    <row r="188" spans="1:7" s="2779" customFormat="1" ht="14.25" customHeight="1">
      <c r="A188" s="2945" t="s">
        <v>29</v>
      </c>
      <c r="B188" s="2945" t="s">
        <v>3067</v>
      </c>
      <c r="C188" s="2945"/>
      <c r="D188" s="2945"/>
      <c r="E188" s="2945"/>
      <c r="F188" s="2945">
        <v>2340</v>
      </c>
      <c r="G188" s="2945"/>
    </row>
    <row r="189" spans="1:7" s="2779" customFormat="1" ht="14.25" customHeight="1" thickBot="1">
      <c r="A189" s="2953" t="s">
        <v>29</v>
      </c>
      <c r="B189" s="2956" t="s">
        <v>3068</v>
      </c>
      <c r="C189" s="2956"/>
      <c r="D189" s="2956"/>
      <c r="E189" s="2956"/>
      <c r="F189" s="2956">
        <v>2050</v>
      </c>
      <c r="G189" s="2956"/>
    </row>
    <row r="190" spans="1:7" s="2779" customFormat="1" ht="14.25" customHeight="1">
      <c r="A190" s="2950" t="s">
        <v>304</v>
      </c>
      <c r="B190" s="2941" t="s">
        <v>3088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3089</v>
      </c>
      <c r="C199" s="2945">
        <v>8690</v>
      </c>
      <c r="D199" s="2945">
        <v>8630</v>
      </c>
      <c r="E199" s="2945">
        <v>11350</v>
      </c>
      <c r="F199" s="2945">
        <v>1600</v>
      </c>
      <c r="G199" s="2958">
        <v>5450</v>
      </c>
    </row>
    <row r="200" spans="1:7" s="2779" customFormat="1" ht="14.25" customHeight="1">
      <c r="A200" s="2945" t="s">
        <v>304</v>
      </c>
      <c r="B200" s="2945" t="s">
        <v>2900</v>
      </c>
      <c r="C200" s="2945"/>
      <c r="D200" s="2945"/>
      <c r="E200" s="2945"/>
      <c r="F200" s="2945">
        <v>1510</v>
      </c>
      <c r="G200" s="2958"/>
    </row>
    <row r="201" spans="1:7" s="2779" customFormat="1" ht="14.25" customHeight="1">
      <c r="A201" s="2945" t="s">
        <v>304</v>
      </c>
      <c r="B201" s="2945" t="s">
        <v>3090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3091</v>
      </c>
      <c r="C203" s="2945">
        <v>8130</v>
      </c>
      <c r="D203" s="2945">
        <v>8070</v>
      </c>
      <c r="E203" s="2945">
        <v>10820</v>
      </c>
      <c r="F203" s="2945">
        <v>1690</v>
      </c>
      <c r="G203" s="2958">
        <v>5100</v>
      </c>
    </row>
    <row r="204" spans="1:7" s="2779" customFormat="1" ht="14.25" customHeight="1">
      <c r="A204" s="2945" t="s">
        <v>304</v>
      </c>
      <c r="B204" s="2945" t="s">
        <v>2911</v>
      </c>
      <c r="C204" s="2945">
        <v>8350</v>
      </c>
      <c r="D204" s="2945">
        <v>8290</v>
      </c>
      <c r="E204" s="2945">
        <v>11080</v>
      </c>
      <c r="F204" s="2945">
        <v>1450</v>
      </c>
      <c r="G204" s="2958">
        <v>5240</v>
      </c>
    </row>
    <row r="205" spans="1:7" s="2779" customFormat="1" ht="14.25" customHeight="1">
      <c r="A205" s="2945" t="s">
        <v>304</v>
      </c>
      <c r="B205" s="2945" t="s">
        <v>2913</v>
      </c>
      <c r="C205" s="2945">
        <v>7190</v>
      </c>
      <c r="D205" s="2945">
        <v>7130</v>
      </c>
      <c r="E205" s="2945">
        <v>9490</v>
      </c>
      <c r="F205" s="2945">
        <v>1470</v>
      </c>
      <c r="G205" s="2958">
        <v>4510</v>
      </c>
    </row>
    <row r="206" spans="1:7" s="2779" customFormat="1" ht="14.25" customHeight="1">
      <c r="A206" s="2945" t="s">
        <v>304</v>
      </c>
      <c r="B206" s="2945" t="s">
        <v>2916</v>
      </c>
      <c r="C206" s="2945">
        <v>7000</v>
      </c>
      <c r="D206" s="2945">
        <v>6950</v>
      </c>
      <c r="E206" s="2945">
        <v>9170</v>
      </c>
      <c r="F206" s="2945">
        <v>1400</v>
      </c>
      <c r="G206" s="2958">
        <v>4380</v>
      </c>
    </row>
    <row r="207" spans="1:7" s="2779" customFormat="1" ht="14.25" customHeight="1">
      <c r="A207" s="2945" t="s">
        <v>304</v>
      </c>
      <c r="B207" s="2945" t="s">
        <v>2918</v>
      </c>
      <c r="C207" s="2945">
        <v>6950</v>
      </c>
      <c r="D207" s="2945">
        <v>6900</v>
      </c>
      <c r="E207" s="2945">
        <v>9110</v>
      </c>
      <c r="F207" s="2945">
        <v>1790</v>
      </c>
      <c r="G207" s="2958">
        <v>4360</v>
      </c>
    </row>
    <row r="208" spans="1:7" s="2779" customFormat="1" ht="14.25" customHeight="1">
      <c r="A208" s="2945" t="s">
        <v>304</v>
      </c>
      <c r="B208" s="2945" t="s">
        <v>3092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2928</v>
      </c>
      <c r="C210" s="2945">
        <v>8710</v>
      </c>
      <c r="D210" s="2945">
        <v>8660</v>
      </c>
      <c r="E210" s="2945">
        <v>11440</v>
      </c>
      <c r="F210" s="2945">
        <v>1740</v>
      </c>
      <c r="G210" s="2958">
        <v>5470</v>
      </c>
    </row>
    <row r="211" spans="1:7" s="2779" customFormat="1" ht="14.25" customHeight="1">
      <c r="A211" s="2945" t="s">
        <v>304</v>
      </c>
      <c r="B211" s="2945" t="s">
        <v>3093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3094</v>
      </c>
      <c r="C214" s="2945">
        <v>8090</v>
      </c>
      <c r="D214" s="2945">
        <v>8030</v>
      </c>
      <c r="E214" s="2945">
        <v>10780</v>
      </c>
      <c r="F214" s="2945">
        <v>1570</v>
      </c>
      <c r="G214" s="2958">
        <v>5070</v>
      </c>
    </row>
    <row r="215" spans="1:7" s="2779" customFormat="1" ht="14.25" customHeight="1">
      <c r="A215" s="2945" t="s">
        <v>304</v>
      </c>
      <c r="B215" s="2945" t="s">
        <v>3095</v>
      </c>
      <c r="C215" s="2945">
        <v>7950</v>
      </c>
      <c r="D215" s="2945">
        <v>7900</v>
      </c>
      <c r="E215" s="2945">
        <v>10560</v>
      </c>
      <c r="F215" s="2945">
        <v>1630</v>
      </c>
      <c r="G215" s="2958">
        <v>4990</v>
      </c>
    </row>
    <row r="216" spans="1:7" s="2779" customFormat="1" ht="14.25" customHeight="1">
      <c r="A216" s="2945" t="s">
        <v>304</v>
      </c>
      <c r="B216" s="2945" t="s">
        <v>3096</v>
      </c>
      <c r="C216" s="2945">
        <v>8490</v>
      </c>
      <c r="D216" s="2945">
        <v>8440</v>
      </c>
      <c r="E216" s="2945">
        <v>11260</v>
      </c>
      <c r="F216" s="2945">
        <v>1690</v>
      </c>
      <c r="G216" s="2958">
        <v>5330</v>
      </c>
    </row>
    <row r="217" spans="1:7" s="2779" customFormat="1" ht="14.25" customHeight="1">
      <c r="A217" s="2945" t="s">
        <v>304</v>
      </c>
      <c r="B217" s="2945" t="s">
        <v>2961</v>
      </c>
      <c r="C217" s="2945">
        <v>8200</v>
      </c>
      <c r="D217" s="2945">
        <v>8150</v>
      </c>
      <c r="E217" s="2945">
        <v>10910</v>
      </c>
      <c r="F217" s="2945">
        <v>1670</v>
      </c>
      <c r="G217" s="2958">
        <v>5150</v>
      </c>
    </row>
    <row r="218" spans="1:7" s="2779" customFormat="1" ht="14.25" customHeight="1">
      <c r="A218" s="2945" t="s">
        <v>304</v>
      </c>
      <c r="B218" s="2945" t="s">
        <v>3097</v>
      </c>
      <c r="C218" s="2945"/>
      <c r="D218" s="2945"/>
      <c r="E218" s="2945"/>
      <c r="F218" s="2945">
        <v>2040</v>
      </c>
      <c r="G218" s="2958"/>
    </row>
    <row r="219" spans="1:7" s="2779" customFormat="1" ht="14.25" customHeight="1">
      <c r="A219" s="2945" t="s">
        <v>304</v>
      </c>
      <c r="B219" s="2945" t="s">
        <v>3098</v>
      </c>
      <c r="C219" s="2945"/>
      <c r="D219" s="2945"/>
      <c r="E219" s="2945"/>
      <c r="F219" s="2945">
        <v>2040</v>
      </c>
      <c r="G219" s="2958"/>
    </row>
    <row r="220" spans="1:7" s="2779" customFormat="1" ht="14.25" customHeight="1">
      <c r="A220" s="2945" t="s">
        <v>304</v>
      </c>
      <c r="B220" s="2945" t="s">
        <v>3099</v>
      </c>
      <c r="C220" s="2945"/>
      <c r="D220" s="2945"/>
      <c r="E220" s="2945"/>
      <c r="F220" s="2945">
        <v>2040</v>
      </c>
      <c r="G220" s="2958"/>
    </row>
    <row r="221" spans="1:7" s="2779" customFormat="1" ht="14.25" customHeight="1">
      <c r="A221" s="2945" t="s">
        <v>304</v>
      </c>
      <c r="B221" s="2945" t="s">
        <v>3100</v>
      </c>
      <c r="C221" s="2945"/>
      <c r="D221" s="2945"/>
      <c r="E221" s="2945"/>
      <c r="F221" s="2945">
        <v>2040</v>
      </c>
      <c r="G221" s="2958"/>
    </row>
    <row r="222" spans="1:7" s="2779" customFormat="1" ht="14.25" customHeight="1">
      <c r="A222" s="2945" t="s">
        <v>304</v>
      </c>
      <c r="B222" s="2945" t="s">
        <v>3101</v>
      </c>
      <c r="C222" s="2945"/>
      <c r="D222" s="2945"/>
      <c r="E222" s="2945"/>
      <c r="F222" s="2945">
        <v>2040</v>
      </c>
      <c r="G222" s="2958"/>
    </row>
    <row r="223" spans="1:7" s="2779" customFormat="1" ht="14.25" customHeight="1">
      <c r="A223" s="2945" t="s">
        <v>304</v>
      </c>
      <c r="B223" s="2945" t="s">
        <v>3102</v>
      </c>
      <c r="C223" s="2945"/>
      <c r="D223" s="2945"/>
      <c r="E223" s="2945"/>
      <c r="F223" s="2945">
        <v>1930</v>
      </c>
      <c r="G223" s="2958"/>
    </row>
    <row r="224" spans="1:7" s="2779" customFormat="1" ht="14.25" customHeight="1">
      <c r="A224" s="2945" t="s">
        <v>304</v>
      </c>
      <c r="B224" s="2945" t="s">
        <v>3103</v>
      </c>
      <c r="C224" s="2945"/>
      <c r="D224" s="2945"/>
      <c r="E224" s="2945"/>
      <c r="F224" s="2945">
        <v>1930</v>
      </c>
      <c r="G224" s="2958"/>
    </row>
    <row r="225" spans="1:7" s="2779" customFormat="1" ht="14.25" customHeight="1">
      <c r="A225" s="2945" t="s">
        <v>304</v>
      </c>
      <c r="B225" s="2945" t="s">
        <v>3104</v>
      </c>
      <c r="C225" s="2945"/>
      <c r="D225" s="2945"/>
      <c r="E225" s="2945"/>
      <c r="F225" s="2945">
        <v>1930</v>
      </c>
      <c r="G225" s="2958"/>
    </row>
    <row r="226" spans="1:7" s="2779" customFormat="1" ht="14.25" customHeight="1">
      <c r="A226" s="2945" t="s">
        <v>304</v>
      </c>
      <c r="B226" s="2945" t="s">
        <v>3105</v>
      </c>
      <c r="C226" s="2945"/>
      <c r="D226" s="2945"/>
      <c r="E226" s="2945"/>
      <c r="F226" s="2945">
        <v>1700</v>
      </c>
      <c r="G226" s="2958"/>
    </row>
    <row r="227" spans="1:7" s="2779" customFormat="1" ht="14.25" customHeight="1">
      <c r="A227" s="2945" t="s">
        <v>304</v>
      </c>
      <c r="B227" s="2945" t="s">
        <v>3106</v>
      </c>
      <c r="C227" s="2945"/>
      <c r="D227" s="2945"/>
      <c r="E227" s="2945"/>
      <c r="F227" s="2945">
        <v>1520</v>
      </c>
      <c r="G227" s="2958"/>
    </row>
    <row r="228" spans="1:7" s="2779" customFormat="1" ht="14.25" customHeight="1">
      <c r="A228" s="2945" t="s">
        <v>304</v>
      </c>
      <c r="B228" s="2945" t="s">
        <v>3107</v>
      </c>
      <c r="C228" s="2945"/>
      <c r="D228" s="2945"/>
      <c r="E228" s="2945"/>
      <c r="F228" s="2945">
        <v>1520</v>
      </c>
      <c r="G228" s="2958"/>
    </row>
    <row r="229" spans="1:7" s="2779" customFormat="1" ht="14.25" customHeight="1">
      <c r="A229" s="2945" t="s">
        <v>304</v>
      </c>
      <c r="B229" s="2945" t="s">
        <v>3024</v>
      </c>
      <c r="C229" s="2945"/>
      <c r="D229" s="2945"/>
      <c r="E229" s="2945"/>
      <c r="F229" s="2945">
        <v>1520</v>
      </c>
      <c r="G229" s="2958"/>
    </row>
    <row r="230" spans="1:7" s="2779" customFormat="1" ht="14.25" customHeight="1">
      <c r="A230" s="2945" t="s">
        <v>304</v>
      </c>
      <c r="B230" s="2945" t="s">
        <v>3108</v>
      </c>
      <c r="C230" s="2945"/>
      <c r="D230" s="2945"/>
      <c r="E230" s="2945"/>
      <c r="F230" s="2945">
        <v>1820</v>
      </c>
      <c r="G230" s="2958"/>
    </row>
    <row r="231" spans="1:7" s="2779" customFormat="1" ht="14.25" customHeight="1">
      <c r="A231" s="2945" t="s">
        <v>304</v>
      </c>
      <c r="B231" s="2945" t="s">
        <v>3109</v>
      </c>
      <c r="C231" s="2945"/>
      <c r="D231" s="2945"/>
      <c r="E231" s="2945"/>
      <c r="F231" s="2945">
        <v>1760</v>
      </c>
      <c r="G231" s="2958"/>
    </row>
    <row r="232" spans="1:7" s="2779" customFormat="1" ht="14.25" customHeight="1">
      <c r="A232" s="2945" t="s">
        <v>304</v>
      </c>
      <c r="B232" s="2945" t="s">
        <v>3110</v>
      </c>
      <c r="C232" s="2945"/>
      <c r="D232" s="2945"/>
      <c r="E232" s="2945"/>
      <c r="F232" s="2945">
        <v>1840</v>
      </c>
      <c r="G232" s="2958"/>
    </row>
    <row r="233" spans="1:7" s="2779" customFormat="1" ht="14.25" customHeight="1" thickBot="1">
      <c r="A233" s="2959" t="s">
        <v>304</v>
      </c>
      <c r="B233" s="2952" t="s">
        <v>3041</v>
      </c>
      <c r="C233" s="2952"/>
      <c r="D233" s="2952"/>
      <c r="E233" s="2952"/>
      <c r="F233" s="2952">
        <v>1770</v>
      </c>
      <c r="G233" s="2960"/>
    </row>
    <row r="234" spans="1:7" s="2779" customFormat="1" ht="14.25" customHeight="1">
      <c r="A234" s="2950" t="s">
        <v>305</v>
      </c>
      <c r="B234" s="2941" t="s">
        <v>3111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2882</v>
      </c>
      <c r="C238" s="2945">
        <v>6920</v>
      </c>
      <c r="D238" s="2945">
        <v>6890</v>
      </c>
      <c r="E238" s="2945">
        <v>8640</v>
      </c>
      <c r="F238" s="2945">
        <v>1310</v>
      </c>
      <c r="G238" s="2945">
        <v>4230</v>
      </c>
    </row>
    <row r="239" spans="1:7" s="2779" customFormat="1" ht="14.25" customHeight="1">
      <c r="A239" s="2945" t="s">
        <v>305</v>
      </c>
      <c r="B239" s="2945" t="s">
        <v>3112</v>
      </c>
      <c r="C239" s="2945">
        <v>6780</v>
      </c>
      <c r="D239" s="2945">
        <v>6750</v>
      </c>
      <c r="E239" s="2945">
        <v>8440</v>
      </c>
      <c r="F239" s="2945">
        <v>1160</v>
      </c>
      <c r="G239" s="2945">
        <v>4140</v>
      </c>
    </row>
    <row r="240" spans="1:7" s="2779" customFormat="1" ht="14.25" customHeight="1">
      <c r="A240" s="2945" t="s">
        <v>305</v>
      </c>
      <c r="B240" s="2945" t="s">
        <v>3113</v>
      </c>
      <c r="C240" s="2945">
        <v>5420</v>
      </c>
      <c r="D240" s="2945">
        <v>5380</v>
      </c>
      <c r="E240" s="2945">
        <v>6640</v>
      </c>
      <c r="F240" s="2945">
        <v>1020</v>
      </c>
      <c r="G240" s="2945">
        <v>3300</v>
      </c>
    </row>
    <row r="241" spans="1:7" s="2779" customFormat="1" ht="14.25" customHeight="1">
      <c r="A241" s="2945" t="s">
        <v>305</v>
      </c>
      <c r="B241" s="2945" t="s">
        <v>3114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2944</v>
      </c>
      <c r="C258" s="2945">
        <v>6190</v>
      </c>
      <c r="D258" s="2945">
        <v>6160</v>
      </c>
      <c r="E258" s="2945">
        <v>7680</v>
      </c>
      <c r="F258" s="2945">
        <v>1170</v>
      </c>
      <c r="G258" s="2945">
        <v>3780</v>
      </c>
    </row>
    <row r="259" spans="1:7" s="2779" customFormat="1" ht="14.25" customHeight="1">
      <c r="A259" s="2945" t="s">
        <v>305</v>
      </c>
      <c r="B259" s="2945" t="s">
        <v>3120</v>
      </c>
      <c r="C259" s="2945">
        <v>7610</v>
      </c>
      <c r="D259" s="2945">
        <v>7570</v>
      </c>
      <c r="E259" s="2945">
        <v>9350</v>
      </c>
      <c r="F259" s="2945">
        <v>1350</v>
      </c>
      <c r="G259" s="2945">
        <v>4650</v>
      </c>
    </row>
    <row r="260" spans="1:7" s="2779" customFormat="1" ht="14.25" customHeight="1">
      <c r="A260" s="2945" t="s">
        <v>305</v>
      </c>
      <c r="B260" s="2945" t="s">
        <v>3121</v>
      </c>
      <c r="C260" s="2945">
        <v>6920</v>
      </c>
      <c r="D260" s="2945">
        <v>6880</v>
      </c>
      <c r="E260" s="2945">
        <v>8380</v>
      </c>
      <c r="F260" s="2945">
        <v>1160</v>
      </c>
      <c r="G260" s="2945">
        <v>4220</v>
      </c>
    </row>
    <row r="261" spans="1:7" s="2779" customFormat="1" ht="14.25" customHeight="1">
      <c r="A261" s="2945" t="s">
        <v>305</v>
      </c>
      <c r="B261" s="2945" t="s">
        <v>3122</v>
      </c>
      <c r="C261" s="2945">
        <v>6850</v>
      </c>
      <c r="D261" s="2945">
        <v>6810</v>
      </c>
      <c r="E261" s="2945">
        <v>8290</v>
      </c>
      <c r="F261" s="2945">
        <v>1130</v>
      </c>
      <c r="G261" s="2945">
        <v>4180</v>
      </c>
    </row>
    <row r="262" spans="1:7" s="2779" customFormat="1" ht="14.25" customHeight="1">
      <c r="A262" s="2945" t="s">
        <v>305</v>
      </c>
      <c r="B262" s="2945" t="s">
        <v>3123</v>
      </c>
      <c r="C262" s="2945">
        <v>5860</v>
      </c>
      <c r="D262" s="2945">
        <v>5820</v>
      </c>
      <c r="E262" s="2945">
        <v>7640</v>
      </c>
      <c r="F262" s="2945">
        <v>1070</v>
      </c>
      <c r="G262" s="2945">
        <v>3570</v>
      </c>
    </row>
    <row r="263" spans="1:7" s="2779" customFormat="1" ht="14.25" customHeight="1">
      <c r="A263" s="2945" t="s">
        <v>305</v>
      </c>
      <c r="B263" s="2945" t="s">
        <v>3124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3125</v>
      </c>
      <c r="C265" s="2945"/>
      <c r="D265" s="2945"/>
      <c r="E265" s="2945"/>
      <c r="F265" s="2945">
        <v>1500</v>
      </c>
      <c r="G265" s="2945"/>
    </row>
    <row r="266" spans="1:7" s="2779" customFormat="1" ht="14.25" customHeight="1">
      <c r="A266" s="2945" t="s">
        <v>305</v>
      </c>
      <c r="B266" s="2945" t="s">
        <v>3126</v>
      </c>
      <c r="C266" s="2945"/>
      <c r="D266" s="2945"/>
      <c r="E266" s="2945"/>
      <c r="F266" s="2945">
        <v>1500</v>
      </c>
      <c r="G266" s="2945"/>
    </row>
    <row r="267" spans="1:7" s="2779" customFormat="1" ht="14.25" customHeight="1">
      <c r="A267" s="2945" t="s">
        <v>305</v>
      </c>
      <c r="B267" s="2945" t="s">
        <v>3127</v>
      </c>
      <c r="C267" s="2945"/>
      <c r="D267" s="2945"/>
      <c r="E267" s="2945"/>
      <c r="F267" s="2945">
        <v>1500</v>
      </c>
      <c r="G267" s="2945"/>
    </row>
    <row r="268" spans="1:7" s="2779" customFormat="1" ht="14.25" customHeight="1">
      <c r="A268" s="2945" t="s">
        <v>305</v>
      </c>
      <c r="B268" s="2945" t="s">
        <v>3128</v>
      </c>
      <c r="C268" s="2945"/>
      <c r="D268" s="2945"/>
      <c r="E268" s="2945"/>
      <c r="F268" s="2945">
        <v>1290</v>
      </c>
      <c r="G268" s="2945"/>
    </row>
    <row r="269" spans="1:7" s="2779" customFormat="1" ht="14.25" customHeight="1">
      <c r="A269" s="2945" t="s">
        <v>305</v>
      </c>
      <c r="B269" s="2945" t="s">
        <v>3129</v>
      </c>
      <c r="C269" s="2945"/>
      <c r="D269" s="2945"/>
      <c r="E269" s="2945"/>
      <c r="F269" s="2945">
        <v>1150</v>
      </c>
      <c r="G269" s="2945"/>
    </row>
    <row r="270" spans="1:7" s="2779" customFormat="1" ht="14.25" customHeight="1">
      <c r="A270" s="2945" t="s">
        <v>305</v>
      </c>
      <c r="B270" s="2945" t="s">
        <v>3130</v>
      </c>
      <c r="C270" s="2945"/>
      <c r="D270" s="2945"/>
      <c r="E270" s="2945"/>
      <c r="F270" s="2945">
        <v>1380</v>
      </c>
      <c r="G270" s="2945"/>
    </row>
    <row r="271" spans="1:7" s="2779" customFormat="1" ht="14.25" customHeight="1">
      <c r="A271" s="2945" t="s">
        <v>305</v>
      </c>
      <c r="B271" s="2945" t="s">
        <v>3131</v>
      </c>
      <c r="C271" s="2945"/>
      <c r="D271" s="2945"/>
      <c r="E271" s="2945"/>
      <c r="F271" s="2945">
        <v>1460</v>
      </c>
      <c r="G271" s="2945"/>
    </row>
    <row r="272" spans="1:7" s="2779" customFormat="1" ht="14.25" customHeight="1">
      <c r="A272" s="2945" t="s">
        <v>305</v>
      </c>
      <c r="B272" s="2945" t="s">
        <v>3132</v>
      </c>
      <c r="C272" s="2945"/>
      <c r="D272" s="2945"/>
      <c r="E272" s="2945"/>
      <c r="F272" s="2945">
        <v>1460</v>
      </c>
      <c r="G272" s="2945"/>
    </row>
    <row r="273" spans="1:7" s="2779" customFormat="1" ht="14.25" customHeight="1">
      <c r="A273" s="2945" t="s">
        <v>305</v>
      </c>
      <c r="B273" s="2945" t="s">
        <v>3025</v>
      </c>
      <c r="C273" s="2945"/>
      <c r="D273" s="2945"/>
      <c r="E273" s="2945"/>
      <c r="F273" s="2945">
        <v>1490</v>
      </c>
      <c r="G273" s="2945"/>
    </row>
    <row r="274" spans="1:7" s="2779" customFormat="1" ht="14.25" customHeight="1">
      <c r="A274" s="2945" t="s">
        <v>305</v>
      </c>
      <c r="B274" s="2945" t="s">
        <v>3133</v>
      </c>
      <c r="C274" s="2945"/>
      <c r="D274" s="2945"/>
      <c r="E274" s="2945"/>
      <c r="F274" s="2945">
        <v>1490</v>
      </c>
      <c r="G274" s="2945"/>
    </row>
    <row r="275" spans="1:7" s="2779" customFormat="1" ht="14.25" customHeight="1">
      <c r="A275" s="2945" t="s">
        <v>305</v>
      </c>
      <c r="B275" s="2945" t="s">
        <v>3134</v>
      </c>
      <c r="C275" s="2945"/>
      <c r="D275" s="2945"/>
      <c r="E275" s="2945"/>
      <c r="F275" s="2945">
        <v>1220</v>
      </c>
      <c r="G275" s="2945"/>
    </row>
    <row r="276" spans="1:7" s="2779" customFormat="1" ht="14.25" customHeight="1" thickBot="1">
      <c r="A276" s="2953" t="s">
        <v>305</v>
      </c>
      <c r="B276" s="2955" t="s">
        <v>3135</v>
      </c>
      <c r="C276" s="2956"/>
      <c r="D276" s="2956"/>
      <c r="E276" s="2956"/>
      <c r="F276" s="2956">
        <v>1380</v>
      </c>
      <c r="G276" s="2956"/>
    </row>
    <row r="277" spans="1:7" s="2779" customFormat="1" ht="14.25" customHeight="1">
      <c r="A277" s="2950" t="s">
        <v>306</v>
      </c>
      <c r="B277" s="2941" t="s">
        <v>3136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3137</v>
      </c>
      <c r="C279" s="2945">
        <v>4760</v>
      </c>
      <c r="D279" s="2945">
        <v>4720</v>
      </c>
      <c r="E279" s="2945">
        <v>5540</v>
      </c>
      <c r="F279" s="2945">
        <v>810</v>
      </c>
      <c r="G279" s="2958">
        <v>2850</v>
      </c>
    </row>
    <row r="280" spans="1:7" s="2779" customFormat="1" ht="14.25" customHeight="1">
      <c r="A280" s="2945" t="s">
        <v>306</v>
      </c>
      <c r="B280" s="2945" t="s">
        <v>3138</v>
      </c>
      <c r="C280" s="2945">
        <v>4010</v>
      </c>
      <c r="D280" s="2945">
        <v>3950</v>
      </c>
      <c r="E280" s="2945">
        <v>4710</v>
      </c>
      <c r="F280" s="2945">
        <v>800</v>
      </c>
      <c r="G280" s="2958">
        <v>2390</v>
      </c>
    </row>
    <row r="281" spans="1:7" s="2779" customFormat="1" ht="14.25" customHeight="1">
      <c r="A281" s="2945" t="s">
        <v>306</v>
      </c>
      <c r="B281" s="2945" t="s">
        <v>3139</v>
      </c>
      <c r="C281" s="2945">
        <v>4480</v>
      </c>
      <c r="D281" s="2945">
        <v>4420</v>
      </c>
      <c r="E281" s="2945">
        <v>5230</v>
      </c>
      <c r="F281" s="2945">
        <v>870</v>
      </c>
      <c r="G281" s="2958">
        <v>2660</v>
      </c>
    </row>
    <row r="282" spans="1:7" s="2779" customFormat="1" ht="14.25" customHeight="1">
      <c r="A282" s="2945" t="s">
        <v>306</v>
      </c>
      <c r="B282" s="2945" t="s">
        <v>3140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2917</v>
      </c>
      <c r="C293" s="2945">
        <v>5320</v>
      </c>
      <c r="D293" s="2945">
        <v>5270</v>
      </c>
      <c r="E293" s="2945">
        <v>6160</v>
      </c>
      <c r="F293" s="2945">
        <v>990</v>
      </c>
      <c r="G293" s="2958">
        <v>3170</v>
      </c>
    </row>
    <row r="294" spans="1:7" s="2779" customFormat="1" ht="14.25" customHeight="1">
      <c r="A294" s="2945" t="s">
        <v>306</v>
      </c>
      <c r="B294" s="2945" t="s">
        <v>3143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3144</v>
      </c>
      <c r="C302" s="2945">
        <v>5520</v>
      </c>
      <c r="D302" s="2945">
        <v>5470</v>
      </c>
      <c r="E302" s="2945">
        <v>6410</v>
      </c>
      <c r="F302" s="2945">
        <v>950</v>
      </c>
      <c r="G302" s="2958">
        <v>3300</v>
      </c>
    </row>
    <row r="303" spans="1:7" s="2779" customFormat="1" ht="14.25" customHeight="1">
      <c r="A303" s="2945" t="s">
        <v>306</v>
      </c>
      <c r="B303" s="2945" t="s">
        <v>2956</v>
      </c>
      <c r="C303" s="2945">
        <v>5630</v>
      </c>
      <c r="D303" s="2945">
        <v>5590</v>
      </c>
      <c r="E303" s="2945">
        <v>6550</v>
      </c>
      <c r="F303" s="2945">
        <v>1010</v>
      </c>
      <c r="G303" s="2958">
        <v>3370</v>
      </c>
    </row>
    <row r="304" spans="1:7" s="2779" customFormat="1" ht="14.25" customHeight="1">
      <c r="A304" s="2945" t="s">
        <v>306</v>
      </c>
      <c r="B304" s="2945" t="s">
        <v>2963</v>
      </c>
      <c r="C304" s="2945">
        <v>5680</v>
      </c>
      <c r="D304" s="2945">
        <v>5620</v>
      </c>
      <c r="E304" s="2945">
        <v>6620</v>
      </c>
      <c r="F304" s="2945">
        <v>1050</v>
      </c>
      <c r="G304" s="2958">
        <v>3390</v>
      </c>
    </row>
    <row r="305" spans="1:7" s="2779" customFormat="1" ht="14.25" customHeight="1">
      <c r="A305" s="2945" t="s">
        <v>306</v>
      </c>
      <c r="B305" s="2945" t="s">
        <v>2969</v>
      </c>
      <c r="C305" s="2945">
        <v>5590</v>
      </c>
      <c r="D305" s="2945">
        <v>5530</v>
      </c>
      <c r="E305" s="2945">
        <v>6460</v>
      </c>
      <c r="F305" s="2945">
        <v>900</v>
      </c>
      <c r="G305" s="2958">
        <v>3340</v>
      </c>
    </row>
    <row r="306" spans="1:7" s="2779" customFormat="1" ht="14.25" customHeight="1">
      <c r="A306" s="2945" t="s">
        <v>306</v>
      </c>
      <c r="B306" s="2945" t="s">
        <v>3145</v>
      </c>
      <c r="C306" s="2945">
        <v>5560</v>
      </c>
      <c r="D306" s="2945">
        <v>5510</v>
      </c>
      <c r="E306" s="2945">
        <v>6440</v>
      </c>
      <c r="F306" s="2945">
        <v>900</v>
      </c>
      <c r="G306" s="2958">
        <v>3320</v>
      </c>
    </row>
    <row r="307" spans="1:7" s="2779" customFormat="1" ht="14.25" customHeight="1">
      <c r="A307" s="2945" t="s">
        <v>306</v>
      </c>
      <c r="B307" s="2945" t="s">
        <v>2981</v>
      </c>
      <c r="C307" s="2945">
        <v>5650</v>
      </c>
      <c r="D307" s="2945">
        <v>5600</v>
      </c>
      <c r="E307" s="2945">
        <v>6590</v>
      </c>
      <c r="F307" s="2945">
        <v>930</v>
      </c>
      <c r="G307" s="2958">
        <v>3380</v>
      </c>
    </row>
    <row r="308" spans="1:7" s="2779" customFormat="1" ht="14.25" customHeight="1">
      <c r="A308" s="2945" t="s">
        <v>306</v>
      </c>
      <c r="B308" s="2945" t="s">
        <v>3146</v>
      </c>
      <c r="C308" s="2945">
        <v>5620</v>
      </c>
      <c r="D308" s="2945">
        <v>5580</v>
      </c>
      <c r="E308" s="2945">
        <v>6540</v>
      </c>
      <c r="F308" s="2945">
        <v>910</v>
      </c>
      <c r="G308" s="2958">
        <v>3370</v>
      </c>
    </row>
    <row r="309" spans="1:7" s="2779" customFormat="1" ht="14.25" customHeight="1">
      <c r="A309" s="2945" t="s">
        <v>306</v>
      </c>
      <c r="B309" s="2945" t="s">
        <v>3147</v>
      </c>
      <c r="C309" s="2945">
        <v>5060</v>
      </c>
      <c r="D309" s="2945">
        <v>5020</v>
      </c>
      <c r="E309" s="2945">
        <v>6370</v>
      </c>
      <c r="F309" s="2945">
        <v>800</v>
      </c>
      <c r="G309" s="2958">
        <v>3020</v>
      </c>
    </row>
    <row r="310" spans="1:7" s="2779" customFormat="1" ht="14.25" customHeight="1">
      <c r="A310" s="2945" t="s">
        <v>306</v>
      </c>
      <c r="B310" s="2945" t="s">
        <v>2996</v>
      </c>
      <c r="C310" s="2945">
        <v>5150</v>
      </c>
      <c r="D310" s="2945">
        <v>5110</v>
      </c>
      <c r="E310" s="2945">
        <v>6500</v>
      </c>
      <c r="F310" s="2945">
        <v>880</v>
      </c>
      <c r="G310" s="2958">
        <v>3080</v>
      </c>
    </row>
    <row r="311" spans="1:7" s="2779" customFormat="1" ht="14.25" customHeight="1">
      <c r="A311" s="2945" t="s">
        <v>306</v>
      </c>
      <c r="B311" s="2945" t="s">
        <v>3148</v>
      </c>
      <c r="C311" s="2945">
        <v>4750</v>
      </c>
      <c r="D311" s="2945">
        <v>4710</v>
      </c>
      <c r="E311" s="2945">
        <v>5510</v>
      </c>
      <c r="F311" s="2945">
        <v>880</v>
      </c>
      <c r="G311" s="2958">
        <v>2840</v>
      </c>
    </row>
    <row r="312" spans="1:7" s="2779" customFormat="1" ht="14.25" customHeight="1">
      <c r="A312" s="2945" t="s">
        <v>306</v>
      </c>
      <c r="B312" s="2945" t="s">
        <v>3006</v>
      </c>
      <c r="C312" s="2945">
        <v>4690</v>
      </c>
      <c r="D312" s="2945">
        <v>4640</v>
      </c>
      <c r="E312" s="2945">
        <v>5420</v>
      </c>
      <c r="F312" s="2945">
        <v>800</v>
      </c>
      <c r="G312" s="2958">
        <v>2800</v>
      </c>
    </row>
    <row r="313" spans="1:7" s="2779" customFormat="1" ht="14.25" customHeight="1">
      <c r="A313" s="2945" t="s">
        <v>306</v>
      </c>
      <c r="B313" s="2945" t="s">
        <v>3011</v>
      </c>
      <c r="C313" s="2945">
        <v>4810</v>
      </c>
      <c r="D313" s="2945">
        <v>4760</v>
      </c>
      <c r="E313" s="2945">
        <v>5550</v>
      </c>
      <c r="F313" s="2945">
        <v>920</v>
      </c>
      <c r="G313" s="2958">
        <v>2870</v>
      </c>
    </row>
    <row r="314" spans="1:7" s="2779" customFormat="1" ht="14.25" customHeight="1">
      <c r="A314" s="2945" t="s">
        <v>306</v>
      </c>
      <c r="B314" s="2945" t="s">
        <v>3149</v>
      </c>
      <c r="C314" s="2945"/>
      <c r="D314" s="2945"/>
      <c r="E314" s="2945"/>
      <c r="F314" s="2945">
        <v>1020</v>
      </c>
      <c r="G314" s="2958"/>
    </row>
    <row r="315" spans="1:7" s="2779" customFormat="1" ht="14.25" customHeight="1">
      <c r="A315" s="2945" t="s">
        <v>306</v>
      </c>
      <c r="B315" s="2945" t="s">
        <v>3150</v>
      </c>
      <c r="C315" s="2945"/>
      <c r="D315" s="2945"/>
      <c r="E315" s="2945"/>
      <c r="F315" s="2945">
        <v>1050</v>
      </c>
      <c r="G315" s="2958"/>
    </row>
    <row r="316" spans="1:7" s="2779" customFormat="1" ht="14.25" customHeight="1">
      <c r="A316" s="2945" t="s">
        <v>306</v>
      </c>
      <c r="B316" s="2945" t="s">
        <v>3026</v>
      </c>
      <c r="C316" s="2945"/>
      <c r="D316" s="2945"/>
      <c r="E316" s="2945"/>
      <c r="F316" s="2945">
        <v>900</v>
      </c>
      <c r="G316" s="2958"/>
    </row>
    <row r="317" spans="1:7" s="2779" customFormat="1" ht="14.25" customHeight="1">
      <c r="A317" s="2945" t="s">
        <v>306</v>
      </c>
      <c r="B317" s="2945" t="s">
        <v>3151</v>
      </c>
      <c r="C317" s="2945"/>
      <c r="D317" s="2945"/>
      <c r="E317" s="2945"/>
      <c r="F317" s="2945">
        <v>920</v>
      </c>
      <c r="G317" s="2958"/>
    </row>
    <row r="318" spans="1:7" s="2779" customFormat="1" ht="14.25" customHeight="1">
      <c r="A318" s="2945" t="s">
        <v>306</v>
      </c>
      <c r="B318" s="2945" t="s">
        <v>3152</v>
      </c>
      <c r="C318" s="2945"/>
      <c r="D318" s="2945"/>
      <c r="E318" s="2945"/>
      <c r="F318" s="2945">
        <v>1080</v>
      </c>
      <c r="G318" s="2958"/>
    </row>
    <row r="319" spans="1:7" s="2779" customFormat="1" ht="14.25" customHeight="1">
      <c r="A319" s="2945" t="s">
        <v>306</v>
      </c>
      <c r="B319" s="2945" t="s">
        <v>3039</v>
      </c>
      <c r="C319" s="2945"/>
      <c r="D319" s="2945"/>
      <c r="E319" s="2945"/>
      <c r="F319" s="2945">
        <v>1020</v>
      </c>
      <c r="G319" s="2958"/>
    </row>
    <row r="320" spans="1:7" s="2779" customFormat="1" ht="14.25" customHeight="1">
      <c r="A320" s="2945" t="s">
        <v>306</v>
      </c>
      <c r="B320" s="2945" t="s">
        <v>3042</v>
      </c>
      <c r="C320" s="2945"/>
      <c r="D320" s="2945"/>
      <c r="E320" s="2945"/>
      <c r="F320" s="2945">
        <v>1050</v>
      </c>
      <c r="G320" s="2958"/>
    </row>
    <row r="321" spans="1:7" s="2779" customFormat="1" ht="14.25" customHeight="1">
      <c r="A321" s="2945" t="s">
        <v>306</v>
      </c>
      <c r="B321" s="2945" t="s">
        <v>3044</v>
      </c>
      <c r="C321" s="2945"/>
      <c r="D321" s="2945"/>
      <c r="E321" s="2945"/>
      <c r="F321" s="2945">
        <v>960</v>
      </c>
      <c r="G321" s="2958"/>
    </row>
    <row r="322" spans="1:7" s="2779" customFormat="1" ht="14.25" customHeight="1">
      <c r="A322" s="2945" t="s">
        <v>306</v>
      </c>
      <c r="B322" s="2945" t="s">
        <v>3046</v>
      </c>
      <c r="C322" s="2945"/>
      <c r="D322" s="2945"/>
      <c r="E322" s="2945"/>
      <c r="F322" s="2945">
        <v>960</v>
      </c>
      <c r="G322" s="2958"/>
    </row>
    <row r="323" spans="1:7" s="2779" customFormat="1" ht="14.25" customHeight="1">
      <c r="A323" s="2945" t="s">
        <v>306</v>
      </c>
      <c r="B323" s="2945" t="s">
        <v>3048</v>
      </c>
      <c r="C323" s="2945"/>
      <c r="D323" s="2945"/>
      <c r="E323" s="2945"/>
      <c r="F323" s="2945">
        <v>880</v>
      </c>
      <c r="G323" s="2958"/>
    </row>
    <row r="324" spans="1:7" s="2779" customFormat="1" ht="14.25" customHeight="1">
      <c r="A324" s="2945" t="s">
        <v>306</v>
      </c>
      <c r="B324" s="2945" t="s">
        <v>3050</v>
      </c>
      <c r="C324" s="2945"/>
      <c r="D324" s="2945"/>
      <c r="E324" s="2945"/>
      <c r="F324" s="2945">
        <v>930</v>
      </c>
      <c r="G324" s="2958"/>
    </row>
    <row r="325" spans="1:7" s="2779" customFormat="1" ht="14.25" customHeight="1">
      <c r="A325" s="2945" t="s">
        <v>306</v>
      </c>
      <c r="B325" s="2946" t="s">
        <v>3052</v>
      </c>
      <c r="C325" s="2945"/>
      <c r="D325" s="2945"/>
      <c r="E325" s="2945"/>
      <c r="F325" s="2945">
        <v>900</v>
      </c>
      <c r="G325" s="2958"/>
    </row>
    <row r="326" spans="1:7" s="2779" customFormat="1" ht="14.25" customHeight="1" thickBot="1">
      <c r="A326" s="2959" t="s">
        <v>306</v>
      </c>
      <c r="B326" s="2952" t="s">
        <v>3054</v>
      </c>
      <c r="C326" s="2952"/>
      <c r="D326" s="2952"/>
      <c r="E326" s="2952"/>
      <c r="F326" s="2952">
        <v>790</v>
      </c>
      <c r="G326" s="2960"/>
    </row>
    <row r="327" spans="1:7" s="2779" customFormat="1" ht="14.25" customHeight="1">
      <c r="A327" s="2950" t="s">
        <v>307</v>
      </c>
      <c r="B327" s="2941" t="s">
        <v>3153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3154</v>
      </c>
      <c r="C329" s="2945">
        <v>2730</v>
      </c>
      <c r="D329" s="2945">
        <v>2690</v>
      </c>
      <c r="E329" s="2945">
        <v>3100</v>
      </c>
      <c r="F329" s="2945">
        <v>660</v>
      </c>
      <c r="G329" s="2945">
        <v>1610</v>
      </c>
    </row>
    <row r="330" spans="1:7" s="2779" customFormat="1" ht="14.25" customHeight="1">
      <c r="A330" s="2945" t="s">
        <v>307</v>
      </c>
      <c r="B330" s="2945" t="s">
        <v>3155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2888</v>
      </c>
      <c r="C332" s="2945">
        <v>3520</v>
      </c>
      <c r="D332" s="2945">
        <v>3480</v>
      </c>
      <c r="E332" s="2945">
        <v>3830</v>
      </c>
      <c r="F332" s="2945">
        <v>720</v>
      </c>
      <c r="G332" s="2945">
        <v>2090</v>
      </c>
    </row>
    <row r="333" spans="1:7" s="2779" customFormat="1" ht="14.25" customHeight="1">
      <c r="A333" s="2945" t="s">
        <v>307</v>
      </c>
      <c r="B333" s="2945" t="s">
        <v>3156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2898</v>
      </c>
      <c r="C336" s="2945">
        <v>3570</v>
      </c>
      <c r="D336" s="2945">
        <v>3530</v>
      </c>
      <c r="E336" s="2945">
        <v>3880</v>
      </c>
      <c r="F336" s="2945">
        <v>770</v>
      </c>
      <c r="G336" s="2945">
        <v>2110</v>
      </c>
    </row>
    <row r="337" spans="1:10" s="2779" customFormat="1" ht="14.25" customHeight="1">
      <c r="A337" s="2945" t="s">
        <v>307</v>
      </c>
      <c r="B337" s="2945" t="s">
        <v>3157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2923</v>
      </c>
      <c r="C345" s="2945">
        <v>3190</v>
      </c>
      <c r="D345" s="2945">
        <v>3140</v>
      </c>
      <c r="E345" s="2945">
        <v>3450</v>
      </c>
      <c r="F345" s="2945">
        <v>720</v>
      </c>
      <c r="G345" s="2945">
        <v>1880</v>
      </c>
      <c r="J345" s="2779"/>
    </row>
    <row r="346" spans="1:10">
      <c r="A346" s="2945" t="s">
        <v>307</v>
      </c>
      <c r="B346" s="2945" t="s">
        <v>3160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2932</v>
      </c>
      <c r="C348" s="2945">
        <v>4000</v>
      </c>
      <c r="D348" s="2945">
        <v>3950</v>
      </c>
      <c r="E348" s="2945">
        <v>4430</v>
      </c>
      <c r="F348" s="2945">
        <v>760</v>
      </c>
      <c r="G348" s="2945">
        <v>2360</v>
      </c>
      <c r="J348" s="2779"/>
    </row>
    <row r="349" spans="1:10">
      <c r="A349" s="2945" t="s">
        <v>307</v>
      </c>
      <c r="B349" s="2945" t="s">
        <v>2937</v>
      </c>
      <c r="C349" s="2945">
        <v>3820</v>
      </c>
      <c r="D349" s="2945">
        <v>3780</v>
      </c>
      <c r="E349" s="2945">
        <v>4170</v>
      </c>
      <c r="F349" s="2945">
        <v>710</v>
      </c>
      <c r="G349" s="2945">
        <v>2260</v>
      </c>
      <c r="J349" s="2779"/>
    </row>
    <row r="350" spans="1:10">
      <c r="A350" s="2945" t="s">
        <v>307</v>
      </c>
      <c r="B350" s="2945" t="s">
        <v>3161</v>
      </c>
      <c r="C350" s="2945">
        <v>3760</v>
      </c>
      <c r="D350" s="2945">
        <v>3730</v>
      </c>
      <c r="E350" s="2945">
        <v>4100</v>
      </c>
      <c r="F350" s="2945">
        <v>800</v>
      </c>
      <c r="G350" s="2945">
        <v>2230</v>
      </c>
      <c r="J350" s="2779"/>
    </row>
    <row r="351" spans="1:10">
      <c r="A351" s="2945" t="s">
        <v>307</v>
      </c>
      <c r="B351" s="2945" t="s">
        <v>2945</v>
      </c>
      <c r="C351" s="2945">
        <v>3610</v>
      </c>
      <c r="D351" s="2945">
        <v>3580</v>
      </c>
      <c r="E351" s="2945">
        <v>3930</v>
      </c>
      <c r="F351" s="2945">
        <v>700</v>
      </c>
      <c r="G351" s="2945">
        <v>2140</v>
      </c>
      <c r="J351" s="2779"/>
    </row>
    <row r="352" spans="1:10">
      <c r="A352" s="2945" t="s">
        <v>307</v>
      </c>
      <c r="B352" s="2945" t="s">
        <v>2950</v>
      </c>
      <c r="C352" s="2945">
        <v>3670</v>
      </c>
      <c r="D352" s="2945">
        <v>3630</v>
      </c>
      <c r="E352" s="2945">
        <v>4000</v>
      </c>
      <c r="F352" s="2945">
        <v>750</v>
      </c>
      <c r="G352" s="2945">
        <v>2180</v>
      </c>
    </row>
    <row r="353" spans="1:7" s="2780" customFormat="1">
      <c r="A353" s="2945" t="s">
        <v>307</v>
      </c>
      <c r="B353" s="2945" t="s">
        <v>3162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2970</v>
      </c>
      <c r="C355" s="2945">
        <v>3650</v>
      </c>
      <c r="D355" s="2945">
        <v>3610</v>
      </c>
      <c r="E355" s="2945">
        <v>4200</v>
      </c>
      <c r="F355" s="2945">
        <v>640</v>
      </c>
      <c r="G355" s="2945">
        <v>2160</v>
      </c>
    </row>
    <row r="356" spans="1:7" s="2780" customFormat="1">
      <c r="A356" s="2945" t="s">
        <v>307</v>
      </c>
      <c r="B356" s="2945" t="s">
        <v>2977</v>
      </c>
      <c r="C356" s="2945">
        <v>3260</v>
      </c>
      <c r="D356" s="2945">
        <v>3230</v>
      </c>
      <c r="E356" s="2945">
        <v>3740</v>
      </c>
      <c r="F356" s="2945">
        <v>600</v>
      </c>
      <c r="G356" s="2945">
        <v>1930</v>
      </c>
    </row>
    <row r="357" spans="1:7" s="2780" customFormat="1" ht="12" thickBot="1">
      <c r="A357" s="2953" t="s">
        <v>307</v>
      </c>
      <c r="B357" s="2956" t="s">
        <v>3163</v>
      </c>
      <c r="C357" s="2956">
        <v>3690</v>
      </c>
      <c r="D357" s="2956">
        <v>3650</v>
      </c>
      <c r="E357" s="2956">
        <v>4020</v>
      </c>
      <c r="F357" s="2956">
        <v>700</v>
      </c>
      <c r="G357" s="2956">
        <v>2190</v>
      </c>
    </row>
    <row r="358" spans="1:7" s="2780" customFormat="1">
      <c r="A358" s="2950" t="s">
        <v>3164</v>
      </c>
      <c r="B358" s="2941" t="s">
        <v>3165</v>
      </c>
      <c r="C358" s="2941">
        <v>2080</v>
      </c>
      <c r="D358" s="2941">
        <v>2040</v>
      </c>
      <c r="E358" s="2941">
        <v>2010</v>
      </c>
      <c r="F358" s="2941">
        <v>530</v>
      </c>
      <c r="G358" s="2957">
        <v>1230</v>
      </c>
    </row>
    <row r="359" spans="1:7" s="2780" customFormat="1">
      <c r="A359" s="2945" t="s">
        <v>3164</v>
      </c>
      <c r="B359" s="2945" t="s">
        <v>3166</v>
      </c>
      <c r="C359" s="2945">
        <v>1850</v>
      </c>
      <c r="D359" s="2945">
        <v>1820</v>
      </c>
      <c r="E359" s="2945">
        <v>1780</v>
      </c>
      <c r="F359" s="2945">
        <v>520</v>
      </c>
      <c r="G359" s="2958">
        <v>1100</v>
      </c>
    </row>
    <row r="360" spans="1:7" s="2780" customFormat="1">
      <c r="A360" s="2945" t="s">
        <v>3164</v>
      </c>
      <c r="B360" s="2945" t="s">
        <v>3167</v>
      </c>
      <c r="C360" s="2945">
        <v>2020</v>
      </c>
      <c r="D360" s="2945">
        <v>1990</v>
      </c>
      <c r="E360" s="2945">
        <v>1950</v>
      </c>
      <c r="F360" s="2945">
        <v>500</v>
      </c>
      <c r="G360" s="2958">
        <v>1200</v>
      </c>
    </row>
    <row r="361" spans="1:7" s="2780" customFormat="1">
      <c r="A361" s="2945" t="s">
        <v>3164</v>
      </c>
      <c r="B361" s="2945" t="s">
        <v>153</v>
      </c>
      <c r="C361" s="2945">
        <v>2260</v>
      </c>
      <c r="D361" s="2945">
        <v>2220</v>
      </c>
      <c r="E361" s="2945">
        <v>2180</v>
      </c>
      <c r="F361" s="2945">
        <v>580</v>
      </c>
      <c r="G361" s="2958">
        <v>1340</v>
      </c>
    </row>
    <row r="362" spans="1:7" s="2780" customFormat="1">
      <c r="A362" s="2945" t="s">
        <v>3164</v>
      </c>
      <c r="B362" s="2945" t="s">
        <v>3168</v>
      </c>
      <c r="C362" s="2945">
        <v>2650</v>
      </c>
      <c r="D362" s="2945">
        <v>2610</v>
      </c>
      <c r="E362" s="2945">
        <v>2570</v>
      </c>
      <c r="F362" s="2945">
        <v>630</v>
      </c>
      <c r="G362" s="2958">
        <v>1570</v>
      </c>
    </row>
    <row r="363" spans="1:7" s="2780" customFormat="1">
      <c r="A363" s="2945" t="s">
        <v>3164</v>
      </c>
      <c r="B363" s="2945" t="s">
        <v>2889</v>
      </c>
      <c r="C363" s="2945">
        <v>2390</v>
      </c>
      <c r="D363" s="2945">
        <v>2360</v>
      </c>
      <c r="E363" s="2945">
        <v>2320</v>
      </c>
      <c r="F363" s="2945">
        <v>600</v>
      </c>
      <c r="G363" s="2958">
        <v>1420</v>
      </c>
    </row>
    <row r="364" spans="1:7" s="2780" customFormat="1">
      <c r="A364" s="2945" t="s">
        <v>3164</v>
      </c>
      <c r="B364" s="2945" t="s">
        <v>3169</v>
      </c>
      <c r="C364" s="2945">
        <v>2050</v>
      </c>
      <c r="D364" s="2945">
        <v>2030</v>
      </c>
      <c r="E364" s="2945">
        <v>1990</v>
      </c>
      <c r="F364" s="2945">
        <v>550</v>
      </c>
      <c r="G364" s="2958">
        <v>1220</v>
      </c>
    </row>
    <row r="365" spans="1:7" s="2780" customFormat="1">
      <c r="A365" s="2945" t="s">
        <v>3164</v>
      </c>
      <c r="B365" s="2945" t="s">
        <v>200</v>
      </c>
      <c r="C365" s="2945">
        <v>2140</v>
      </c>
      <c r="D365" s="2945">
        <v>2100</v>
      </c>
      <c r="E365" s="2945">
        <v>2060</v>
      </c>
      <c r="F365" s="2945">
        <v>540</v>
      </c>
      <c r="G365" s="2958">
        <v>1270</v>
      </c>
    </row>
    <row r="366" spans="1:7" s="2780" customFormat="1">
      <c r="A366" s="2945" t="s">
        <v>3164</v>
      </c>
      <c r="B366" s="2945" t="s">
        <v>2896</v>
      </c>
      <c r="C366" s="2945">
        <v>2410</v>
      </c>
      <c r="D366" s="2945">
        <v>2370</v>
      </c>
      <c r="E366" s="2945">
        <v>2330</v>
      </c>
      <c r="F366" s="2945">
        <v>570</v>
      </c>
      <c r="G366" s="2958">
        <v>1440</v>
      </c>
    </row>
    <row r="367" spans="1:7" s="2780" customFormat="1">
      <c r="A367" s="2945" t="s">
        <v>3164</v>
      </c>
      <c r="B367" s="2945" t="s">
        <v>3170</v>
      </c>
      <c r="C367" s="2945">
        <v>2300</v>
      </c>
      <c r="D367" s="2945">
        <v>2260</v>
      </c>
      <c r="E367" s="2945">
        <v>2220</v>
      </c>
      <c r="F367" s="2945">
        <v>560</v>
      </c>
      <c r="G367" s="2958">
        <v>1370</v>
      </c>
    </row>
    <row r="368" spans="1:7" s="2780" customFormat="1">
      <c r="A368" s="2945" t="s">
        <v>3164</v>
      </c>
      <c r="B368" s="2945" t="s">
        <v>3171</v>
      </c>
      <c r="C368" s="2945">
        <v>2430</v>
      </c>
      <c r="D368" s="2945">
        <v>2390</v>
      </c>
      <c r="E368" s="2945">
        <v>2350</v>
      </c>
      <c r="F368" s="2945">
        <v>570</v>
      </c>
      <c r="G368" s="2958">
        <v>1450</v>
      </c>
    </row>
    <row r="369" spans="1:7" s="2780" customFormat="1">
      <c r="A369" s="2945" t="s">
        <v>3164</v>
      </c>
      <c r="B369" s="2945" t="s">
        <v>214</v>
      </c>
      <c r="C369" s="2945">
        <v>2320</v>
      </c>
      <c r="D369" s="2945">
        <v>2290</v>
      </c>
      <c r="E369" s="2945">
        <v>2250</v>
      </c>
      <c r="F369" s="2945">
        <v>550</v>
      </c>
      <c r="G369" s="2958">
        <v>1380</v>
      </c>
    </row>
    <row r="370" spans="1:7" s="2780" customFormat="1">
      <c r="A370" s="2945" t="s">
        <v>3164</v>
      </c>
      <c r="B370" s="2945" t="s">
        <v>221</v>
      </c>
      <c r="C370" s="2945">
        <v>2190</v>
      </c>
      <c r="D370" s="2945">
        <v>2170</v>
      </c>
      <c r="E370" s="2945">
        <v>2130</v>
      </c>
      <c r="F370" s="2945">
        <v>530</v>
      </c>
      <c r="G370" s="2958">
        <v>1310</v>
      </c>
    </row>
    <row r="371" spans="1:7" s="2780" customFormat="1">
      <c r="A371" s="2945" t="s">
        <v>3164</v>
      </c>
      <c r="B371" s="2945" t="s">
        <v>229</v>
      </c>
      <c r="C371" s="2945">
        <v>2460</v>
      </c>
      <c r="D371" s="2945">
        <v>2420</v>
      </c>
      <c r="E371" s="2945">
        <v>2370</v>
      </c>
      <c r="F371" s="2945">
        <v>560</v>
      </c>
      <c r="G371" s="2958">
        <v>1470</v>
      </c>
    </row>
    <row r="372" spans="1:7" s="2780" customFormat="1">
      <c r="A372" s="2945" t="s">
        <v>3164</v>
      </c>
      <c r="B372" s="2945" t="s">
        <v>3172</v>
      </c>
      <c r="C372" s="2945">
        <v>2250</v>
      </c>
      <c r="D372" s="2945">
        <v>2210</v>
      </c>
      <c r="E372" s="2945">
        <v>2180</v>
      </c>
      <c r="F372" s="2945">
        <v>550</v>
      </c>
      <c r="G372" s="2958">
        <v>1340</v>
      </c>
    </row>
    <row r="373" spans="1:7" s="2780" customFormat="1">
      <c r="A373" s="2945" t="s">
        <v>3164</v>
      </c>
      <c r="B373" s="2945" t="s">
        <v>258</v>
      </c>
      <c r="C373" s="2945">
        <v>2210</v>
      </c>
      <c r="D373" s="2945">
        <v>2190</v>
      </c>
      <c r="E373" s="2945">
        <v>2150</v>
      </c>
      <c r="F373" s="2945">
        <v>530</v>
      </c>
      <c r="G373" s="2958">
        <v>1320</v>
      </c>
    </row>
    <row r="374" spans="1:7" s="2780" customFormat="1">
      <c r="A374" s="2945" t="s">
        <v>3164</v>
      </c>
      <c r="B374" s="2945" t="s">
        <v>266</v>
      </c>
      <c r="C374" s="2945">
        <v>2320</v>
      </c>
      <c r="D374" s="2945">
        <v>2280</v>
      </c>
      <c r="E374" s="2945">
        <v>2230</v>
      </c>
      <c r="F374" s="2945">
        <v>580</v>
      </c>
      <c r="G374" s="2958">
        <v>1380</v>
      </c>
    </row>
    <row r="375" spans="1:7" s="2780" customFormat="1">
      <c r="A375" s="2945" t="s">
        <v>3164</v>
      </c>
      <c r="B375" s="2945" t="s">
        <v>3173</v>
      </c>
      <c r="C375" s="2945">
        <v>2090</v>
      </c>
      <c r="D375" s="2945">
        <v>2050</v>
      </c>
      <c r="E375" s="2945">
        <v>2020</v>
      </c>
      <c r="F375" s="2945">
        <v>520</v>
      </c>
      <c r="G375" s="2958">
        <v>1240</v>
      </c>
    </row>
    <row r="376" spans="1:7" s="2780" customFormat="1">
      <c r="A376" s="2945" t="s">
        <v>3164</v>
      </c>
      <c r="B376" s="2945" t="s">
        <v>277</v>
      </c>
      <c r="C376" s="2945">
        <v>2010</v>
      </c>
      <c r="D376" s="2945">
        <v>1980</v>
      </c>
      <c r="E376" s="2945">
        <v>1940</v>
      </c>
      <c r="F376" s="2945">
        <v>540</v>
      </c>
      <c r="G376" s="2958">
        <v>1190</v>
      </c>
    </row>
    <row r="377" spans="1:7" s="2780" customFormat="1" ht="12" thickBot="1">
      <c r="A377" s="2953" t="s">
        <v>3164</v>
      </c>
      <c r="B377" s="2956" t="s">
        <v>2926</v>
      </c>
      <c r="C377" s="2956">
        <v>1930</v>
      </c>
      <c r="D377" s="2956">
        <v>1890</v>
      </c>
      <c r="E377" s="2956">
        <v>1860</v>
      </c>
      <c r="F377" s="2956">
        <v>530</v>
      </c>
      <c r="G377" s="2961">
        <v>1150</v>
      </c>
    </row>
    <row r="378" spans="1:7" s="2780" customFormat="1">
      <c r="A378" s="2962" t="s">
        <v>3174</v>
      </c>
      <c r="B378" s="2941" t="s">
        <v>3175</v>
      </c>
      <c r="C378" s="2941">
        <v>1520</v>
      </c>
      <c r="D378" s="2941">
        <v>1490</v>
      </c>
      <c r="E378" s="2941">
        <v>1460</v>
      </c>
      <c r="F378" s="2941">
        <v>460</v>
      </c>
      <c r="G378" s="2957">
        <v>940</v>
      </c>
    </row>
    <row r="379" spans="1:7" s="2780" customFormat="1">
      <c r="A379" s="2963" t="s">
        <v>3174</v>
      </c>
      <c r="B379" s="2945" t="s">
        <v>3176</v>
      </c>
      <c r="C379" s="2945">
        <v>1500</v>
      </c>
      <c r="D379" s="2945">
        <v>1470</v>
      </c>
      <c r="E379" s="2945">
        <v>1430</v>
      </c>
      <c r="F379" s="2945">
        <v>460</v>
      </c>
      <c r="G379" s="2958">
        <v>920</v>
      </c>
    </row>
    <row r="380" spans="1:7" s="2780" customFormat="1">
      <c r="A380" s="2963" t="s">
        <v>3174</v>
      </c>
      <c r="B380" s="2945" t="s">
        <v>3177</v>
      </c>
      <c r="C380" s="2945">
        <v>1620</v>
      </c>
      <c r="D380" s="2945">
        <v>1590</v>
      </c>
      <c r="E380" s="2945">
        <v>1560</v>
      </c>
      <c r="F380" s="2945">
        <v>480</v>
      </c>
      <c r="G380" s="2958">
        <v>1000</v>
      </c>
    </row>
    <row r="381" spans="1:7" s="2780" customFormat="1">
      <c r="A381" s="2963" t="s">
        <v>3174</v>
      </c>
      <c r="B381" s="2945" t="s">
        <v>3178</v>
      </c>
      <c r="C381" s="2945">
        <v>1460</v>
      </c>
      <c r="D381" s="2945">
        <v>1430</v>
      </c>
      <c r="E381" s="2945">
        <v>1390</v>
      </c>
      <c r="F381" s="2945">
        <v>450</v>
      </c>
      <c r="G381" s="2958">
        <v>900</v>
      </c>
    </row>
    <row r="382" spans="1:7" s="2780" customFormat="1">
      <c r="A382" s="2963" t="s">
        <v>3174</v>
      </c>
      <c r="B382" s="2945" t="s">
        <v>3179</v>
      </c>
      <c r="C382" s="2945">
        <v>1310</v>
      </c>
      <c r="D382" s="2945">
        <v>1280</v>
      </c>
      <c r="E382" s="2945">
        <v>1250</v>
      </c>
      <c r="F382" s="2945">
        <v>440</v>
      </c>
      <c r="G382" s="2958">
        <v>800</v>
      </c>
    </row>
    <row r="383" spans="1:7" s="2780" customFormat="1">
      <c r="A383" s="2963" t="s">
        <v>3174</v>
      </c>
      <c r="B383" s="2945" t="s">
        <v>3180</v>
      </c>
      <c r="C383" s="2945">
        <v>1260</v>
      </c>
      <c r="D383" s="2945">
        <v>1230</v>
      </c>
      <c r="E383" s="2945">
        <v>1200</v>
      </c>
      <c r="F383" s="2945">
        <v>420</v>
      </c>
      <c r="G383" s="2958">
        <v>770</v>
      </c>
    </row>
    <row r="384" spans="1:7" s="2780" customFormat="1" ht="12" thickBot="1">
      <c r="A384" s="2964" t="s">
        <v>3174</v>
      </c>
      <c r="B384" s="2952" t="s">
        <v>3181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604" t="s">
        <v>3182</v>
      </c>
      <c r="B1" s="3604"/>
    </row>
    <row r="2" spans="1:7" ht="14.25" thickBot="1">
      <c r="A2" s="2966"/>
      <c r="B2" s="2966"/>
    </row>
    <row r="3" spans="1:7" ht="14.25" thickBot="1">
      <c r="A3" s="2966"/>
      <c r="B3" s="2966"/>
      <c r="C3" s="2967" t="s">
        <v>2808</v>
      </c>
      <c r="D3" s="2967" t="s">
        <v>2868</v>
      </c>
      <c r="E3" s="2967" t="s">
        <v>2810</v>
      </c>
      <c r="F3" s="2967" t="s">
        <v>2869</v>
      </c>
      <c r="G3" s="2967" t="s">
        <v>2628</v>
      </c>
    </row>
    <row r="4" spans="1:7" ht="14.25" thickBot="1">
      <c r="A4" s="2968" t="s">
        <v>2867</v>
      </c>
      <c r="B4" s="2969" t="s">
        <v>2873</v>
      </c>
      <c r="C4" s="2967"/>
      <c r="D4" s="2967"/>
      <c r="E4" s="2967"/>
      <c r="F4" s="2967"/>
      <c r="G4" s="2967"/>
    </row>
    <row r="5" spans="1:7">
      <c r="A5" s="2970" t="s">
        <v>2841</v>
      </c>
      <c r="B5" s="2971" t="s">
        <v>2855</v>
      </c>
      <c r="C5" s="2972">
        <v>9.8000000000000004E-2</v>
      </c>
      <c r="D5" s="2972">
        <v>8.6999999999999994E-2</v>
      </c>
      <c r="E5" s="2972">
        <v>8.6999999999999994E-2</v>
      </c>
      <c r="F5" s="2972">
        <v>9.8000000000000004E-2</v>
      </c>
      <c r="G5" s="2973">
        <v>9.5000000000000001E-2</v>
      </c>
    </row>
    <row r="6" spans="1:7">
      <c r="A6" s="2974" t="s">
        <v>144</v>
      </c>
      <c r="B6" s="2975" t="s">
        <v>2870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2924</v>
      </c>
      <c r="C29" s="2984"/>
      <c r="D29" s="2980">
        <v>5.1999999999999998E-2</v>
      </c>
      <c r="E29" s="2980">
        <v>7.0000000000000007E-2</v>
      </c>
      <c r="F29" s="2984"/>
      <c r="G29" s="2982">
        <v>7.0999999999999994E-2</v>
      </c>
    </row>
    <row r="30" spans="1:7">
      <c r="A30" s="2985" t="s">
        <v>296</v>
      </c>
      <c r="B30" s="2971" t="s">
        <v>2857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2927</v>
      </c>
      <c r="C50" s="2976">
        <v>9.8000000000000004E-2</v>
      </c>
      <c r="D50" s="2976">
        <v>7.2999999999999995E-2</v>
      </c>
      <c r="E50" s="2976">
        <v>7.0999999999999994E-2</v>
      </c>
      <c r="F50" s="2987"/>
      <c r="G50" s="2977">
        <v>7.2999999999999995E-2</v>
      </c>
    </row>
    <row r="51" spans="1:7">
      <c r="A51" s="2986" t="s">
        <v>296</v>
      </c>
      <c r="B51" s="2975" t="s">
        <v>2929</v>
      </c>
      <c r="C51" s="2976">
        <v>9.9000000000000005E-2</v>
      </c>
      <c r="D51" s="2976">
        <v>8.5000000000000006E-2</v>
      </c>
      <c r="E51" s="2976">
        <v>6.3E-2</v>
      </c>
      <c r="F51" s="2987"/>
      <c r="G51" s="2977">
        <v>9.6000000000000002E-2</v>
      </c>
    </row>
    <row r="52" spans="1:7">
      <c r="A52" s="2986" t="s">
        <v>296</v>
      </c>
      <c r="B52" s="2975" t="s">
        <v>2933</v>
      </c>
      <c r="C52" s="2976">
        <v>7.3999999999999996E-2</v>
      </c>
      <c r="D52" s="2976">
        <v>9.6000000000000002E-2</v>
      </c>
      <c r="E52" s="2976">
        <v>0.05</v>
      </c>
      <c r="F52" s="2987"/>
      <c r="G52" s="2977">
        <v>9.8000000000000004E-2</v>
      </c>
    </row>
    <row r="53" spans="1:7">
      <c r="A53" s="2986" t="s">
        <v>296</v>
      </c>
      <c r="B53" s="2975" t="s">
        <v>2938</v>
      </c>
      <c r="C53" s="2976">
        <v>8.5999999999999993E-2</v>
      </c>
      <c r="D53" s="2987"/>
      <c r="E53" s="2976">
        <v>9.1999999999999998E-2</v>
      </c>
      <c r="F53" s="2987"/>
      <c r="G53" s="2988"/>
    </row>
    <row r="54" spans="1:7" ht="14.25" thickBot="1">
      <c r="A54" s="2989" t="s">
        <v>296</v>
      </c>
      <c r="B54" s="2979" t="s">
        <v>2941</v>
      </c>
      <c r="C54" s="2980">
        <v>9.6000000000000002E-2</v>
      </c>
      <c r="D54" s="2981"/>
      <c r="E54" s="2990"/>
      <c r="F54" s="2981"/>
      <c r="G54" s="2991"/>
    </row>
    <row r="55" spans="1:7">
      <c r="A55" s="2985" t="s">
        <v>110</v>
      </c>
      <c r="B55" s="2971" t="s">
        <v>2858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2939</v>
      </c>
      <c r="C78" s="2976">
        <v>0.1</v>
      </c>
      <c r="D78" s="2976">
        <v>8.5000000000000006E-2</v>
      </c>
      <c r="E78" s="2976">
        <v>9.6000000000000002E-2</v>
      </c>
      <c r="F78" s="2987"/>
      <c r="G78" s="2977">
        <v>9.6000000000000002E-2</v>
      </c>
    </row>
    <row r="79" spans="1:7">
      <c r="A79" s="2986" t="s">
        <v>110</v>
      </c>
      <c r="B79" s="2975" t="s">
        <v>2942</v>
      </c>
      <c r="C79" s="2976">
        <v>0.05</v>
      </c>
      <c r="D79" s="2976">
        <v>9.6000000000000002E-2</v>
      </c>
      <c r="E79" s="2976">
        <v>9.5000000000000001E-2</v>
      </c>
      <c r="F79" s="2987"/>
      <c r="G79" s="2977">
        <v>9.8000000000000004E-2</v>
      </c>
    </row>
    <row r="80" spans="1:7">
      <c r="A80" s="2986" t="s">
        <v>110</v>
      </c>
      <c r="B80" s="2975" t="s">
        <v>2946</v>
      </c>
      <c r="C80" s="2976">
        <v>8.5999999999999993E-2</v>
      </c>
      <c r="D80" s="2992"/>
      <c r="E80" s="2976">
        <v>0.1</v>
      </c>
      <c r="F80" s="2987"/>
      <c r="G80" s="2988"/>
    </row>
    <row r="81" spans="1:7">
      <c r="A81" s="2986" t="s">
        <v>110</v>
      </c>
      <c r="B81" s="2975" t="s">
        <v>2951</v>
      </c>
      <c r="C81" s="2976">
        <v>9.6000000000000002E-2</v>
      </c>
      <c r="D81" s="2987"/>
      <c r="E81" s="2976">
        <v>9.8000000000000004E-2</v>
      </c>
      <c r="F81" s="2987"/>
      <c r="G81" s="2988"/>
    </row>
    <row r="82" spans="1:7">
      <c r="A82" s="2986" t="s">
        <v>110</v>
      </c>
      <c r="B82" s="2975" t="s">
        <v>2958</v>
      </c>
      <c r="C82" s="2992"/>
      <c r="D82" s="2987"/>
      <c r="E82" s="2976">
        <v>7.6999999999999999E-2</v>
      </c>
      <c r="F82" s="2987"/>
      <c r="G82" s="2988"/>
    </row>
    <row r="83" spans="1:7">
      <c r="A83" s="2986" t="s">
        <v>110</v>
      </c>
      <c r="B83" s="2975" t="s">
        <v>2964</v>
      </c>
      <c r="C83" s="2987"/>
      <c r="D83" s="2987"/>
      <c r="E83" s="2987"/>
      <c r="F83" s="2976">
        <v>0.1</v>
      </c>
      <c r="G83" s="2993"/>
    </row>
    <row r="84" spans="1:7">
      <c r="A84" s="2986" t="s">
        <v>110</v>
      </c>
      <c r="B84" s="2975" t="s">
        <v>2971</v>
      </c>
      <c r="C84" s="2987"/>
      <c r="D84" s="2987"/>
      <c r="E84" s="2987"/>
      <c r="F84" s="2976">
        <v>0.1</v>
      </c>
      <c r="G84" s="2993"/>
    </row>
    <row r="85" spans="1:7">
      <c r="A85" s="2986" t="s">
        <v>110</v>
      </c>
      <c r="B85" s="2975" t="s">
        <v>2978</v>
      </c>
      <c r="C85" s="2987"/>
      <c r="D85" s="2987"/>
      <c r="E85" s="2987"/>
      <c r="F85" s="2976">
        <v>0.1</v>
      </c>
      <c r="G85" s="2993"/>
    </row>
    <row r="86" spans="1:7" ht="14.25" thickBot="1">
      <c r="A86" s="2989" t="s">
        <v>110</v>
      </c>
      <c r="B86" s="2979" t="s">
        <v>2983</v>
      </c>
      <c r="C86" s="2980">
        <v>9.8000000000000004E-2</v>
      </c>
      <c r="D86" s="2980">
        <v>9.8000000000000004E-2</v>
      </c>
      <c r="E86" s="2980">
        <v>9.6000000000000002E-2</v>
      </c>
      <c r="F86" s="2990"/>
      <c r="G86" s="2982">
        <v>0.1</v>
      </c>
    </row>
    <row r="87" spans="1:7">
      <c r="A87" s="2985" t="s">
        <v>303</v>
      </c>
      <c r="B87" s="2971" t="s">
        <v>2859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2952</v>
      </c>
      <c r="C113" s="2976">
        <v>0.1</v>
      </c>
      <c r="D113" s="2976">
        <v>0.1</v>
      </c>
      <c r="E113" s="2987"/>
      <c r="F113" s="2987"/>
      <c r="G113" s="2977">
        <v>0.1</v>
      </c>
    </row>
    <row r="114" spans="1:7">
      <c r="A114" s="2986" t="s">
        <v>303</v>
      </c>
      <c r="B114" s="2975" t="s">
        <v>2959</v>
      </c>
      <c r="C114" s="2976">
        <v>9.7000000000000003E-2</v>
      </c>
      <c r="D114" s="2976">
        <v>9.7000000000000003E-2</v>
      </c>
      <c r="E114" s="2987"/>
      <c r="F114" s="2987"/>
      <c r="G114" s="2977">
        <v>9.9000000000000005E-2</v>
      </c>
    </row>
    <row r="115" spans="1:7">
      <c r="A115" s="2986" t="s">
        <v>303</v>
      </c>
      <c r="B115" s="2975" t="s">
        <v>2965</v>
      </c>
      <c r="C115" s="2976">
        <v>0.1</v>
      </c>
      <c r="D115" s="2976">
        <v>0.1</v>
      </c>
      <c r="E115" s="2987"/>
      <c r="F115" s="2987"/>
      <c r="G115" s="2977">
        <v>0.1</v>
      </c>
    </row>
    <row r="116" spans="1:7">
      <c r="A116" s="2986" t="s">
        <v>303</v>
      </c>
      <c r="B116" s="2975" t="s">
        <v>2972</v>
      </c>
      <c r="C116" s="2976">
        <v>0.1</v>
      </c>
      <c r="D116" s="2976">
        <v>0.1</v>
      </c>
      <c r="E116" s="2987"/>
      <c r="F116" s="2987"/>
      <c r="G116" s="2977">
        <v>0.1</v>
      </c>
    </row>
    <row r="117" spans="1:7">
      <c r="A117" s="2986" t="s">
        <v>303</v>
      </c>
      <c r="B117" s="2975" t="s">
        <v>2979</v>
      </c>
      <c r="C117" s="2976">
        <v>9.7000000000000003E-2</v>
      </c>
      <c r="D117" s="2976">
        <v>9.7000000000000003E-2</v>
      </c>
      <c r="E117" s="2987"/>
      <c r="F117" s="2987"/>
      <c r="G117" s="2977">
        <v>9.7000000000000003E-2</v>
      </c>
    </row>
    <row r="118" spans="1:7">
      <c r="A118" s="2986" t="s">
        <v>303</v>
      </c>
      <c r="B118" s="2975" t="s">
        <v>2984</v>
      </c>
      <c r="C118" s="2976">
        <v>0.1</v>
      </c>
      <c r="D118" s="2976">
        <v>0.1</v>
      </c>
      <c r="E118" s="2987"/>
      <c r="F118" s="2987"/>
      <c r="G118" s="2977">
        <v>0.1</v>
      </c>
    </row>
    <row r="119" spans="1:7">
      <c r="A119" s="2986" t="s">
        <v>303</v>
      </c>
      <c r="B119" s="2975" t="s">
        <v>2988</v>
      </c>
      <c r="C119" s="2976">
        <v>5.0999999999999997E-2</v>
      </c>
      <c r="D119" s="2976">
        <v>5.1999999999999998E-2</v>
      </c>
      <c r="E119" s="2987"/>
      <c r="F119" s="2992"/>
      <c r="G119" s="2977">
        <v>0.06</v>
      </c>
    </row>
    <row r="120" spans="1:7">
      <c r="A120" s="2986" t="s">
        <v>303</v>
      </c>
      <c r="B120" s="2975" t="s">
        <v>2992</v>
      </c>
      <c r="C120" s="2987"/>
      <c r="D120" s="2987"/>
      <c r="E120" s="2987"/>
      <c r="F120" s="2976">
        <v>0.1</v>
      </c>
      <c r="G120" s="2993"/>
    </row>
    <row r="121" spans="1:7">
      <c r="A121" s="2986" t="s">
        <v>303</v>
      </c>
      <c r="B121" s="2975" t="s">
        <v>2997</v>
      </c>
      <c r="C121" s="2987"/>
      <c r="D121" s="2987"/>
      <c r="E121" s="2987"/>
      <c r="F121" s="2976">
        <v>0.1</v>
      </c>
      <c r="G121" s="2993"/>
    </row>
    <row r="122" spans="1:7">
      <c r="A122" s="2986" t="s">
        <v>303</v>
      </c>
      <c r="B122" s="2975" t="s">
        <v>3002</v>
      </c>
      <c r="C122" s="2976">
        <v>0.1</v>
      </c>
      <c r="D122" s="2976">
        <v>0.1</v>
      </c>
      <c r="E122" s="2976">
        <v>9.8000000000000004E-2</v>
      </c>
      <c r="F122" s="2976">
        <v>0.1</v>
      </c>
      <c r="G122" s="2977">
        <v>0.1</v>
      </c>
    </row>
    <row r="123" spans="1:7">
      <c r="A123" s="2986" t="s">
        <v>303</v>
      </c>
      <c r="B123" s="2975" t="s">
        <v>3007</v>
      </c>
      <c r="C123" s="2976">
        <v>0.1</v>
      </c>
      <c r="D123" s="2976">
        <v>0.1</v>
      </c>
      <c r="E123" s="2976">
        <v>9.8000000000000004E-2</v>
      </c>
      <c r="F123" s="2976">
        <v>0.1</v>
      </c>
      <c r="G123" s="2977">
        <v>0.1</v>
      </c>
    </row>
    <row r="124" spans="1:7">
      <c r="A124" s="2986" t="s">
        <v>303</v>
      </c>
      <c r="B124" s="2975" t="s">
        <v>3012</v>
      </c>
      <c r="C124" s="2976">
        <v>0.1</v>
      </c>
      <c r="D124" s="2976">
        <v>0.1</v>
      </c>
      <c r="E124" s="2976">
        <v>9.8000000000000004E-2</v>
      </c>
      <c r="F124" s="2992"/>
      <c r="G124" s="2977">
        <v>0.1</v>
      </c>
    </row>
    <row r="125" spans="1:7">
      <c r="A125" s="2986" t="s">
        <v>303</v>
      </c>
      <c r="B125" s="2975" t="s">
        <v>3017</v>
      </c>
      <c r="C125" s="2976">
        <v>9.8000000000000004E-2</v>
      </c>
      <c r="D125" s="2976">
        <v>9.8000000000000004E-2</v>
      </c>
      <c r="E125" s="2976">
        <v>9.6000000000000002E-2</v>
      </c>
      <c r="F125" s="2992"/>
      <c r="G125" s="2977">
        <v>0.1</v>
      </c>
    </row>
    <row r="126" spans="1:7" ht="14.25" thickBot="1">
      <c r="A126" s="2989" t="s">
        <v>303</v>
      </c>
      <c r="B126" s="2979" t="s">
        <v>3183</v>
      </c>
      <c r="C126" s="2980">
        <v>0.1</v>
      </c>
      <c r="D126" s="2980">
        <v>0.1</v>
      </c>
      <c r="E126" s="2980">
        <v>9.8000000000000004E-2</v>
      </c>
      <c r="F126" s="2980">
        <v>0.1</v>
      </c>
      <c r="G126" s="2982">
        <v>0.1</v>
      </c>
    </row>
    <row r="127" spans="1:7">
      <c r="A127" s="2985" t="s">
        <v>29</v>
      </c>
      <c r="B127" s="2971" t="s">
        <v>2860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2930</v>
      </c>
      <c r="C148" s="2976">
        <v>0.13</v>
      </c>
      <c r="D148" s="2976">
        <v>0.13</v>
      </c>
      <c r="E148" s="2976">
        <v>0.13</v>
      </c>
      <c r="F148" s="2987"/>
      <c r="G148" s="2977">
        <v>0.13</v>
      </c>
    </row>
    <row r="149" spans="1:7">
      <c r="A149" s="2986" t="s">
        <v>29</v>
      </c>
      <c r="B149" s="2975" t="s">
        <v>2934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2953</v>
      </c>
      <c r="C153" s="2976">
        <v>0.13</v>
      </c>
      <c r="D153" s="2976">
        <v>0.13</v>
      </c>
      <c r="E153" s="2976">
        <v>0.13</v>
      </c>
      <c r="F153" s="2976">
        <v>0.13</v>
      </c>
      <c r="G153" s="2977">
        <v>0.13</v>
      </c>
    </row>
    <row r="154" spans="1:7">
      <c r="A154" s="2986" t="s">
        <v>29</v>
      </c>
      <c r="B154" s="2975" t="s">
        <v>2960</v>
      </c>
      <c r="C154" s="2976">
        <v>0.121</v>
      </c>
      <c r="D154" s="2976">
        <v>0.121</v>
      </c>
      <c r="E154" s="2976">
        <v>0.105</v>
      </c>
      <c r="F154" s="2976">
        <v>0.121</v>
      </c>
      <c r="G154" s="2977">
        <v>0.123</v>
      </c>
    </row>
    <row r="155" spans="1:7">
      <c r="A155" s="2986" t="s">
        <v>29</v>
      </c>
      <c r="B155" s="2975" t="s">
        <v>2966</v>
      </c>
      <c r="C155" s="2976">
        <v>0.1</v>
      </c>
      <c r="D155" s="2976">
        <v>0.1</v>
      </c>
      <c r="E155" s="2976">
        <v>0.1</v>
      </c>
      <c r="F155" s="2976">
        <v>0.1</v>
      </c>
      <c r="G155" s="2977">
        <v>0.1</v>
      </c>
    </row>
    <row r="156" spans="1:7">
      <c r="A156" s="2986" t="s">
        <v>29</v>
      </c>
      <c r="B156" s="2975" t="s">
        <v>2973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2993</v>
      </c>
      <c r="C160" s="2976">
        <v>0.13</v>
      </c>
      <c r="D160" s="2976">
        <v>0.13</v>
      </c>
      <c r="E160" s="2976">
        <v>0.124</v>
      </c>
      <c r="F160" s="2976">
        <v>0.126</v>
      </c>
      <c r="G160" s="2977">
        <v>0.13</v>
      </c>
    </row>
    <row r="161" spans="1:7">
      <c r="A161" s="2986" t="s">
        <v>29</v>
      </c>
      <c r="B161" s="2975" t="s">
        <v>2998</v>
      </c>
      <c r="C161" s="2976">
        <v>0.13</v>
      </c>
      <c r="D161" s="2976">
        <v>0.13</v>
      </c>
      <c r="E161" s="2976">
        <v>0.124</v>
      </c>
      <c r="F161" s="2976">
        <v>0.127</v>
      </c>
      <c r="G161" s="2977">
        <v>0.13</v>
      </c>
    </row>
    <row r="162" spans="1:7">
      <c r="A162" s="2986" t="s">
        <v>29</v>
      </c>
      <c r="B162" s="2975" t="s">
        <v>3003</v>
      </c>
      <c r="C162" s="2976">
        <v>0.1</v>
      </c>
      <c r="D162" s="2976">
        <v>0.1</v>
      </c>
      <c r="E162" s="2976">
        <v>0.1</v>
      </c>
      <c r="F162" s="2976">
        <v>0.121</v>
      </c>
      <c r="G162" s="2977">
        <v>0.105</v>
      </c>
    </row>
    <row r="163" spans="1:7">
      <c r="A163" s="2986" t="s">
        <v>29</v>
      </c>
      <c r="B163" s="2975" t="s">
        <v>3008</v>
      </c>
      <c r="C163" s="2976">
        <v>0.1</v>
      </c>
      <c r="D163" s="2976">
        <v>0.1</v>
      </c>
      <c r="E163" s="2976">
        <v>0.1</v>
      </c>
      <c r="F163" s="2976">
        <v>0.1</v>
      </c>
      <c r="G163" s="2977">
        <v>0.1</v>
      </c>
    </row>
    <row r="164" spans="1:7">
      <c r="A164" s="2986" t="s">
        <v>29</v>
      </c>
      <c r="B164" s="2975" t="s">
        <v>3013</v>
      </c>
      <c r="C164" s="2992"/>
      <c r="D164" s="2992"/>
      <c r="E164" s="2992"/>
      <c r="F164" s="2976">
        <v>0.1</v>
      </c>
      <c r="G164" s="2988"/>
    </row>
    <row r="165" spans="1:7">
      <c r="A165" s="2986" t="s">
        <v>29</v>
      </c>
      <c r="B165" s="2975" t="s">
        <v>3184</v>
      </c>
      <c r="C165" s="2976">
        <v>0.126</v>
      </c>
      <c r="D165" s="2976">
        <v>0.126</v>
      </c>
      <c r="E165" s="2976">
        <v>0.11899999999999999</v>
      </c>
      <c r="F165" s="2976">
        <v>0.13</v>
      </c>
      <c r="G165" s="2977">
        <v>0.128</v>
      </c>
    </row>
    <row r="166" spans="1:7">
      <c r="A166" s="2986" t="s">
        <v>29</v>
      </c>
      <c r="B166" s="2975" t="s">
        <v>3023</v>
      </c>
      <c r="C166" s="2976">
        <v>0.129</v>
      </c>
      <c r="D166" s="2976">
        <v>0.129</v>
      </c>
      <c r="E166" s="2976">
        <v>0.123</v>
      </c>
      <c r="F166" s="2976">
        <v>0.128</v>
      </c>
      <c r="G166" s="2977">
        <v>0.13</v>
      </c>
    </row>
    <row r="167" spans="1:7">
      <c r="A167" s="2986" t="s">
        <v>29</v>
      </c>
      <c r="B167" s="2975" t="s">
        <v>3027</v>
      </c>
      <c r="C167" s="2976">
        <v>0.125</v>
      </c>
      <c r="D167" s="2976">
        <v>0.125</v>
      </c>
      <c r="E167" s="2976">
        <v>0.11700000000000001</v>
      </c>
      <c r="F167" s="2976">
        <v>0.13</v>
      </c>
      <c r="G167" s="2977">
        <v>0.126</v>
      </c>
    </row>
    <row r="168" spans="1:7">
      <c r="A168" s="2986" t="s">
        <v>29</v>
      </c>
      <c r="B168" s="2975" t="s">
        <v>3032</v>
      </c>
      <c r="C168" s="2976">
        <v>0.128</v>
      </c>
      <c r="D168" s="2976">
        <v>0.128</v>
      </c>
      <c r="E168" s="2976">
        <v>0.123</v>
      </c>
      <c r="F168" s="2987"/>
      <c r="G168" s="2977">
        <v>0.13</v>
      </c>
    </row>
    <row r="169" spans="1:7">
      <c r="A169" s="2986" t="s">
        <v>29</v>
      </c>
      <c r="B169" s="2975" t="s">
        <v>3185</v>
      </c>
      <c r="C169" s="2992"/>
      <c r="D169" s="2992"/>
      <c r="E169" s="2992"/>
      <c r="F169" s="2976">
        <v>0.05</v>
      </c>
      <c r="G169" s="2988"/>
    </row>
    <row r="170" spans="1:7">
      <c r="A170" s="2986" t="s">
        <v>29</v>
      </c>
      <c r="B170" s="2975" t="s">
        <v>3186</v>
      </c>
      <c r="C170" s="2992"/>
      <c r="D170" s="2992"/>
      <c r="E170" s="2992"/>
      <c r="F170" s="2976">
        <v>0.05</v>
      </c>
      <c r="G170" s="2988"/>
    </row>
    <row r="171" spans="1:7">
      <c r="A171" s="2986" t="s">
        <v>29</v>
      </c>
      <c r="B171" s="2975" t="s">
        <v>3187</v>
      </c>
      <c r="C171" s="2992"/>
      <c r="D171" s="2992"/>
      <c r="E171" s="2992"/>
      <c r="F171" s="2976">
        <v>0.05</v>
      </c>
      <c r="G171" s="2993"/>
    </row>
    <row r="172" spans="1:7">
      <c r="A172" s="2986" t="s">
        <v>29</v>
      </c>
      <c r="B172" s="2975" t="s">
        <v>3188</v>
      </c>
      <c r="C172" s="2992"/>
      <c r="D172" s="2992"/>
      <c r="E172" s="2992"/>
      <c r="F172" s="2976">
        <v>0.05</v>
      </c>
      <c r="G172" s="2993"/>
    </row>
    <row r="173" spans="1:7">
      <c r="A173" s="2986" t="s">
        <v>29</v>
      </c>
      <c r="B173" s="2975" t="s">
        <v>3189</v>
      </c>
      <c r="C173" s="2992"/>
      <c r="D173" s="2992"/>
      <c r="E173" s="2992"/>
      <c r="F173" s="2976">
        <v>0.05</v>
      </c>
      <c r="G173" s="2988"/>
    </row>
    <row r="174" spans="1:7">
      <c r="A174" s="2986" t="s">
        <v>29</v>
      </c>
      <c r="B174" s="2975" t="s">
        <v>3190</v>
      </c>
      <c r="C174" s="2992"/>
      <c r="D174" s="2992"/>
      <c r="E174" s="2992"/>
      <c r="F174" s="2976">
        <v>0.05</v>
      </c>
      <c r="G174" s="2988"/>
    </row>
    <row r="175" spans="1:7">
      <c r="A175" s="2986" t="s">
        <v>29</v>
      </c>
      <c r="B175" s="2975" t="s">
        <v>3191</v>
      </c>
      <c r="C175" s="2992"/>
      <c r="D175" s="2992"/>
      <c r="E175" s="2992"/>
      <c r="F175" s="2976">
        <v>0.05</v>
      </c>
      <c r="G175" s="2988"/>
    </row>
    <row r="176" spans="1:7">
      <c r="A176" s="2986" t="s">
        <v>29</v>
      </c>
      <c r="B176" s="2975" t="s">
        <v>3192</v>
      </c>
      <c r="C176" s="2992"/>
      <c r="D176" s="2992"/>
      <c r="E176" s="2992"/>
      <c r="F176" s="2976">
        <v>0.05</v>
      </c>
      <c r="G176" s="2988"/>
    </row>
    <row r="177" spans="1:7">
      <c r="A177" s="2986" t="s">
        <v>29</v>
      </c>
      <c r="B177" s="2975" t="s">
        <v>3193</v>
      </c>
      <c r="C177" s="2987"/>
      <c r="D177" s="2987"/>
      <c r="E177" s="2987"/>
      <c r="F177" s="2976">
        <v>0.05</v>
      </c>
      <c r="G177" s="2993"/>
    </row>
    <row r="178" spans="1:7">
      <c r="A178" s="2986" t="s">
        <v>29</v>
      </c>
      <c r="B178" s="2975" t="s">
        <v>3194</v>
      </c>
      <c r="C178" s="2987"/>
      <c r="D178" s="2987"/>
      <c r="E178" s="2987"/>
      <c r="F178" s="2976">
        <v>0.05</v>
      </c>
      <c r="G178" s="2993"/>
    </row>
    <row r="179" spans="1:7">
      <c r="A179" s="2986" t="s">
        <v>29</v>
      </c>
      <c r="B179" s="2975" t="s">
        <v>3195</v>
      </c>
      <c r="C179" s="2987"/>
      <c r="D179" s="2987"/>
      <c r="E179" s="2987"/>
      <c r="F179" s="2976">
        <v>0.05</v>
      </c>
      <c r="G179" s="2993"/>
    </row>
    <row r="180" spans="1:7">
      <c r="A180" s="2986" t="s">
        <v>29</v>
      </c>
      <c r="B180" s="2975" t="s">
        <v>3196</v>
      </c>
      <c r="C180" s="2987"/>
      <c r="D180" s="2987"/>
      <c r="E180" s="2987"/>
      <c r="F180" s="2976">
        <v>0.05</v>
      </c>
      <c r="G180" s="2993"/>
    </row>
    <row r="181" spans="1:7">
      <c r="A181" s="2986" t="s">
        <v>29</v>
      </c>
      <c r="B181" s="2975" t="s">
        <v>3197</v>
      </c>
      <c r="C181" s="2987"/>
      <c r="D181" s="2987"/>
      <c r="E181" s="2987"/>
      <c r="F181" s="2976">
        <v>0.05</v>
      </c>
      <c r="G181" s="2993"/>
    </row>
    <row r="182" spans="1:7">
      <c r="A182" s="2986" t="s">
        <v>29</v>
      </c>
      <c r="B182" s="2975" t="s">
        <v>3198</v>
      </c>
      <c r="C182" s="2987"/>
      <c r="D182" s="2987"/>
      <c r="E182" s="2987"/>
      <c r="F182" s="2976">
        <v>0.05</v>
      </c>
      <c r="G182" s="2993"/>
    </row>
    <row r="183" spans="1:7">
      <c r="A183" s="2986" t="s">
        <v>29</v>
      </c>
      <c r="B183" s="2975" t="s">
        <v>3199</v>
      </c>
      <c r="C183" s="2987"/>
      <c r="D183" s="2987"/>
      <c r="E183" s="2987"/>
      <c r="F183" s="2976">
        <v>0.05</v>
      </c>
      <c r="G183" s="2993"/>
    </row>
    <row r="184" spans="1:7">
      <c r="A184" s="2986" t="s">
        <v>29</v>
      </c>
      <c r="B184" s="2975" t="s">
        <v>3200</v>
      </c>
      <c r="C184" s="2987"/>
      <c r="D184" s="2987"/>
      <c r="E184" s="2987"/>
      <c r="F184" s="2976">
        <v>0.05</v>
      </c>
      <c r="G184" s="2993"/>
    </row>
    <row r="185" spans="1:7">
      <c r="A185" s="2986" t="s">
        <v>29</v>
      </c>
      <c r="B185" s="2975" t="s">
        <v>3201</v>
      </c>
      <c r="C185" s="2987"/>
      <c r="D185" s="2987"/>
      <c r="E185" s="2987"/>
      <c r="F185" s="2976">
        <v>0.05</v>
      </c>
      <c r="G185" s="2993"/>
    </row>
    <row r="186" spans="1:7">
      <c r="A186" s="2986" t="s">
        <v>29</v>
      </c>
      <c r="B186" s="2975" t="s">
        <v>3202</v>
      </c>
      <c r="C186" s="2987"/>
      <c r="D186" s="2987"/>
      <c r="E186" s="2987"/>
      <c r="F186" s="2976">
        <v>0.05</v>
      </c>
      <c r="G186" s="2993"/>
    </row>
    <row r="187" spans="1:7">
      <c r="A187" s="2986" t="s">
        <v>29</v>
      </c>
      <c r="B187" s="2975" t="s">
        <v>3203</v>
      </c>
      <c r="C187" s="2987"/>
      <c r="D187" s="2987"/>
      <c r="E187" s="2987"/>
      <c r="F187" s="2976">
        <v>0.05</v>
      </c>
      <c r="G187" s="2993"/>
    </row>
    <row r="188" spans="1:7">
      <c r="A188" s="2986" t="s">
        <v>29</v>
      </c>
      <c r="B188" s="2975" t="s">
        <v>3204</v>
      </c>
      <c r="C188" s="2987"/>
      <c r="D188" s="2987"/>
      <c r="E188" s="2987"/>
      <c r="F188" s="2976">
        <v>0.05</v>
      </c>
      <c r="G188" s="2993"/>
    </row>
    <row r="189" spans="1:7" ht="14.25" thickBot="1">
      <c r="A189" s="2989" t="s">
        <v>29</v>
      </c>
      <c r="B189" s="2979" t="s">
        <v>3205</v>
      </c>
      <c r="C189" s="2981"/>
      <c r="D189" s="2981"/>
      <c r="E189" s="2981"/>
      <c r="F189" s="2980">
        <v>0.05</v>
      </c>
      <c r="G189" s="2994"/>
    </row>
    <row r="190" spans="1:7">
      <c r="A190" s="2985" t="s">
        <v>304</v>
      </c>
      <c r="B190" s="2971" t="s">
        <v>2861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2897</v>
      </c>
      <c r="C199" s="2976">
        <v>0.13</v>
      </c>
      <c r="D199" s="2976">
        <v>0.13</v>
      </c>
      <c r="E199" s="2976">
        <v>0.13</v>
      </c>
      <c r="F199" s="2976">
        <v>0.13</v>
      </c>
      <c r="G199" s="2977">
        <v>0.13</v>
      </c>
    </row>
    <row r="200" spans="1:7">
      <c r="A200" s="2986" t="s">
        <v>304</v>
      </c>
      <c r="B200" s="2975" t="s">
        <v>2900</v>
      </c>
      <c r="C200" s="2992"/>
      <c r="D200" s="2992"/>
      <c r="E200" s="2992"/>
      <c r="F200" s="2976">
        <v>0.13</v>
      </c>
      <c r="G200" s="2988"/>
    </row>
    <row r="201" spans="1:7">
      <c r="A201" s="2986" t="s">
        <v>304</v>
      </c>
      <c r="B201" s="2975" t="s">
        <v>2905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2908</v>
      </c>
      <c r="C203" s="2976">
        <v>0.129</v>
      </c>
      <c r="D203" s="2976">
        <v>0.129</v>
      </c>
      <c r="E203" s="2976">
        <v>0.13</v>
      </c>
      <c r="F203" s="2976">
        <v>0.13</v>
      </c>
      <c r="G203" s="2977">
        <v>0.13</v>
      </c>
    </row>
    <row r="204" spans="1:7">
      <c r="A204" s="2986" t="s">
        <v>304</v>
      </c>
      <c r="B204" s="2975" t="s">
        <v>2911</v>
      </c>
      <c r="C204" s="2976">
        <v>0.129</v>
      </c>
      <c r="D204" s="2976">
        <v>0.129</v>
      </c>
      <c r="E204" s="2976">
        <v>0.123</v>
      </c>
      <c r="F204" s="2976">
        <v>0.13</v>
      </c>
      <c r="G204" s="2977">
        <v>0.13</v>
      </c>
    </row>
    <row r="205" spans="1:7">
      <c r="A205" s="2986" t="s">
        <v>304</v>
      </c>
      <c r="B205" s="2975" t="s">
        <v>2913</v>
      </c>
      <c r="C205" s="2976">
        <v>0.13</v>
      </c>
      <c r="D205" s="2976">
        <v>0.13</v>
      </c>
      <c r="E205" s="2976">
        <v>0.13</v>
      </c>
      <c r="F205" s="2976">
        <v>0.13</v>
      </c>
      <c r="G205" s="2977">
        <v>0.13</v>
      </c>
    </row>
    <row r="206" spans="1:7">
      <c r="A206" s="2986" t="s">
        <v>304</v>
      </c>
      <c r="B206" s="2975" t="s">
        <v>2916</v>
      </c>
      <c r="C206" s="2976">
        <v>0.13</v>
      </c>
      <c r="D206" s="2976">
        <v>0.13</v>
      </c>
      <c r="E206" s="2976">
        <v>0.13</v>
      </c>
      <c r="F206" s="2976">
        <v>0.128</v>
      </c>
      <c r="G206" s="2977">
        <v>0.13</v>
      </c>
    </row>
    <row r="207" spans="1:7">
      <c r="A207" s="2986" t="s">
        <v>304</v>
      </c>
      <c r="B207" s="2975" t="s">
        <v>2918</v>
      </c>
      <c r="C207" s="2976">
        <v>0.13</v>
      </c>
      <c r="D207" s="2976">
        <v>0.13</v>
      </c>
      <c r="E207" s="2976">
        <v>0.13</v>
      </c>
      <c r="F207" s="2976">
        <v>0.13</v>
      </c>
      <c r="G207" s="2977">
        <v>0.13</v>
      </c>
    </row>
    <row r="208" spans="1:7">
      <c r="A208" s="2986" t="s">
        <v>304</v>
      </c>
      <c r="B208" s="2975" t="s">
        <v>2921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2928</v>
      </c>
      <c r="C210" s="2976">
        <v>0.121</v>
      </c>
      <c r="D210" s="2976">
        <v>0.121</v>
      </c>
      <c r="E210" s="2976">
        <v>0.125</v>
      </c>
      <c r="F210" s="2976">
        <v>0.13</v>
      </c>
      <c r="G210" s="2977">
        <v>0.123</v>
      </c>
    </row>
    <row r="211" spans="1:7">
      <c r="A211" s="2986" t="s">
        <v>304</v>
      </c>
      <c r="B211" s="2975" t="s">
        <v>2931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2943</v>
      </c>
      <c r="C214" s="2976">
        <v>0.128</v>
      </c>
      <c r="D214" s="2976">
        <v>0.128</v>
      </c>
      <c r="E214" s="2976">
        <v>0.13</v>
      </c>
      <c r="F214" s="2976">
        <v>0.13</v>
      </c>
      <c r="G214" s="2977">
        <v>0.13</v>
      </c>
    </row>
    <row r="215" spans="1:7">
      <c r="A215" s="2986" t="s">
        <v>304</v>
      </c>
      <c r="B215" s="2975" t="s">
        <v>2947</v>
      </c>
      <c r="C215" s="2976">
        <v>0.13</v>
      </c>
      <c r="D215" s="2976">
        <v>0.13</v>
      </c>
      <c r="E215" s="2976">
        <v>0.13</v>
      </c>
      <c r="F215" s="2976">
        <v>0.129</v>
      </c>
      <c r="G215" s="2977">
        <v>0.13</v>
      </c>
    </row>
    <row r="216" spans="1:7">
      <c r="A216" s="2986" t="s">
        <v>304</v>
      </c>
      <c r="B216" s="2975" t="s">
        <v>2954</v>
      </c>
      <c r="C216" s="2976">
        <v>0.13</v>
      </c>
      <c r="D216" s="2976">
        <v>0.13</v>
      </c>
      <c r="E216" s="2976">
        <v>0.13</v>
      </c>
      <c r="F216" s="2976">
        <v>0.13</v>
      </c>
      <c r="G216" s="2977">
        <v>0.13</v>
      </c>
    </row>
    <row r="217" spans="1:7">
      <c r="A217" s="2986" t="s">
        <v>304</v>
      </c>
      <c r="B217" s="2975" t="s">
        <v>2961</v>
      </c>
      <c r="C217" s="2976">
        <v>0.129</v>
      </c>
      <c r="D217" s="2976">
        <v>0.129</v>
      </c>
      <c r="E217" s="2976">
        <v>0.13</v>
      </c>
      <c r="F217" s="2976">
        <v>0.13</v>
      </c>
      <c r="G217" s="2977">
        <v>0.13</v>
      </c>
    </row>
    <row r="218" spans="1:7">
      <c r="A218" s="2986" t="s">
        <v>304</v>
      </c>
      <c r="B218" s="2975" t="s">
        <v>2967</v>
      </c>
      <c r="C218" s="2987"/>
      <c r="D218" s="2987"/>
      <c r="E218" s="2987"/>
      <c r="F218" s="2976">
        <v>0.05</v>
      </c>
      <c r="G218" s="2993"/>
    </row>
    <row r="219" spans="1:7">
      <c r="A219" s="2986" t="s">
        <v>304</v>
      </c>
      <c r="B219" s="2975" t="s">
        <v>2974</v>
      </c>
      <c r="C219" s="2987"/>
      <c r="D219" s="2987"/>
      <c r="E219" s="2987"/>
      <c r="F219" s="2976">
        <v>0.05</v>
      </c>
      <c r="G219" s="2993"/>
    </row>
    <row r="220" spans="1:7">
      <c r="A220" s="2986" t="s">
        <v>304</v>
      </c>
      <c r="B220" s="2975" t="s">
        <v>2980</v>
      </c>
      <c r="C220" s="2987"/>
      <c r="D220" s="2987"/>
      <c r="E220" s="2987"/>
      <c r="F220" s="2976">
        <v>0.05</v>
      </c>
      <c r="G220" s="2993"/>
    </row>
    <row r="221" spans="1:7">
      <c r="A221" s="2986" t="s">
        <v>304</v>
      </c>
      <c r="B221" s="2975" t="s">
        <v>2985</v>
      </c>
      <c r="C221" s="2987"/>
      <c r="D221" s="2987"/>
      <c r="E221" s="2987"/>
      <c r="F221" s="2976">
        <v>0.05</v>
      </c>
      <c r="G221" s="2993"/>
    </row>
    <row r="222" spans="1:7">
      <c r="A222" s="2986" t="s">
        <v>304</v>
      </c>
      <c r="B222" s="2975" t="s">
        <v>2989</v>
      </c>
      <c r="C222" s="2987"/>
      <c r="D222" s="2987"/>
      <c r="E222" s="2987"/>
      <c r="F222" s="2976">
        <v>0.05</v>
      </c>
      <c r="G222" s="2993"/>
    </row>
    <row r="223" spans="1:7">
      <c r="A223" s="2986" t="s">
        <v>304</v>
      </c>
      <c r="B223" s="2975" t="s">
        <v>2994</v>
      </c>
      <c r="C223" s="2987"/>
      <c r="D223" s="2987"/>
      <c r="E223" s="2987"/>
      <c r="F223" s="2976">
        <v>0.05</v>
      </c>
      <c r="G223" s="2993"/>
    </row>
    <row r="224" spans="1:7">
      <c r="A224" s="2986" t="s">
        <v>304</v>
      </c>
      <c r="B224" s="2975" t="s">
        <v>2999</v>
      </c>
      <c r="C224" s="2987"/>
      <c r="D224" s="2987"/>
      <c r="E224" s="2987"/>
      <c r="F224" s="2976">
        <v>0.05</v>
      </c>
      <c r="G224" s="2993"/>
    </row>
    <row r="225" spans="1:7">
      <c r="A225" s="2986" t="s">
        <v>304</v>
      </c>
      <c r="B225" s="2975" t="s">
        <v>3004</v>
      </c>
      <c r="C225" s="2987"/>
      <c r="D225" s="2987"/>
      <c r="E225" s="2987"/>
      <c r="F225" s="2976">
        <v>0.05</v>
      </c>
      <c r="G225" s="2993"/>
    </row>
    <row r="226" spans="1:7">
      <c r="A226" s="2986" t="s">
        <v>304</v>
      </c>
      <c r="B226" s="2975" t="s">
        <v>3206</v>
      </c>
      <c r="C226" s="2987"/>
      <c r="D226" s="2987"/>
      <c r="E226" s="2987"/>
      <c r="F226" s="2976">
        <v>0.05</v>
      </c>
      <c r="G226" s="2993"/>
    </row>
    <row r="227" spans="1:7">
      <c r="A227" s="2986" t="s">
        <v>304</v>
      </c>
      <c r="B227" s="2975" t="s">
        <v>3207</v>
      </c>
      <c r="C227" s="2987"/>
      <c r="D227" s="2987"/>
      <c r="E227" s="2987"/>
      <c r="F227" s="2976">
        <v>0.05</v>
      </c>
      <c r="G227" s="2993"/>
    </row>
    <row r="228" spans="1:7">
      <c r="A228" s="2986" t="s">
        <v>304</v>
      </c>
      <c r="B228" s="2975" t="s">
        <v>3208</v>
      </c>
      <c r="C228" s="2987"/>
      <c r="D228" s="2987"/>
      <c r="E228" s="2987"/>
      <c r="F228" s="2976">
        <v>0.05</v>
      </c>
      <c r="G228" s="2993"/>
    </row>
    <row r="229" spans="1:7">
      <c r="A229" s="2986" t="s">
        <v>304</v>
      </c>
      <c r="B229" s="2975" t="s">
        <v>3209</v>
      </c>
      <c r="C229" s="2987"/>
      <c r="D229" s="2987"/>
      <c r="E229" s="2987"/>
      <c r="F229" s="2976">
        <v>0.05</v>
      </c>
      <c r="G229" s="2993"/>
    </row>
    <row r="230" spans="1:7">
      <c r="A230" s="2986" t="s">
        <v>304</v>
      </c>
      <c r="B230" s="2975" t="s">
        <v>3210</v>
      </c>
      <c r="C230" s="2987"/>
      <c r="D230" s="2987"/>
      <c r="E230" s="2987"/>
      <c r="F230" s="2976">
        <v>0.05</v>
      </c>
      <c r="G230" s="2993"/>
    </row>
    <row r="231" spans="1:7">
      <c r="A231" s="2986" t="s">
        <v>304</v>
      </c>
      <c r="B231" s="2975" t="s">
        <v>3211</v>
      </c>
      <c r="C231" s="2987"/>
      <c r="D231" s="2987"/>
      <c r="E231" s="2987"/>
      <c r="F231" s="2976">
        <v>0.05</v>
      </c>
      <c r="G231" s="2993"/>
    </row>
    <row r="232" spans="1:7">
      <c r="A232" s="2986" t="s">
        <v>304</v>
      </c>
      <c r="B232" s="2975" t="s">
        <v>3212</v>
      </c>
      <c r="C232" s="2987"/>
      <c r="D232" s="2987"/>
      <c r="E232" s="2987"/>
      <c r="F232" s="2976">
        <v>0.05</v>
      </c>
      <c r="G232" s="2993"/>
    </row>
    <row r="233" spans="1:7" ht="14.25" thickBot="1">
      <c r="A233" s="2989" t="s">
        <v>304</v>
      </c>
      <c r="B233" s="2979" t="s">
        <v>3213</v>
      </c>
      <c r="C233" s="2981"/>
      <c r="D233" s="2981"/>
      <c r="E233" s="2981"/>
      <c r="F233" s="2980">
        <v>0.05</v>
      </c>
      <c r="G233" s="2994"/>
    </row>
    <row r="234" spans="1:7">
      <c r="A234" s="2985" t="s">
        <v>305</v>
      </c>
      <c r="B234" s="2971" t="s">
        <v>2862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2882</v>
      </c>
      <c r="C238" s="2976">
        <v>0.14899999999999999</v>
      </c>
      <c r="D238" s="2976">
        <v>0.14899999999999999</v>
      </c>
      <c r="E238" s="2976">
        <v>0.15</v>
      </c>
      <c r="F238" s="2976">
        <v>0.15</v>
      </c>
      <c r="G238" s="2977">
        <v>0.15</v>
      </c>
    </row>
    <row r="239" spans="1:7">
      <c r="A239" s="2986" t="s">
        <v>305</v>
      </c>
      <c r="B239" s="2975" t="s">
        <v>2886</v>
      </c>
      <c r="C239" s="2976">
        <v>0.15</v>
      </c>
      <c r="D239" s="2976">
        <v>0.15</v>
      </c>
      <c r="E239" s="2976">
        <v>0.15</v>
      </c>
      <c r="F239" s="2976">
        <v>0.15</v>
      </c>
      <c r="G239" s="2977">
        <v>0.15</v>
      </c>
    </row>
    <row r="240" spans="1:7">
      <c r="A240" s="2986" t="s">
        <v>305</v>
      </c>
      <c r="B240" s="2975" t="s">
        <v>2891</v>
      </c>
      <c r="C240" s="2976">
        <v>0.15</v>
      </c>
      <c r="D240" s="2976">
        <v>0.15</v>
      </c>
      <c r="E240" s="2976">
        <v>0.15</v>
      </c>
      <c r="F240" s="2976">
        <v>0.15</v>
      </c>
      <c r="G240" s="2977">
        <v>0.15</v>
      </c>
    </row>
    <row r="241" spans="1:7">
      <c r="A241" s="2986" t="s">
        <v>305</v>
      </c>
      <c r="B241" s="2975" t="s">
        <v>2895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2944</v>
      </c>
      <c r="C258" s="2976">
        <v>0.14299999999999999</v>
      </c>
      <c r="D258" s="2976">
        <v>0.14299999999999999</v>
      </c>
      <c r="E258" s="2976">
        <v>0.15</v>
      </c>
      <c r="F258" s="2976">
        <v>0.14799999999999999</v>
      </c>
      <c r="G258" s="2977">
        <v>0.14599999999999999</v>
      </c>
    </row>
    <row r="259" spans="1:7">
      <c r="A259" s="2986" t="s">
        <v>305</v>
      </c>
      <c r="B259" s="2975" t="s">
        <v>2948</v>
      </c>
      <c r="C259" s="2976">
        <v>0.14399999999999999</v>
      </c>
      <c r="D259" s="2976">
        <v>0.14399999999999999</v>
      </c>
      <c r="E259" s="2976">
        <v>0.14899999999999999</v>
      </c>
      <c r="F259" s="2976">
        <v>0.14699999999999999</v>
      </c>
      <c r="G259" s="2977">
        <v>0.14599999999999999</v>
      </c>
    </row>
    <row r="260" spans="1:7">
      <c r="A260" s="2986" t="s">
        <v>305</v>
      </c>
      <c r="B260" s="2975" t="s">
        <v>2955</v>
      </c>
      <c r="C260" s="2976">
        <v>0.109</v>
      </c>
      <c r="D260" s="2976">
        <v>0.111</v>
      </c>
      <c r="E260" s="2976">
        <v>0.13100000000000001</v>
      </c>
      <c r="F260" s="2976">
        <v>0.126</v>
      </c>
      <c r="G260" s="2977">
        <v>0.11899999999999999</v>
      </c>
    </row>
    <row r="261" spans="1:7">
      <c r="A261" s="2986" t="s">
        <v>305</v>
      </c>
      <c r="B261" s="2975" t="s">
        <v>2962</v>
      </c>
      <c r="C261" s="2976">
        <v>0.1</v>
      </c>
      <c r="D261" s="2976">
        <v>0.1</v>
      </c>
      <c r="E261" s="2976">
        <v>0.11799999999999999</v>
      </c>
      <c r="F261" s="2976">
        <v>0.108</v>
      </c>
      <c r="G261" s="2977">
        <v>0.107</v>
      </c>
    </row>
    <row r="262" spans="1:7">
      <c r="A262" s="2986" t="s">
        <v>305</v>
      </c>
      <c r="B262" s="2975" t="s">
        <v>2968</v>
      </c>
      <c r="C262" s="2976">
        <v>0.1</v>
      </c>
      <c r="D262" s="2976">
        <v>0.1</v>
      </c>
      <c r="E262" s="2976">
        <v>0.1</v>
      </c>
      <c r="F262" s="2976">
        <v>0.14099999999999999</v>
      </c>
      <c r="G262" s="2977">
        <v>0.1</v>
      </c>
    </row>
    <row r="263" spans="1:7">
      <c r="A263" s="2986" t="s">
        <v>305</v>
      </c>
      <c r="B263" s="2975" t="s">
        <v>2975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2986</v>
      </c>
      <c r="C265" s="2987"/>
      <c r="D265" s="2987"/>
      <c r="E265" s="2987"/>
      <c r="F265" s="2976">
        <v>0.05</v>
      </c>
      <c r="G265" s="2993"/>
    </row>
    <row r="266" spans="1:7">
      <c r="A266" s="2986" t="s">
        <v>305</v>
      </c>
      <c r="B266" s="2975" t="s">
        <v>2990</v>
      </c>
      <c r="C266" s="2987"/>
      <c r="D266" s="2987"/>
      <c r="E266" s="2987"/>
      <c r="F266" s="2976">
        <v>0.05</v>
      </c>
      <c r="G266" s="2993"/>
    </row>
    <row r="267" spans="1:7">
      <c r="A267" s="2986" t="s">
        <v>305</v>
      </c>
      <c r="B267" s="2975" t="s">
        <v>2995</v>
      </c>
      <c r="C267" s="2987"/>
      <c r="D267" s="2987"/>
      <c r="E267" s="2987"/>
      <c r="F267" s="2976">
        <v>0.05</v>
      </c>
      <c r="G267" s="2993"/>
    </row>
    <row r="268" spans="1:7">
      <c r="A268" s="2986" t="s">
        <v>305</v>
      </c>
      <c r="B268" s="2975" t="s">
        <v>3000</v>
      </c>
      <c r="C268" s="2987"/>
      <c r="D268" s="2987"/>
      <c r="E268" s="2987"/>
      <c r="F268" s="2976">
        <v>0.05</v>
      </c>
      <c r="G268" s="2993"/>
    </row>
    <row r="269" spans="1:7">
      <c r="A269" s="2986" t="s">
        <v>305</v>
      </c>
      <c r="B269" s="2975" t="s">
        <v>3005</v>
      </c>
      <c r="C269" s="2987"/>
      <c r="D269" s="2987"/>
      <c r="E269" s="2987"/>
      <c r="F269" s="2976">
        <v>0.05</v>
      </c>
      <c r="G269" s="2993"/>
    </row>
    <row r="270" spans="1:7">
      <c r="A270" s="2986" t="s">
        <v>305</v>
      </c>
      <c r="B270" s="2975" t="s">
        <v>3010</v>
      </c>
      <c r="C270" s="2987"/>
      <c r="D270" s="2987"/>
      <c r="E270" s="2987"/>
      <c r="F270" s="2976">
        <v>0.05</v>
      </c>
      <c r="G270" s="2993"/>
    </row>
    <row r="271" spans="1:7">
      <c r="A271" s="2986" t="s">
        <v>305</v>
      </c>
      <c r="B271" s="2975" t="s">
        <v>3214</v>
      </c>
      <c r="C271" s="2987"/>
      <c r="D271" s="2987"/>
      <c r="E271" s="2987"/>
      <c r="F271" s="2976">
        <v>0.05</v>
      </c>
      <c r="G271" s="2993"/>
    </row>
    <row r="272" spans="1:7">
      <c r="A272" s="2986" t="s">
        <v>305</v>
      </c>
      <c r="B272" s="2975" t="s">
        <v>3215</v>
      </c>
      <c r="C272" s="2987"/>
      <c r="D272" s="2987"/>
      <c r="E272" s="2987"/>
      <c r="F272" s="2976">
        <v>0.05</v>
      </c>
      <c r="G272" s="2993"/>
    </row>
    <row r="273" spans="1:7">
      <c r="A273" s="2986" t="s">
        <v>305</v>
      </c>
      <c r="B273" s="2975" t="s">
        <v>3216</v>
      </c>
      <c r="C273" s="2987"/>
      <c r="D273" s="2987"/>
      <c r="E273" s="2987"/>
      <c r="F273" s="2976">
        <v>0.05</v>
      </c>
      <c r="G273" s="2993"/>
    </row>
    <row r="274" spans="1:7">
      <c r="A274" s="2986" t="s">
        <v>305</v>
      </c>
      <c r="B274" s="2975" t="s">
        <v>3217</v>
      </c>
      <c r="C274" s="2987"/>
      <c r="D274" s="2987"/>
      <c r="E274" s="2987"/>
      <c r="F274" s="2976">
        <v>0.05</v>
      </c>
      <c r="G274" s="2993"/>
    </row>
    <row r="275" spans="1:7">
      <c r="A275" s="2986" t="s">
        <v>305</v>
      </c>
      <c r="B275" s="2975" t="s">
        <v>3218</v>
      </c>
      <c r="C275" s="2987"/>
      <c r="D275" s="2987"/>
      <c r="E275" s="2987"/>
      <c r="F275" s="2976">
        <v>0.05</v>
      </c>
      <c r="G275" s="2993"/>
    </row>
    <row r="276" spans="1:7" ht="14.25" thickBot="1">
      <c r="A276" s="2989" t="s">
        <v>305</v>
      </c>
      <c r="B276" s="2979" t="s">
        <v>3219</v>
      </c>
      <c r="C276" s="2981"/>
      <c r="D276" s="2981"/>
      <c r="E276" s="2981"/>
      <c r="F276" s="2980">
        <v>0.05</v>
      </c>
      <c r="G276" s="2994"/>
    </row>
    <row r="277" spans="1:7">
      <c r="A277" s="2985" t="s">
        <v>306</v>
      </c>
      <c r="B277" s="2971" t="s">
        <v>2863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2875</v>
      </c>
      <c r="C279" s="2976">
        <v>0.15</v>
      </c>
      <c r="D279" s="2976">
        <v>0.15</v>
      </c>
      <c r="E279" s="2976">
        <v>0.15</v>
      </c>
      <c r="F279" s="2976">
        <v>0.15</v>
      </c>
      <c r="G279" s="2977">
        <v>0.15</v>
      </c>
    </row>
    <row r="280" spans="1:7">
      <c r="A280" s="2986" t="s">
        <v>306</v>
      </c>
      <c r="B280" s="2975" t="s">
        <v>2879</v>
      </c>
      <c r="C280" s="2976">
        <v>0.15</v>
      </c>
      <c r="D280" s="2976">
        <v>0.15</v>
      </c>
      <c r="E280" s="2976">
        <v>0.15</v>
      </c>
      <c r="F280" s="2976">
        <v>0.15</v>
      </c>
      <c r="G280" s="2977">
        <v>0.15</v>
      </c>
    </row>
    <row r="281" spans="1:7">
      <c r="A281" s="2986" t="s">
        <v>306</v>
      </c>
      <c r="B281" s="2975" t="s">
        <v>2883</v>
      </c>
      <c r="C281" s="2976">
        <v>0.15</v>
      </c>
      <c r="D281" s="2976">
        <v>0.15</v>
      </c>
      <c r="E281" s="2976">
        <v>0.15</v>
      </c>
      <c r="F281" s="2976">
        <v>0.15</v>
      </c>
      <c r="G281" s="2977">
        <v>0.15</v>
      </c>
    </row>
    <row r="282" spans="1:7">
      <c r="A282" s="2986" t="s">
        <v>306</v>
      </c>
      <c r="B282" s="2975" t="s">
        <v>2887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2917</v>
      </c>
      <c r="C293" s="2976">
        <v>0.15</v>
      </c>
      <c r="D293" s="2976">
        <v>0.15</v>
      </c>
      <c r="E293" s="2976">
        <v>0.15</v>
      </c>
      <c r="F293" s="2976">
        <v>0.14499999999999999</v>
      </c>
      <c r="G293" s="2977">
        <v>0.15</v>
      </c>
    </row>
    <row r="294" spans="1:7">
      <c r="A294" s="2986" t="s">
        <v>306</v>
      </c>
      <c r="B294" s="2975" t="s">
        <v>2919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2949</v>
      </c>
      <c r="C302" s="2976">
        <v>0.15</v>
      </c>
      <c r="D302" s="2976">
        <v>0.15</v>
      </c>
      <c r="E302" s="2976">
        <v>0.15</v>
      </c>
      <c r="F302" s="2976">
        <v>0.14699999999999999</v>
      </c>
      <c r="G302" s="2977">
        <v>0.15</v>
      </c>
    </row>
    <row r="303" spans="1:7">
      <c r="A303" s="2986" t="s">
        <v>306</v>
      </c>
      <c r="B303" s="2975" t="s">
        <v>2956</v>
      </c>
      <c r="C303" s="2976">
        <v>0.15</v>
      </c>
      <c r="D303" s="2976">
        <v>0.15</v>
      </c>
      <c r="E303" s="2976">
        <v>0.15</v>
      </c>
      <c r="F303" s="2976">
        <v>0.14199999999999999</v>
      </c>
      <c r="G303" s="2977">
        <v>0.15</v>
      </c>
    </row>
    <row r="304" spans="1:7">
      <c r="A304" s="2986" t="s">
        <v>306</v>
      </c>
      <c r="B304" s="2975" t="s">
        <v>2963</v>
      </c>
      <c r="C304" s="2976">
        <v>0.15</v>
      </c>
      <c r="D304" s="2976">
        <v>0.15</v>
      </c>
      <c r="E304" s="2976">
        <v>0.15</v>
      </c>
      <c r="F304" s="2976">
        <v>0.14499999999999999</v>
      </c>
      <c r="G304" s="2977">
        <v>0.15</v>
      </c>
    </row>
    <row r="305" spans="1:7">
      <c r="A305" s="2986" t="s">
        <v>306</v>
      </c>
      <c r="B305" s="2975" t="s">
        <v>2969</v>
      </c>
      <c r="C305" s="2976">
        <v>0.15</v>
      </c>
      <c r="D305" s="2976">
        <v>0.15</v>
      </c>
      <c r="E305" s="2976">
        <v>0.15</v>
      </c>
      <c r="F305" s="2976">
        <v>0.111</v>
      </c>
      <c r="G305" s="2977">
        <v>0.15</v>
      </c>
    </row>
    <row r="306" spans="1:7">
      <c r="A306" s="2986" t="s">
        <v>306</v>
      </c>
      <c r="B306" s="2975" t="s">
        <v>2976</v>
      </c>
      <c r="C306" s="2976">
        <v>0.15</v>
      </c>
      <c r="D306" s="2976">
        <v>0.15</v>
      </c>
      <c r="E306" s="2976">
        <v>0.15</v>
      </c>
      <c r="F306" s="2976">
        <v>0.126</v>
      </c>
      <c r="G306" s="2977">
        <v>0.15</v>
      </c>
    </row>
    <row r="307" spans="1:7">
      <c r="A307" s="2986" t="s">
        <v>306</v>
      </c>
      <c r="B307" s="2975" t="s">
        <v>2981</v>
      </c>
      <c r="C307" s="2976">
        <v>0.15</v>
      </c>
      <c r="D307" s="2976">
        <v>0.15</v>
      </c>
      <c r="E307" s="2976">
        <v>0.15</v>
      </c>
      <c r="F307" s="2976">
        <v>0.12</v>
      </c>
      <c r="G307" s="2977">
        <v>0.15</v>
      </c>
    </row>
    <row r="308" spans="1:7">
      <c r="A308" s="2986" t="s">
        <v>306</v>
      </c>
      <c r="B308" s="2975" t="s">
        <v>2987</v>
      </c>
      <c r="C308" s="2976">
        <v>0.15</v>
      </c>
      <c r="D308" s="2976">
        <v>0.15</v>
      </c>
      <c r="E308" s="2976">
        <v>0.15</v>
      </c>
      <c r="F308" s="2976">
        <v>0.13</v>
      </c>
      <c r="G308" s="2977">
        <v>0.15</v>
      </c>
    </row>
    <row r="309" spans="1:7">
      <c r="A309" s="2986" t="s">
        <v>306</v>
      </c>
      <c r="B309" s="2975" t="s">
        <v>2991</v>
      </c>
      <c r="C309" s="2976">
        <v>0.15</v>
      </c>
      <c r="D309" s="2976">
        <v>0.15</v>
      </c>
      <c r="E309" s="2976">
        <v>0.15</v>
      </c>
      <c r="F309" s="2976">
        <v>0.14099999999999999</v>
      </c>
      <c r="G309" s="2977">
        <v>0.15</v>
      </c>
    </row>
    <row r="310" spans="1:7">
      <c r="A310" s="2986" t="s">
        <v>306</v>
      </c>
      <c r="B310" s="2975" t="s">
        <v>2996</v>
      </c>
      <c r="C310" s="2976">
        <v>0.15</v>
      </c>
      <c r="D310" s="2976">
        <v>0.15</v>
      </c>
      <c r="E310" s="2976">
        <v>0.15</v>
      </c>
      <c r="F310" s="2976">
        <v>0.15</v>
      </c>
      <c r="G310" s="2977">
        <v>0.15</v>
      </c>
    </row>
    <row r="311" spans="1:7">
      <c r="A311" s="2986" t="s">
        <v>306</v>
      </c>
      <c r="B311" s="2975" t="s">
        <v>3001</v>
      </c>
      <c r="C311" s="2976">
        <v>0.13200000000000001</v>
      </c>
      <c r="D311" s="2976">
        <v>0.13300000000000001</v>
      </c>
      <c r="E311" s="2976">
        <v>0.14499999999999999</v>
      </c>
      <c r="F311" s="2976">
        <v>0.14199999999999999</v>
      </c>
      <c r="G311" s="2977">
        <v>0.14000000000000001</v>
      </c>
    </row>
    <row r="312" spans="1:7">
      <c r="A312" s="2986" t="s">
        <v>306</v>
      </c>
      <c r="B312" s="2975" t="s">
        <v>3006</v>
      </c>
      <c r="C312" s="2976">
        <v>0.13800000000000001</v>
      </c>
      <c r="D312" s="2976">
        <v>0.14000000000000001</v>
      </c>
      <c r="E312" s="2976">
        <v>0.14599999999999999</v>
      </c>
      <c r="F312" s="2976">
        <v>0.14899999999999999</v>
      </c>
      <c r="G312" s="2977">
        <v>0.14199999999999999</v>
      </c>
    </row>
    <row r="313" spans="1:7">
      <c r="A313" s="2986" t="s">
        <v>306</v>
      </c>
      <c r="B313" s="2975" t="s">
        <v>3011</v>
      </c>
      <c r="C313" s="2976">
        <v>0.125</v>
      </c>
      <c r="D313" s="2976">
        <v>0.127</v>
      </c>
      <c r="E313" s="2976">
        <v>0.14399999999999999</v>
      </c>
      <c r="F313" s="2976">
        <v>0.115</v>
      </c>
      <c r="G313" s="2977">
        <v>0.13600000000000001</v>
      </c>
    </row>
    <row r="314" spans="1:7">
      <c r="A314" s="2986" t="s">
        <v>306</v>
      </c>
      <c r="B314" s="2975" t="s">
        <v>3220</v>
      </c>
      <c r="C314" s="2992"/>
      <c r="D314" s="2992"/>
      <c r="E314" s="2992"/>
      <c r="F314" s="2976">
        <v>0.05</v>
      </c>
      <c r="G314" s="2993"/>
    </row>
    <row r="315" spans="1:7">
      <c r="A315" s="2986" t="s">
        <v>306</v>
      </c>
      <c r="B315" s="2975" t="s">
        <v>3221</v>
      </c>
      <c r="C315" s="2992"/>
      <c r="D315" s="2992"/>
      <c r="E315" s="2992"/>
      <c r="F315" s="2976">
        <v>0.05</v>
      </c>
      <c r="G315" s="2993"/>
    </row>
    <row r="316" spans="1:7">
      <c r="A316" s="2986" t="s">
        <v>306</v>
      </c>
      <c r="B316" s="2975" t="s">
        <v>3222</v>
      </c>
      <c r="C316" s="2987"/>
      <c r="D316" s="2987"/>
      <c r="E316" s="2987"/>
      <c r="F316" s="2976">
        <v>0.05</v>
      </c>
      <c r="G316" s="2993"/>
    </row>
    <row r="317" spans="1:7">
      <c r="A317" s="2986" t="s">
        <v>306</v>
      </c>
      <c r="B317" s="2975" t="s">
        <v>3223</v>
      </c>
      <c r="C317" s="2987"/>
      <c r="D317" s="2987"/>
      <c r="E317" s="2987"/>
      <c r="F317" s="2976">
        <v>0.05</v>
      </c>
      <c r="G317" s="2993"/>
    </row>
    <row r="318" spans="1:7">
      <c r="A318" s="2986" t="s">
        <v>306</v>
      </c>
      <c r="B318" s="2975" t="s">
        <v>3224</v>
      </c>
      <c r="C318" s="2987"/>
      <c r="D318" s="2987"/>
      <c r="E318" s="2987"/>
      <c r="F318" s="2976">
        <v>0.05</v>
      </c>
      <c r="G318" s="2993"/>
    </row>
    <row r="319" spans="1:7">
      <c r="A319" s="2986" t="s">
        <v>306</v>
      </c>
      <c r="B319" s="2975" t="s">
        <v>3225</v>
      </c>
      <c r="C319" s="2987"/>
      <c r="D319" s="2987"/>
      <c r="E319" s="2987"/>
      <c r="F319" s="2976">
        <v>0.05</v>
      </c>
      <c r="G319" s="2993"/>
    </row>
    <row r="320" spans="1:7">
      <c r="A320" s="2986" t="s">
        <v>306</v>
      </c>
      <c r="B320" s="2975" t="s">
        <v>3226</v>
      </c>
      <c r="C320" s="2987"/>
      <c r="D320" s="2987"/>
      <c r="E320" s="2987"/>
      <c r="F320" s="2976">
        <v>0.05</v>
      </c>
      <c r="G320" s="2993"/>
    </row>
    <row r="321" spans="1:7">
      <c r="A321" s="2986" t="s">
        <v>306</v>
      </c>
      <c r="B321" s="2975" t="s">
        <v>3227</v>
      </c>
      <c r="C321" s="2987"/>
      <c r="D321" s="2987"/>
      <c r="E321" s="2987"/>
      <c r="F321" s="2976">
        <v>0.05</v>
      </c>
      <c r="G321" s="2993"/>
    </row>
    <row r="322" spans="1:7">
      <c r="A322" s="2986" t="s">
        <v>306</v>
      </c>
      <c r="B322" s="2975" t="s">
        <v>3228</v>
      </c>
      <c r="C322" s="2987"/>
      <c r="D322" s="2987"/>
      <c r="E322" s="2987"/>
      <c r="F322" s="2976">
        <v>0.05</v>
      </c>
      <c r="G322" s="2993"/>
    </row>
    <row r="323" spans="1:7">
      <c r="A323" s="2986" t="s">
        <v>306</v>
      </c>
      <c r="B323" s="2975" t="s">
        <v>3229</v>
      </c>
      <c r="C323" s="2987"/>
      <c r="D323" s="2987"/>
      <c r="E323" s="2987"/>
      <c r="F323" s="2976">
        <v>0.05</v>
      </c>
      <c r="G323" s="2993"/>
    </row>
    <row r="324" spans="1:7">
      <c r="A324" s="2986" t="s">
        <v>306</v>
      </c>
      <c r="B324" s="2975" t="s">
        <v>3230</v>
      </c>
      <c r="C324" s="2987"/>
      <c r="D324" s="2987"/>
      <c r="E324" s="2987"/>
      <c r="F324" s="2976">
        <v>0.05</v>
      </c>
      <c r="G324" s="2993"/>
    </row>
    <row r="325" spans="1:7">
      <c r="A325" s="2986" t="s">
        <v>306</v>
      </c>
      <c r="B325" s="2975" t="s">
        <v>3231</v>
      </c>
      <c r="C325" s="2987"/>
      <c r="D325" s="2987"/>
      <c r="E325" s="2987"/>
      <c r="F325" s="2976">
        <v>0.05</v>
      </c>
      <c r="G325" s="2993"/>
    </row>
    <row r="326" spans="1:7" ht="14.25" thickBot="1">
      <c r="A326" s="2989" t="s">
        <v>306</v>
      </c>
      <c r="B326" s="2979" t="s">
        <v>3232</v>
      </c>
      <c r="C326" s="2981"/>
      <c r="D326" s="2981"/>
      <c r="E326" s="2981"/>
      <c r="F326" s="2980">
        <v>0.05</v>
      </c>
      <c r="G326" s="2994"/>
    </row>
    <row r="327" spans="1:7">
      <c r="A327" s="2985" t="s">
        <v>307</v>
      </c>
      <c r="B327" s="2971" t="s">
        <v>2864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2876</v>
      </c>
      <c r="C329" s="2976">
        <v>0.15</v>
      </c>
      <c r="D329" s="2976">
        <v>0.15</v>
      </c>
      <c r="E329" s="2976">
        <v>0.15</v>
      </c>
      <c r="F329" s="2976">
        <v>0.15</v>
      </c>
      <c r="G329" s="2977">
        <v>0.15</v>
      </c>
    </row>
    <row r="330" spans="1:7">
      <c r="A330" s="2986" t="s">
        <v>307</v>
      </c>
      <c r="B330" s="2975" t="s">
        <v>2880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2888</v>
      </c>
      <c r="C332" s="2976">
        <v>0.15</v>
      </c>
      <c r="D332" s="2976">
        <v>0.15</v>
      </c>
      <c r="E332" s="2976">
        <v>0.15</v>
      </c>
      <c r="F332" s="2976">
        <v>0.15</v>
      </c>
      <c r="G332" s="2977">
        <v>0.15</v>
      </c>
    </row>
    <row r="333" spans="1:7">
      <c r="A333" s="2986" t="s">
        <v>307</v>
      </c>
      <c r="B333" s="2975" t="s">
        <v>2892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2898</v>
      </c>
      <c r="C336" s="2976">
        <v>0.15</v>
      </c>
      <c r="D336" s="2976">
        <v>0.15</v>
      </c>
      <c r="E336" s="2976">
        <v>0.15</v>
      </c>
      <c r="F336" s="2976">
        <v>0.14199999999999999</v>
      </c>
      <c r="G336" s="2977">
        <v>0.15</v>
      </c>
    </row>
    <row r="337" spans="1:7">
      <c r="A337" s="2986" t="s">
        <v>307</v>
      </c>
      <c r="B337" s="2975" t="s">
        <v>2903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2923</v>
      </c>
      <c r="C345" s="2976">
        <v>0.15</v>
      </c>
      <c r="D345" s="2976">
        <v>0.15</v>
      </c>
      <c r="E345" s="2976">
        <v>0.15</v>
      </c>
      <c r="F345" s="2976">
        <v>0.13800000000000001</v>
      </c>
      <c r="G345" s="2977">
        <v>0.15</v>
      </c>
    </row>
    <row r="346" spans="1:7">
      <c r="A346" s="2986" t="s">
        <v>307</v>
      </c>
      <c r="B346" s="2975" t="s">
        <v>2925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2932</v>
      </c>
      <c r="C348" s="2976">
        <v>0.15</v>
      </c>
      <c r="D348" s="2976">
        <v>0.15</v>
      </c>
      <c r="E348" s="2976">
        <v>0.15</v>
      </c>
      <c r="F348" s="2976">
        <v>0.14399999999999999</v>
      </c>
      <c r="G348" s="2977">
        <v>0.15</v>
      </c>
    </row>
    <row r="349" spans="1:7">
      <c r="A349" s="2986" t="s">
        <v>307</v>
      </c>
      <c r="B349" s="2975" t="s">
        <v>2937</v>
      </c>
      <c r="C349" s="2976">
        <v>0.15</v>
      </c>
      <c r="D349" s="2976">
        <v>0.15</v>
      </c>
      <c r="E349" s="2976">
        <v>0.15</v>
      </c>
      <c r="F349" s="2976">
        <v>0.15</v>
      </c>
      <c r="G349" s="2977">
        <v>0.15</v>
      </c>
    </row>
    <row r="350" spans="1:7">
      <c r="A350" s="2986" t="s">
        <v>307</v>
      </c>
      <c r="B350" s="2975" t="s">
        <v>2940</v>
      </c>
      <c r="C350" s="2976">
        <v>0.15</v>
      </c>
      <c r="D350" s="2976">
        <v>0.15</v>
      </c>
      <c r="E350" s="2976">
        <v>0.15</v>
      </c>
      <c r="F350" s="2976">
        <v>0.14699999999999999</v>
      </c>
      <c r="G350" s="2977">
        <v>0.15</v>
      </c>
    </row>
    <row r="351" spans="1:7">
      <c r="A351" s="2986" t="s">
        <v>307</v>
      </c>
      <c r="B351" s="2975" t="s">
        <v>2945</v>
      </c>
      <c r="C351" s="2976">
        <v>0.15</v>
      </c>
      <c r="D351" s="2976">
        <v>0.15</v>
      </c>
      <c r="E351" s="2976">
        <v>0.15</v>
      </c>
      <c r="F351" s="2976">
        <v>0.13</v>
      </c>
      <c r="G351" s="2977">
        <v>0.15</v>
      </c>
    </row>
    <row r="352" spans="1:7">
      <c r="A352" s="2986" t="s">
        <v>307</v>
      </c>
      <c r="B352" s="2975" t="s">
        <v>2950</v>
      </c>
      <c r="C352" s="2976">
        <v>0.15</v>
      </c>
      <c r="D352" s="2976">
        <v>0.15</v>
      </c>
      <c r="E352" s="2976">
        <v>0.15</v>
      </c>
      <c r="F352" s="2976">
        <v>0.14599999999999999</v>
      </c>
      <c r="G352" s="2977">
        <v>0.15</v>
      </c>
    </row>
    <row r="353" spans="1:7">
      <c r="A353" s="2986" t="s">
        <v>307</v>
      </c>
      <c r="B353" s="2975" t="s">
        <v>2957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2970</v>
      </c>
      <c r="C355" s="2976">
        <v>0.15</v>
      </c>
      <c r="D355" s="2976">
        <v>0.15</v>
      </c>
      <c r="E355" s="2976">
        <v>0.15</v>
      </c>
      <c r="F355" s="2976">
        <v>0.15</v>
      </c>
      <c r="G355" s="2977">
        <v>0.15</v>
      </c>
    </row>
    <row r="356" spans="1:7">
      <c r="A356" s="2986" t="s">
        <v>307</v>
      </c>
      <c r="B356" s="2975" t="s">
        <v>2977</v>
      </c>
      <c r="C356" s="2976">
        <v>0.15</v>
      </c>
      <c r="D356" s="2976">
        <v>0.15</v>
      </c>
      <c r="E356" s="2976">
        <v>0.15</v>
      </c>
      <c r="F356" s="2976">
        <v>0.15</v>
      </c>
      <c r="G356" s="2977">
        <v>0.15</v>
      </c>
    </row>
    <row r="357" spans="1:7" ht="14.25" thickBot="1">
      <c r="A357" s="2989" t="s">
        <v>307</v>
      </c>
      <c r="B357" s="2979" t="s">
        <v>2982</v>
      </c>
      <c r="C357" s="2980">
        <v>0.126</v>
      </c>
      <c r="D357" s="2980">
        <v>0.127</v>
      </c>
      <c r="E357" s="2980">
        <v>0.14299999999999999</v>
      </c>
      <c r="F357" s="2980">
        <v>0.125</v>
      </c>
      <c r="G357" s="2982">
        <v>0.129</v>
      </c>
    </row>
    <row r="358" spans="1:7">
      <c r="A358" s="2985" t="s">
        <v>2851</v>
      </c>
      <c r="B358" s="2971" t="s">
        <v>2865</v>
      </c>
      <c r="C358" s="2972">
        <v>0.15</v>
      </c>
      <c r="D358" s="2972">
        <v>0.15</v>
      </c>
      <c r="E358" s="2972">
        <v>0.15</v>
      </c>
      <c r="F358" s="2972">
        <v>0.15</v>
      </c>
      <c r="G358" s="2973">
        <v>0.15</v>
      </c>
    </row>
    <row r="359" spans="1:7">
      <c r="A359" s="2986" t="s">
        <v>2851</v>
      </c>
      <c r="B359" s="2975" t="s">
        <v>2871</v>
      </c>
      <c r="C359" s="2976">
        <v>0.1</v>
      </c>
      <c r="D359" s="2976">
        <v>0.1</v>
      </c>
      <c r="E359" s="2976">
        <v>0.1</v>
      </c>
      <c r="F359" s="2976">
        <v>0.1</v>
      </c>
      <c r="G359" s="2977">
        <v>0.1</v>
      </c>
    </row>
    <row r="360" spans="1:7">
      <c r="A360" s="2986" t="s">
        <v>2851</v>
      </c>
      <c r="B360" s="2975" t="s">
        <v>2877</v>
      </c>
      <c r="C360" s="2976">
        <v>0.15</v>
      </c>
      <c r="D360" s="2976">
        <v>0.15</v>
      </c>
      <c r="E360" s="2976">
        <v>0.15</v>
      </c>
      <c r="F360" s="2976">
        <v>0.14899999999999999</v>
      </c>
      <c r="G360" s="2977">
        <v>0.15</v>
      </c>
    </row>
    <row r="361" spans="1:7">
      <c r="A361" s="2986" t="s">
        <v>2851</v>
      </c>
      <c r="B361" s="2975" t="s">
        <v>153</v>
      </c>
      <c r="C361" s="2976">
        <v>0.15</v>
      </c>
      <c r="D361" s="2976">
        <v>0.15</v>
      </c>
      <c r="E361" s="2976">
        <v>0.15</v>
      </c>
      <c r="F361" s="2976">
        <v>0.115</v>
      </c>
      <c r="G361" s="2977">
        <v>0.15</v>
      </c>
    </row>
    <row r="362" spans="1:7">
      <c r="A362" s="2986" t="s">
        <v>2851</v>
      </c>
      <c r="B362" s="2975" t="s">
        <v>2884</v>
      </c>
      <c r="C362" s="2976">
        <v>0.15</v>
      </c>
      <c r="D362" s="2976">
        <v>0.15</v>
      </c>
      <c r="E362" s="2976">
        <v>0.15</v>
      </c>
      <c r="F362" s="2976">
        <v>0.106</v>
      </c>
      <c r="G362" s="2977">
        <v>0.15</v>
      </c>
    </row>
    <row r="363" spans="1:7">
      <c r="A363" s="2986" t="s">
        <v>2851</v>
      </c>
      <c r="B363" s="2975" t="s">
        <v>2889</v>
      </c>
      <c r="C363" s="2976">
        <v>0.15</v>
      </c>
      <c r="D363" s="2976">
        <v>0.15</v>
      </c>
      <c r="E363" s="2976">
        <v>0.15</v>
      </c>
      <c r="F363" s="2976">
        <v>0.14699999999999999</v>
      </c>
      <c r="G363" s="2977">
        <v>0.15</v>
      </c>
    </row>
    <row r="364" spans="1:7">
      <c r="A364" s="2986" t="s">
        <v>2851</v>
      </c>
      <c r="B364" s="2975" t="s">
        <v>2893</v>
      </c>
      <c r="C364" s="2976">
        <v>0.15</v>
      </c>
      <c r="D364" s="2976">
        <v>0.15</v>
      </c>
      <c r="E364" s="2976">
        <v>0.15</v>
      </c>
      <c r="F364" s="2976">
        <v>0.14799999999999999</v>
      </c>
      <c r="G364" s="2977">
        <v>0.15</v>
      </c>
    </row>
    <row r="365" spans="1:7">
      <c r="A365" s="2986" t="s">
        <v>2851</v>
      </c>
      <c r="B365" s="2975" t="s">
        <v>200</v>
      </c>
      <c r="C365" s="2976">
        <v>0.15</v>
      </c>
      <c r="D365" s="2976">
        <v>0.15</v>
      </c>
      <c r="E365" s="2976">
        <v>0.15</v>
      </c>
      <c r="F365" s="2976">
        <v>0.15</v>
      </c>
      <c r="G365" s="2977">
        <v>0.15</v>
      </c>
    </row>
    <row r="366" spans="1:7">
      <c r="A366" s="2986" t="s">
        <v>2851</v>
      </c>
      <c r="B366" s="2975" t="s">
        <v>2896</v>
      </c>
      <c r="C366" s="2976">
        <v>0.15</v>
      </c>
      <c r="D366" s="2976">
        <v>0.15</v>
      </c>
      <c r="E366" s="2976">
        <v>0.15</v>
      </c>
      <c r="F366" s="2976">
        <v>0.15</v>
      </c>
      <c r="G366" s="2977">
        <v>0.15</v>
      </c>
    </row>
    <row r="367" spans="1:7">
      <c r="A367" s="2986" t="s">
        <v>2851</v>
      </c>
      <c r="B367" s="2975" t="s">
        <v>2899</v>
      </c>
      <c r="C367" s="2976">
        <v>0.15</v>
      </c>
      <c r="D367" s="2976">
        <v>0.15</v>
      </c>
      <c r="E367" s="2976">
        <v>0.15</v>
      </c>
      <c r="F367" s="2976">
        <v>0.14699999999999999</v>
      </c>
      <c r="G367" s="2977">
        <v>0.15</v>
      </c>
    </row>
    <row r="368" spans="1:7">
      <c r="A368" s="2986" t="s">
        <v>2851</v>
      </c>
      <c r="B368" s="2975" t="s">
        <v>2904</v>
      </c>
      <c r="C368" s="2976">
        <v>0.15</v>
      </c>
      <c r="D368" s="2976">
        <v>0.15</v>
      </c>
      <c r="E368" s="2976">
        <v>0.15</v>
      </c>
      <c r="F368" s="2976">
        <v>0.13600000000000001</v>
      </c>
      <c r="G368" s="2977">
        <v>0.15</v>
      </c>
    </row>
    <row r="369" spans="1:7">
      <c r="A369" s="2986" t="s">
        <v>2851</v>
      </c>
      <c r="B369" s="2975" t="s">
        <v>214</v>
      </c>
      <c r="C369" s="2976">
        <v>0.15</v>
      </c>
      <c r="D369" s="2976">
        <v>0.15</v>
      </c>
      <c r="E369" s="2976">
        <v>0.15</v>
      </c>
      <c r="F369" s="2976">
        <v>0.14399999999999999</v>
      </c>
      <c r="G369" s="2977">
        <v>0.15</v>
      </c>
    </row>
    <row r="370" spans="1:7">
      <c r="A370" s="2986" t="s">
        <v>2851</v>
      </c>
      <c r="B370" s="2975" t="s">
        <v>221</v>
      </c>
      <c r="C370" s="2976">
        <v>0.15</v>
      </c>
      <c r="D370" s="2976">
        <v>0.15</v>
      </c>
      <c r="E370" s="2976">
        <v>0.15</v>
      </c>
      <c r="F370" s="2976">
        <v>0.14599999999999999</v>
      </c>
      <c r="G370" s="2977">
        <v>0.15</v>
      </c>
    </row>
    <row r="371" spans="1:7">
      <c r="A371" s="2986" t="s">
        <v>2851</v>
      </c>
      <c r="B371" s="2975" t="s">
        <v>229</v>
      </c>
      <c r="C371" s="2976">
        <v>0.15</v>
      </c>
      <c r="D371" s="2976">
        <v>0.15</v>
      </c>
      <c r="E371" s="2976">
        <v>0.15</v>
      </c>
      <c r="F371" s="2976">
        <v>0.12</v>
      </c>
      <c r="G371" s="2977">
        <v>0.15</v>
      </c>
    </row>
    <row r="372" spans="1:7">
      <c r="A372" s="2986" t="s">
        <v>2851</v>
      </c>
      <c r="B372" s="2975" t="s">
        <v>2912</v>
      </c>
      <c r="C372" s="2976">
        <v>0.15</v>
      </c>
      <c r="D372" s="2976">
        <v>0.15</v>
      </c>
      <c r="E372" s="2976">
        <v>0.15</v>
      </c>
      <c r="F372" s="2976">
        <v>0.14299999999999999</v>
      </c>
      <c r="G372" s="2977">
        <v>0.15</v>
      </c>
    </row>
    <row r="373" spans="1:7">
      <c r="A373" s="2986" t="s">
        <v>2851</v>
      </c>
      <c r="B373" s="2975" t="s">
        <v>258</v>
      </c>
      <c r="C373" s="2976">
        <v>0.15</v>
      </c>
      <c r="D373" s="2976">
        <v>0.15</v>
      </c>
      <c r="E373" s="2976">
        <v>0.15</v>
      </c>
      <c r="F373" s="2976">
        <v>0.14599999999999999</v>
      </c>
      <c r="G373" s="2977">
        <v>0.15</v>
      </c>
    </row>
    <row r="374" spans="1:7">
      <c r="A374" s="2986" t="s">
        <v>2851</v>
      </c>
      <c r="B374" s="2975" t="s">
        <v>266</v>
      </c>
      <c r="C374" s="2976">
        <v>0.15</v>
      </c>
      <c r="D374" s="2976">
        <v>0.15</v>
      </c>
      <c r="E374" s="2976">
        <v>0.15</v>
      </c>
      <c r="F374" s="2976">
        <v>0.14399999999999999</v>
      </c>
      <c r="G374" s="2977">
        <v>0.15</v>
      </c>
    </row>
    <row r="375" spans="1:7">
      <c r="A375" s="2986" t="s">
        <v>2851</v>
      </c>
      <c r="B375" s="2975" t="s">
        <v>2920</v>
      </c>
      <c r="C375" s="2976">
        <v>0.15</v>
      </c>
      <c r="D375" s="2976">
        <v>0.15</v>
      </c>
      <c r="E375" s="2976">
        <v>0.15</v>
      </c>
      <c r="F375" s="2976">
        <v>0.13</v>
      </c>
      <c r="G375" s="2977">
        <v>0.15</v>
      </c>
    </row>
    <row r="376" spans="1:7">
      <c r="A376" s="2986" t="s">
        <v>2851</v>
      </c>
      <c r="B376" s="2975" t="s">
        <v>277</v>
      </c>
      <c r="C376" s="2976">
        <v>0.15</v>
      </c>
      <c r="D376" s="2976">
        <v>0.15</v>
      </c>
      <c r="E376" s="2976">
        <v>0.15</v>
      </c>
      <c r="F376" s="2976">
        <v>0.14199999999999999</v>
      </c>
      <c r="G376" s="2977">
        <v>0.15</v>
      </c>
    </row>
    <row r="377" spans="1:7" ht="14.25" thickBot="1">
      <c r="A377" s="2989" t="s">
        <v>2851</v>
      </c>
      <c r="B377" s="2979" t="s">
        <v>2926</v>
      </c>
      <c r="C377" s="2980">
        <v>0.15</v>
      </c>
      <c r="D377" s="2980">
        <v>0.15</v>
      </c>
      <c r="E377" s="2980">
        <v>0.15</v>
      </c>
      <c r="F377" s="2980">
        <v>0.14000000000000001</v>
      </c>
      <c r="G377" s="2982">
        <v>0.15</v>
      </c>
    </row>
    <row r="378" spans="1:7">
      <c r="A378" s="2985" t="s">
        <v>2852</v>
      </c>
      <c r="B378" s="2971" t="s">
        <v>2866</v>
      </c>
      <c r="C378" s="2972">
        <v>0.15</v>
      </c>
      <c r="D378" s="2972">
        <v>0.15</v>
      </c>
      <c r="E378" s="2972">
        <v>0.15</v>
      </c>
      <c r="F378" s="2972">
        <v>0.107</v>
      </c>
      <c r="G378" s="2973">
        <v>0.15</v>
      </c>
    </row>
    <row r="379" spans="1:7">
      <c r="A379" s="2986" t="s">
        <v>2852</v>
      </c>
      <c r="B379" s="2975" t="s">
        <v>2872</v>
      </c>
      <c r="C379" s="2976">
        <v>0.15</v>
      </c>
      <c r="D379" s="2976">
        <v>0.15</v>
      </c>
      <c r="E379" s="2976">
        <v>0.15</v>
      </c>
      <c r="F379" s="2976">
        <v>0.115</v>
      </c>
      <c r="G379" s="2977">
        <v>0.14899999999999999</v>
      </c>
    </row>
    <row r="380" spans="1:7">
      <c r="A380" s="2986" t="s">
        <v>2852</v>
      </c>
      <c r="B380" s="2975" t="s">
        <v>2878</v>
      </c>
      <c r="C380" s="2976">
        <v>0.15</v>
      </c>
      <c r="D380" s="2976">
        <v>0.15</v>
      </c>
      <c r="E380" s="2976">
        <v>0.15</v>
      </c>
      <c r="F380" s="2976">
        <v>0.1</v>
      </c>
      <c r="G380" s="2977">
        <v>0.14799999999999999</v>
      </c>
    </row>
    <row r="381" spans="1:7">
      <c r="A381" s="2986" t="s">
        <v>2852</v>
      </c>
      <c r="B381" s="2975" t="s">
        <v>2881</v>
      </c>
      <c r="C381" s="2976">
        <v>0.15</v>
      </c>
      <c r="D381" s="2976">
        <v>0.15</v>
      </c>
      <c r="E381" s="2976">
        <v>0.15</v>
      </c>
      <c r="F381" s="2976">
        <v>0.126</v>
      </c>
      <c r="G381" s="2977">
        <v>0.15</v>
      </c>
    </row>
    <row r="382" spans="1:7">
      <c r="A382" s="2986" t="s">
        <v>2852</v>
      </c>
      <c r="B382" s="2975" t="s">
        <v>2885</v>
      </c>
      <c r="C382" s="2976">
        <v>0.15</v>
      </c>
      <c r="D382" s="2976">
        <v>0.15</v>
      </c>
      <c r="E382" s="2976">
        <v>0.15</v>
      </c>
      <c r="F382" s="2976">
        <v>0.15</v>
      </c>
      <c r="G382" s="2977">
        <v>0.15</v>
      </c>
    </row>
    <row r="383" spans="1:7">
      <c r="A383" s="2986" t="s">
        <v>2852</v>
      </c>
      <c r="B383" s="2975" t="s">
        <v>2890</v>
      </c>
      <c r="C383" s="2976">
        <v>0.15</v>
      </c>
      <c r="D383" s="2976">
        <v>0.15</v>
      </c>
      <c r="E383" s="2976">
        <v>0.15</v>
      </c>
      <c r="F383" s="2976">
        <v>0.14699999999999999</v>
      </c>
      <c r="G383" s="2977">
        <v>0.15</v>
      </c>
    </row>
    <row r="384" spans="1:7" ht="14.25" thickBot="1">
      <c r="A384" s="2996" t="s">
        <v>2852</v>
      </c>
      <c r="B384" s="2997" t="s">
        <v>2894</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1"/>
  </cols>
  <sheetData>
    <row r="1" spans="1:6">
      <c r="A1" s="3605" t="s">
        <v>3233</v>
      </c>
      <c r="B1" s="3605"/>
      <c r="C1" s="3605"/>
      <c r="D1" s="3605"/>
      <c r="E1" s="3605"/>
      <c r="F1" s="3606"/>
    </row>
    <row r="2" spans="1:6">
      <c r="A2" s="3000" t="s">
        <v>3234</v>
      </c>
    </row>
    <row r="3" spans="1:6">
      <c r="A3" s="3000" t="s">
        <v>3235</v>
      </c>
      <c r="F3" s="3001" t="s">
        <v>3236</v>
      </c>
    </row>
    <row r="4" spans="1:6">
      <c r="A4" s="3002" t="s">
        <v>672</v>
      </c>
      <c r="B4" s="3002" t="s">
        <v>673</v>
      </c>
      <c r="C4" s="3002" t="s">
        <v>21</v>
      </c>
      <c r="D4" s="3002" t="s">
        <v>674</v>
      </c>
      <c r="E4" s="3002" t="s">
        <v>3</v>
      </c>
      <c r="F4" s="3002" t="s">
        <v>3237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ColWidth="8.875" defaultRowHeight="13.5"/>
  <cols>
    <col min="1" max="1" width="13.875" customWidth="1"/>
    <col min="11" max="17" width="0" hidden="1" customWidth="1"/>
    <col min="25" max="30" width="0" hidden="1" customWidth="1"/>
  </cols>
  <sheetData>
    <row r="1" spans="1:30">
      <c r="A1" s="2935">
        <f>基准地价修正!G23</f>
        <v>45221</v>
      </c>
      <c r="B1" s="2927" t="s">
        <v>2839</v>
      </c>
      <c r="C1" s="2928"/>
      <c r="D1" s="2928"/>
      <c r="E1" s="2928"/>
      <c r="F1" s="2928"/>
      <c r="G1" s="2928"/>
      <c r="H1" s="2928"/>
      <c r="I1" s="2928"/>
      <c r="J1" s="2894"/>
      <c r="K1" s="2928" t="s">
        <v>454</v>
      </c>
      <c r="L1" s="2928"/>
      <c r="M1" s="2928"/>
      <c r="N1" s="2928"/>
      <c r="O1" s="2928"/>
      <c r="P1" s="2928"/>
      <c r="Q1" s="2894"/>
      <c r="R1" s="3607" t="s">
        <v>456</v>
      </c>
      <c r="S1" s="3608"/>
      <c r="T1" s="3608"/>
      <c r="U1" s="3608"/>
      <c r="V1" s="3608"/>
      <c r="W1" s="3608"/>
      <c r="X1" s="2894"/>
      <c r="Y1" s="3607" t="s">
        <v>457</v>
      </c>
      <c r="Z1" s="3608"/>
      <c r="AA1" s="3608"/>
      <c r="AB1" s="3608"/>
      <c r="AC1" s="3608"/>
      <c r="AD1" s="3608"/>
    </row>
    <row r="2" spans="1:30" s="2008" customFormat="1" ht="14.25" thickBot="1">
      <c r="B2" s="2879"/>
      <c r="C2" s="2880"/>
      <c r="D2" s="2009" t="s">
        <v>2807</v>
      </c>
      <c r="E2" s="2010" t="s">
        <v>2808</v>
      </c>
      <c r="F2" s="2010" t="s">
        <v>2809</v>
      </c>
      <c r="G2" s="2010" t="s">
        <v>2810</v>
      </c>
      <c r="H2" s="2010" t="s">
        <v>2811</v>
      </c>
      <c r="I2" s="2010" t="s">
        <v>2628</v>
      </c>
      <c r="J2" s="2881"/>
      <c r="K2" s="2009" t="s">
        <v>2807</v>
      </c>
      <c r="L2" s="2010" t="s">
        <v>2808</v>
      </c>
      <c r="M2" s="2010" t="s">
        <v>2809</v>
      </c>
      <c r="N2" s="2010" t="s">
        <v>2810</v>
      </c>
      <c r="O2" s="2010" t="s">
        <v>2812</v>
      </c>
      <c r="P2" s="2010" t="s">
        <v>2628</v>
      </c>
      <c r="Q2" s="2881"/>
      <c r="R2" s="2009" t="s">
        <v>2807</v>
      </c>
      <c r="S2" s="2010" t="s">
        <v>2808</v>
      </c>
      <c r="T2" s="2010" t="s">
        <v>2809</v>
      </c>
      <c r="U2" s="2010" t="s">
        <v>2813</v>
      </c>
      <c r="V2" s="2010" t="s">
        <v>2814</v>
      </c>
      <c r="W2" s="2010" t="s">
        <v>2628</v>
      </c>
      <c r="X2" s="2881"/>
      <c r="Y2" s="2009" t="s">
        <v>2807</v>
      </c>
      <c r="Z2" s="2010" t="s">
        <v>2808</v>
      </c>
      <c r="AA2" s="2010" t="s">
        <v>2809</v>
      </c>
      <c r="AB2" s="2010" t="s">
        <v>2815</v>
      </c>
      <c r="AC2" s="2010" t="s">
        <v>2814</v>
      </c>
      <c r="AD2" s="2010" t="s">
        <v>2628</v>
      </c>
    </row>
    <row r="3" spans="1:30" s="2884" customFormat="1" ht="12.75">
      <c r="A3" s="2882" t="s">
        <v>2816</v>
      </c>
      <c r="B3" s="2883"/>
      <c r="D3" s="2884">
        <f>ROUND(AVERAGEIF(D4:D16,"&lt;&gt;0"),2)</f>
        <v>0.81</v>
      </c>
      <c r="E3" s="2884">
        <f t="shared" ref="E3:H3" si="0">ROUND(AVERAGEIF(E4:E16,"&lt;&gt;0"),2)</f>
        <v>0.33</v>
      </c>
      <c r="F3" s="2884">
        <f t="shared" si="0"/>
        <v>0.15</v>
      </c>
      <c r="G3" s="2884">
        <f t="shared" si="0"/>
        <v>0.89</v>
      </c>
      <c r="H3" s="2884">
        <f t="shared" si="0"/>
        <v>0.66</v>
      </c>
      <c r="I3" s="2884">
        <f>F3</f>
        <v>0.15</v>
      </c>
      <c r="J3" s="2885"/>
      <c r="K3" s="2886">
        <f>ROUND(AVERAGEIF(K4:K16,"&lt;&gt;0"),4)</f>
        <v>8.0999999999999996E-3</v>
      </c>
      <c r="L3" s="2887">
        <f t="shared" ref="L3:O3" si="1">ROUND(AVERAGEIF(L4:L16,"&lt;&gt;0"),4)</f>
        <v>3.3E-3</v>
      </c>
      <c r="M3" s="2887">
        <f t="shared" si="1"/>
        <v>1.5E-3</v>
      </c>
      <c r="N3" s="2887">
        <f t="shared" si="1"/>
        <v>8.8999999999999999E-3</v>
      </c>
      <c r="O3" s="2887">
        <f t="shared" si="1"/>
        <v>6.6E-3</v>
      </c>
      <c r="P3" s="2887">
        <f>M3</f>
        <v>1.5E-3</v>
      </c>
      <c r="Q3" s="2885"/>
      <c r="R3" s="2888">
        <f>ROUND(SUMPRODUCT(PRODUCT(1+K4:K16)),4)</f>
        <v>1.0668</v>
      </c>
      <c r="S3" s="2889">
        <f t="shared" ref="S3:V3" si="2">ROUND(SUMPRODUCT(PRODUCT(1+L4:L16)),4)</f>
        <v>1.0266999999999999</v>
      </c>
      <c r="T3" s="2889">
        <f t="shared" si="2"/>
        <v>1.0119</v>
      </c>
      <c r="U3" s="2889">
        <f t="shared" si="2"/>
        <v>1.0734999999999999</v>
      </c>
      <c r="V3" s="2889">
        <f t="shared" si="2"/>
        <v>1.054</v>
      </c>
      <c r="W3" s="2888">
        <f>T3</f>
        <v>1.0119</v>
      </c>
      <c r="X3" s="2885"/>
      <c r="Y3" s="2890">
        <f>ROUND(AVERAGEIF(Y5:Y16,"&lt;&gt;0"),4)</f>
        <v>8.6999999999999994E-3</v>
      </c>
      <c r="Z3" s="2891">
        <f t="shared" ref="Z3:AC3" si="3">ROUND(AVERAGEIF(Z5:Z16,"&lt;&gt;0"),4)</f>
        <v>3.5000000000000001E-3</v>
      </c>
      <c r="AA3" s="2892">
        <f t="shared" si="3"/>
        <v>8.9999999999999998E-4</v>
      </c>
      <c r="AB3" s="2890">
        <f t="shared" si="3"/>
        <v>9.4999999999999998E-3</v>
      </c>
      <c r="AC3" s="2893">
        <f t="shared" si="3"/>
        <v>6.1000000000000004E-3</v>
      </c>
      <c r="AD3" s="2890">
        <f>AA3</f>
        <v>8.9999999999999998E-4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903" t="s">
        <v>3371</v>
      </c>
      <c r="B5" s="2029">
        <v>2023</v>
      </c>
      <c r="C5" s="2040">
        <v>4</v>
      </c>
      <c r="D5" s="2005">
        <v>0</v>
      </c>
      <c r="E5" s="2005">
        <v>0</v>
      </c>
      <c r="F5" s="2005">
        <v>0</v>
      </c>
      <c r="G5" s="2005">
        <v>0</v>
      </c>
      <c r="H5" s="2005">
        <v>0</v>
      </c>
      <c r="I5" s="2006">
        <f t="shared" ref="I5:I16" si="4">F5</f>
        <v>0</v>
      </c>
      <c r="J5" s="2904"/>
      <c r="K5" s="2041">
        <f t="shared" ref="K5:O16" si="5">D5/100</f>
        <v>0</v>
      </c>
      <c r="L5" s="2026">
        <f t="shared" si="5"/>
        <v>0</v>
      </c>
      <c r="M5" s="2026">
        <f t="shared" si="5"/>
        <v>0</v>
      </c>
      <c r="N5" s="2026">
        <f t="shared" si="5"/>
        <v>0</v>
      </c>
      <c r="O5" s="2026">
        <f t="shared" si="5"/>
        <v>0</v>
      </c>
      <c r="P5" s="2026">
        <f>M5</f>
        <v>0</v>
      </c>
      <c r="Q5" s="2904"/>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4"/>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3" t="s">
        <v>3372</v>
      </c>
      <c r="B6" s="2029">
        <v>2023</v>
      </c>
      <c r="C6" s="2040">
        <v>3</v>
      </c>
      <c r="D6" s="2005">
        <v>0</v>
      </c>
      <c r="E6" s="2005">
        <v>0</v>
      </c>
      <c r="F6" s="2005">
        <v>0</v>
      </c>
      <c r="G6" s="2005">
        <v>0</v>
      </c>
      <c r="H6" s="2005">
        <v>0</v>
      </c>
      <c r="I6" s="2006">
        <f t="shared" si="4"/>
        <v>0</v>
      </c>
      <c r="J6" s="2904"/>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4"/>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4"/>
      <c r="Y6" s="2026"/>
      <c r="Z6" s="2026"/>
      <c r="AA6" s="2026"/>
      <c r="AB6" s="2026"/>
      <c r="AC6" s="2026"/>
      <c r="AD6" s="2026"/>
    </row>
    <row r="7" spans="1:30" s="2043" customFormat="1" ht="12.75">
      <c r="A7" s="2903" t="s">
        <v>3370</v>
      </c>
      <c r="B7" s="2029">
        <v>2023</v>
      </c>
      <c r="C7" s="2040">
        <v>2</v>
      </c>
      <c r="D7" s="2005">
        <v>0</v>
      </c>
      <c r="E7" s="2005">
        <v>0</v>
      </c>
      <c r="F7" s="2005">
        <v>0</v>
      </c>
      <c r="G7" s="2005">
        <v>0</v>
      </c>
      <c r="H7" s="2005">
        <v>0</v>
      </c>
      <c r="I7" s="2006">
        <f t="shared" si="4"/>
        <v>0</v>
      </c>
      <c r="J7" s="2904"/>
      <c r="K7" s="2041">
        <f t="shared" si="8"/>
        <v>0</v>
      </c>
      <c r="L7" s="2026">
        <f t="shared" si="9"/>
        <v>0</v>
      </c>
      <c r="M7" s="2026">
        <f t="shared" si="10"/>
        <v>0</v>
      </c>
      <c r="N7" s="2026">
        <f t="shared" si="11"/>
        <v>0</v>
      </c>
      <c r="O7" s="2026">
        <f t="shared" si="12"/>
        <v>0</v>
      </c>
      <c r="P7" s="2026">
        <f t="shared" si="13"/>
        <v>0</v>
      </c>
      <c r="Q7" s="2904"/>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4"/>
      <c r="Y7" s="2026"/>
      <c r="Z7" s="2026"/>
      <c r="AA7" s="2026"/>
      <c r="AB7" s="2026"/>
      <c r="AC7" s="2026"/>
      <c r="AD7" s="2026"/>
    </row>
    <row r="8" spans="1:30" s="2043" customFormat="1" ht="12.75">
      <c r="A8" s="2903" t="s">
        <v>2817</v>
      </c>
      <c r="B8" s="2029">
        <v>2023</v>
      </c>
      <c r="C8" s="2040">
        <v>1</v>
      </c>
      <c r="D8" s="2005">
        <v>0</v>
      </c>
      <c r="E8" s="2005">
        <v>0</v>
      </c>
      <c r="F8" s="2005">
        <v>0</v>
      </c>
      <c r="G8" s="2005">
        <v>0</v>
      </c>
      <c r="H8" s="2005">
        <v>0</v>
      </c>
      <c r="I8" s="2006">
        <f t="shared" si="4"/>
        <v>0</v>
      </c>
      <c r="J8" s="2904"/>
      <c r="K8" s="2041">
        <f t="shared" si="8"/>
        <v>0</v>
      </c>
      <c r="L8" s="2026">
        <f t="shared" si="9"/>
        <v>0</v>
      </c>
      <c r="M8" s="2026">
        <f t="shared" si="10"/>
        <v>0</v>
      </c>
      <c r="N8" s="2026">
        <f t="shared" si="11"/>
        <v>0</v>
      </c>
      <c r="O8" s="2026">
        <f t="shared" si="12"/>
        <v>0</v>
      </c>
      <c r="P8" s="2026">
        <f t="shared" si="13"/>
        <v>0</v>
      </c>
      <c r="Q8" s="2904"/>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4"/>
      <c r="Y8" s="2026"/>
      <c r="Z8" s="2026"/>
      <c r="AA8" s="2026"/>
      <c r="AB8" s="2026"/>
      <c r="AC8" s="2026"/>
      <c r="AD8" s="2026"/>
    </row>
    <row r="9" spans="1:30" s="2914" customFormat="1" ht="12.75">
      <c r="A9" s="2905" t="s">
        <v>2818</v>
      </c>
      <c r="B9" s="2906">
        <v>2022</v>
      </c>
      <c r="C9" s="2907">
        <v>4</v>
      </c>
      <c r="D9" s="2908">
        <v>0.62</v>
      </c>
      <c r="E9" s="2908">
        <v>0.2</v>
      </c>
      <c r="F9" s="2908">
        <v>0.11</v>
      </c>
      <c r="G9" s="2908">
        <v>0.69</v>
      </c>
      <c r="H9" s="2909">
        <v>0.53</v>
      </c>
      <c r="I9" s="2910">
        <f t="shared" si="4"/>
        <v>0.11</v>
      </c>
      <c r="J9" s="2911"/>
      <c r="K9" s="2912">
        <f t="shared" si="5"/>
        <v>6.1999999999999998E-3</v>
      </c>
      <c r="L9" s="2913">
        <f t="shared" si="5"/>
        <v>2E-3</v>
      </c>
      <c r="M9" s="2913">
        <f t="shared" si="5"/>
        <v>1.1000000000000001E-3</v>
      </c>
      <c r="N9" s="2913">
        <f t="shared" si="5"/>
        <v>6.8999999999999999E-3</v>
      </c>
      <c r="O9" s="2913">
        <f t="shared" si="5"/>
        <v>5.3E-3</v>
      </c>
      <c r="P9" s="2913">
        <f t="shared" ref="P9:P16" si="15">M9</f>
        <v>1.1000000000000001E-3</v>
      </c>
      <c r="Q9" s="2911"/>
      <c r="R9" s="2911">
        <f>ROUND(IF([2]项目基本情况!B8="出让",SUMPRODUCT(PRODUCT(1+K9:K16)),SUMPRODUCT(PRODUCT(1+K9:K15))),4)</f>
        <v>1.0565</v>
      </c>
      <c r="S9" s="2911">
        <f>ROUND(IF([2]项目基本情况!B8="出让",SUMPRODUCT(PRODUCT(1+L9:L16)),SUMPRODUCT(PRODUCT(1+L9:L15))),4)</f>
        <v>1.0250999999999999</v>
      </c>
      <c r="T9" s="2911">
        <f>ROUND(IF([2]项目基本情况!B8="出让",SUMPRODUCT(PRODUCT(1+M9:M16)),SUMPRODUCT(PRODUCT(1+M9:M15))),4)</f>
        <v>1.0145</v>
      </c>
      <c r="U9" s="2911">
        <f>ROUND(IF([2]项目基本情况!B8="出让",SUMPRODUCT(PRODUCT(1+N9:N16)),SUMPRODUCT(PRODUCT(1+N9:N15))),4)</f>
        <v>1.0618000000000001</v>
      </c>
      <c r="V9" s="2911">
        <f>ROUND(IF([2]项目基本情况!B8="出让",SUMPRODUCT(PRODUCT(1+O9:O16)),SUMPRODUCT(PRODUCT(1+O9:O15))),4)</f>
        <v>1.0502</v>
      </c>
      <c r="W9" s="2911">
        <f t="shared" ref="W9:W16" si="16">T9</f>
        <v>1.0145</v>
      </c>
      <c r="X9" s="2911"/>
      <c r="Y9" s="2913">
        <f>IF(D9=0,0,ROUND(AVERAGE(D9:D17)/100,4))</f>
        <v>8.0999999999999996E-3</v>
      </c>
      <c r="Z9" s="2913">
        <f t="shared" ref="Z9:AC9" si="17">IF(E9=0,0,ROUND(AVERAGE(E9:E16)/100,4))</f>
        <v>3.3E-3</v>
      </c>
      <c r="AA9" s="2913">
        <f t="shared" si="17"/>
        <v>1.5E-3</v>
      </c>
      <c r="AB9" s="2913">
        <f t="shared" si="17"/>
        <v>8.8999999999999999E-3</v>
      </c>
      <c r="AC9" s="2913">
        <f t="shared" si="17"/>
        <v>6.6E-3</v>
      </c>
      <c r="AD9" s="2913">
        <f t="shared" si="7"/>
        <v>1.5E-3</v>
      </c>
    </row>
    <row r="10" spans="1:30" s="2043" customFormat="1" ht="12.75">
      <c r="A10" s="2903" t="s">
        <v>3365</v>
      </c>
      <c r="B10" s="2029">
        <v>2022</v>
      </c>
      <c r="C10" s="2040">
        <v>3</v>
      </c>
      <c r="D10" s="2005">
        <v>0.66</v>
      </c>
      <c r="E10" s="2005">
        <v>0.32</v>
      </c>
      <c r="F10" s="2005">
        <v>0.23</v>
      </c>
      <c r="G10" s="2005">
        <v>0.72</v>
      </c>
      <c r="H10" s="2915">
        <v>0.63</v>
      </c>
      <c r="I10" s="2006">
        <f t="shared" si="4"/>
        <v>0.23</v>
      </c>
      <c r="J10" s="2904"/>
      <c r="K10" s="2041">
        <f t="shared" si="5"/>
        <v>6.6E-3</v>
      </c>
      <c r="L10" s="2026">
        <f t="shared" si="5"/>
        <v>3.2000000000000002E-3</v>
      </c>
      <c r="M10" s="2026">
        <f t="shared" si="5"/>
        <v>2.3E-3</v>
      </c>
      <c r="N10" s="2026">
        <f t="shared" si="5"/>
        <v>7.1999999999999998E-3</v>
      </c>
      <c r="O10" s="2026">
        <f t="shared" si="5"/>
        <v>6.3E-3</v>
      </c>
      <c r="P10" s="2026">
        <f t="shared" si="15"/>
        <v>2.3E-3</v>
      </c>
      <c r="Q10" s="2904"/>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4"/>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3" t="s">
        <v>3356</v>
      </c>
      <c r="B11" s="2029">
        <v>2022</v>
      </c>
      <c r="C11" s="2040">
        <v>2</v>
      </c>
      <c r="D11" s="2005">
        <v>0.93</v>
      </c>
      <c r="E11" s="2005">
        <v>0.15</v>
      </c>
      <c r="F11" s="2005">
        <v>0.01</v>
      </c>
      <c r="G11" s="2005">
        <v>1.05</v>
      </c>
      <c r="H11" s="2915">
        <v>1.08</v>
      </c>
      <c r="I11" s="2006">
        <f t="shared" si="4"/>
        <v>0.01</v>
      </c>
      <c r="J11" s="2904"/>
      <c r="K11" s="2041">
        <f t="shared" si="5"/>
        <v>9.300000000000001E-3</v>
      </c>
      <c r="L11" s="2026">
        <f t="shared" si="5"/>
        <v>1.5E-3</v>
      </c>
      <c r="M11" s="2026">
        <f t="shared" si="5"/>
        <v>1E-4</v>
      </c>
      <c r="N11" s="2026">
        <f t="shared" si="5"/>
        <v>1.0500000000000001E-2</v>
      </c>
      <c r="O11" s="2026">
        <f t="shared" si="5"/>
        <v>1.0800000000000001E-2</v>
      </c>
      <c r="P11" s="2026">
        <f t="shared" si="15"/>
        <v>1E-4</v>
      </c>
      <c r="Q11" s="2904"/>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4"/>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3" t="s">
        <v>2819</v>
      </c>
      <c r="B12" s="2029">
        <v>2022</v>
      </c>
      <c r="C12" s="2040">
        <v>1</v>
      </c>
      <c r="D12" s="2005">
        <v>0.89</v>
      </c>
      <c r="E12" s="2005">
        <v>0.44</v>
      </c>
      <c r="F12" s="2005">
        <v>0.37</v>
      </c>
      <c r="G12" s="2005">
        <v>0.96</v>
      </c>
      <c r="H12" s="2915">
        <v>0.64</v>
      </c>
      <c r="I12" s="2006">
        <f t="shared" si="4"/>
        <v>0.37</v>
      </c>
      <c r="J12" s="2904"/>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4"/>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4"/>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3" t="s">
        <v>2820</v>
      </c>
      <c r="B13" s="2029">
        <v>2021</v>
      </c>
      <c r="C13" s="2040">
        <v>4</v>
      </c>
      <c r="D13" s="2005">
        <v>1.03</v>
      </c>
      <c r="E13" s="2005">
        <v>0.24</v>
      </c>
      <c r="F13" s="2005">
        <v>7.0000000000000007E-2</v>
      </c>
      <c r="G13" s="2005">
        <v>1.17</v>
      </c>
      <c r="H13" s="2915">
        <v>0.55000000000000004</v>
      </c>
      <c r="I13" s="2006">
        <f t="shared" si="4"/>
        <v>7.0000000000000007E-2</v>
      </c>
      <c r="J13" s="2904"/>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4"/>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4"/>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3" t="s">
        <v>2821</v>
      </c>
      <c r="B14" s="2029">
        <v>2021</v>
      </c>
      <c r="C14" s="2040">
        <v>3</v>
      </c>
      <c r="D14" s="2005">
        <v>0.47</v>
      </c>
      <c r="E14" s="2005">
        <v>0.41</v>
      </c>
      <c r="F14" s="2005">
        <v>0.24</v>
      </c>
      <c r="G14" s="2005">
        <v>0.48</v>
      </c>
      <c r="H14" s="2915">
        <v>0.48</v>
      </c>
      <c r="I14" s="2006">
        <f t="shared" si="4"/>
        <v>0.24</v>
      </c>
      <c r="J14" s="2904"/>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4"/>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4"/>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3" t="s">
        <v>2822</v>
      </c>
      <c r="B15" s="2029">
        <v>2021</v>
      </c>
      <c r="C15" s="2040">
        <v>2</v>
      </c>
      <c r="D15" s="2005">
        <v>0.92</v>
      </c>
      <c r="E15" s="2005">
        <v>0.72</v>
      </c>
      <c r="F15" s="2005">
        <v>0.41</v>
      </c>
      <c r="G15" s="2005">
        <v>0.95</v>
      </c>
      <c r="H15" s="2915">
        <v>1.01</v>
      </c>
      <c r="I15" s="2006">
        <f t="shared" si="4"/>
        <v>0.41</v>
      </c>
      <c r="J15" s="2904"/>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4"/>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4"/>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6" customFormat="1" thickBot="1">
      <c r="A16" s="2916" t="s">
        <v>2823</v>
      </c>
      <c r="B16" s="2917">
        <v>2021</v>
      </c>
      <c r="C16" s="2918">
        <v>1</v>
      </c>
      <c r="D16" s="2919">
        <v>0.97</v>
      </c>
      <c r="E16" s="2919">
        <v>0.16</v>
      </c>
      <c r="F16" s="2919">
        <v>-0.25</v>
      </c>
      <c r="G16" s="2919">
        <v>1.1100000000000001</v>
      </c>
      <c r="H16" s="2920">
        <v>0.36</v>
      </c>
      <c r="I16" s="2921">
        <f t="shared" si="4"/>
        <v>-0.25</v>
      </c>
      <c r="J16" s="2922"/>
      <c r="K16" s="2923">
        <f t="shared" si="5"/>
        <v>9.7000000000000003E-3</v>
      </c>
      <c r="L16" s="2924">
        <f t="shared" si="5"/>
        <v>1.6000000000000001E-3</v>
      </c>
      <c r="M16" s="2924">
        <f>F16/100</f>
        <v>-2.5000000000000001E-3</v>
      </c>
      <c r="N16" s="2924">
        <f t="shared" si="5"/>
        <v>1.11E-2</v>
      </c>
      <c r="O16" s="2924">
        <f t="shared" si="5"/>
        <v>3.5999999999999999E-3</v>
      </c>
      <c r="P16" s="2924">
        <f t="shared" si="15"/>
        <v>-2.5000000000000001E-3</v>
      </c>
      <c r="Q16" s="2922"/>
      <c r="R16" s="2925">
        <v>1</v>
      </c>
      <c r="S16" s="2925">
        <v>1</v>
      </c>
      <c r="T16" s="2925">
        <v>1</v>
      </c>
      <c r="U16" s="2925">
        <v>1</v>
      </c>
      <c r="V16" s="2925">
        <v>1</v>
      </c>
      <c r="W16" s="2925">
        <f t="shared" si="16"/>
        <v>1</v>
      </c>
      <c r="X16" s="2922"/>
      <c r="Y16" s="2924">
        <f>IF(D16=0,0,ROUND(AVERAGE(D16:D16)/100,4))</f>
        <v>9.7000000000000003E-3</v>
      </c>
      <c r="Z16" s="2924">
        <f>IF(E16=0,0,ROUND(AVERAGE(E16:E16)/100,4))</f>
        <v>1.6000000000000001E-3</v>
      </c>
      <c r="AA16" s="2924">
        <f>IF(F16=0,0,ROUND(AVERAGE(F16:F16)/100,4))</f>
        <v>-2.5000000000000001E-3</v>
      </c>
      <c r="AB16" s="2924">
        <f>IF(G16=0,0,ROUND(AVERAGE(G16:G16)/100,4))</f>
        <v>1.11E-2</v>
      </c>
      <c r="AC16" s="2924">
        <f>IF(H16=0,0,ROUND(AVERAGE(H16:H16)/100,4))</f>
        <v>3.5999999999999999E-3</v>
      </c>
      <c r="AD16" s="2924">
        <f>AA16</f>
        <v>-2.5000000000000001E-3</v>
      </c>
    </row>
    <row r="17" spans="1:30" ht="14.25" thickTop="1"/>
    <row r="18" spans="1:30">
      <c r="A18" s="3141" t="s">
        <v>3368</v>
      </c>
    </row>
    <row r="19" spans="1:30">
      <c r="I19" s="1405" t="s">
        <v>2824</v>
      </c>
    </row>
    <row r="21" spans="1:30" s="2007" customFormat="1" ht="12.75">
      <c r="B21" s="2927" t="s">
        <v>2825</v>
      </c>
      <c r="C21" s="2928"/>
      <c r="D21" s="2928"/>
      <c r="E21" s="2928"/>
      <c r="F21" s="2928"/>
      <c r="G21" s="2928"/>
      <c r="H21" s="2928"/>
      <c r="I21" s="2928"/>
      <c r="J21" s="2894"/>
      <c r="K21" s="2928" t="s">
        <v>2826</v>
      </c>
      <c r="L21" s="2928"/>
      <c r="M21" s="2928"/>
      <c r="N21" s="2928"/>
      <c r="O21" s="2928"/>
      <c r="P21" s="2928"/>
      <c r="Q21" s="2894"/>
      <c r="R21" s="3607" t="s">
        <v>2827</v>
      </c>
      <c r="S21" s="3608"/>
      <c r="T21" s="3608"/>
      <c r="U21" s="3608"/>
      <c r="V21" s="3608"/>
      <c r="W21" s="3608"/>
      <c r="X21" s="2894"/>
      <c r="Y21" s="3607" t="s">
        <v>2828</v>
      </c>
      <c r="Z21" s="3608"/>
      <c r="AA21" s="3608"/>
      <c r="AB21" s="3608"/>
      <c r="AC21" s="3608"/>
      <c r="AD21" s="3608"/>
    </row>
    <row r="22" spans="1:30" s="2008" customFormat="1" ht="14.25" thickBot="1">
      <c r="B22" s="2879"/>
      <c r="C22" s="2880"/>
      <c r="D22" s="2009" t="s">
        <v>2829</v>
      </c>
      <c r="E22" s="2010" t="s">
        <v>2830</v>
      </c>
      <c r="F22" s="2010" t="s">
        <v>2831</v>
      </c>
      <c r="G22" s="2010" t="s">
        <v>2832</v>
      </c>
      <c r="H22" s="2010"/>
      <c r="I22" s="2010" t="s">
        <v>2833</v>
      </c>
      <c r="J22" s="2881"/>
      <c r="K22" s="2009" t="s">
        <v>2829</v>
      </c>
      <c r="L22" s="2010" t="s">
        <v>2830</v>
      </c>
      <c r="M22" s="2010" t="s">
        <v>2831</v>
      </c>
      <c r="N22" s="2010" t="s">
        <v>2832</v>
      </c>
      <c r="O22" s="2010"/>
      <c r="P22" s="2010" t="s">
        <v>2833</v>
      </c>
      <c r="Q22" s="2881"/>
      <c r="R22" s="2009" t="s">
        <v>2829</v>
      </c>
      <c r="S22" s="2010" t="s">
        <v>2830</v>
      </c>
      <c r="T22" s="2010" t="s">
        <v>2831</v>
      </c>
      <c r="U22" s="2010" t="s">
        <v>2832</v>
      </c>
      <c r="V22" s="2010"/>
      <c r="W22" s="2010" t="s">
        <v>2833</v>
      </c>
      <c r="X22" s="2881"/>
      <c r="Y22" s="2009" t="s">
        <v>2829</v>
      </c>
      <c r="Z22" s="2010" t="s">
        <v>2830</v>
      </c>
      <c r="AA22" s="2010" t="s">
        <v>2831</v>
      </c>
      <c r="AB22" s="2010" t="s">
        <v>2832</v>
      </c>
      <c r="AC22" s="2010"/>
      <c r="AD22" s="2010" t="s">
        <v>2833</v>
      </c>
    </row>
    <row r="23" spans="1:30" s="2884" customFormat="1" ht="12.75">
      <c r="A23" s="2882" t="s">
        <v>2834</v>
      </c>
      <c r="B23" s="2883"/>
      <c r="E23" s="2884">
        <f t="shared" ref="E23:G23" si="22">ROUND(AVERAGEIF(E24:E36,"&lt;&gt;0"),2)</f>
        <v>0.4</v>
      </c>
      <c r="F23" s="2884">
        <f t="shared" si="22"/>
        <v>0.26</v>
      </c>
      <c r="G23" s="2884">
        <f t="shared" si="22"/>
        <v>0.74</v>
      </c>
      <c r="I23" s="2884">
        <f>F23</f>
        <v>0.26</v>
      </c>
      <c r="J23" s="2885"/>
      <c r="K23" s="2886"/>
      <c r="L23" s="2887">
        <f t="shared" ref="L23:N23" si="23">ROUND(AVERAGEIF(L24:L36,"&lt;&gt;0"),4)</f>
        <v>4.0000000000000001E-3</v>
      </c>
      <c r="M23" s="2887">
        <f t="shared" si="23"/>
        <v>2.5999999999999999E-3</v>
      </c>
      <c r="N23" s="2887">
        <f t="shared" si="23"/>
        <v>7.4000000000000003E-3</v>
      </c>
      <c r="O23" s="2887"/>
      <c r="P23" s="2887">
        <f>M23</f>
        <v>2.5999999999999999E-3</v>
      </c>
      <c r="Q23" s="2885"/>
      <c r="R23" s="2888"/>
      <c r="S23" s="2889">
        <f>ROUND(SUMPRODUCT(PRODUCT(1+L24:L36)),4)</f>
        <v>1.0323</v>
      </c>
      <c r="T23" s="2889">
        <f t="shared" ref="T23:U23" si="24">ROUND(SUMPRODUCT(PRODUCT(1+M24:M36)),4)</f>
        <v>1.0213000000000001</v>
      </c>
      <c r="U23" s="2889">
        <f t="shared" si="24"/>
        <v>1.0609</v>
      </c>
      <c r="V23" s="2889"/>
      <c r="W23" s="2888">
        <f>T23</f>
        <v>1.0213000000000001</v>
      </c>
      <c r="X23" s="2885"/>
      <c r="Y23" s="2890"/>
      <c r="Z23" s="2891">
        <f t="shared" ref="Z23:AB23" si="25">ROUND(AVERAGEIF(Z24:Z36,"&lt;&gt;0"),4)</f>
        <v>4.3E-3</v>
      </c>
      <c r="AA23" s="2892">
        <f t="shared" si="25"/>
        <v>3.5999999999999999E-3</v>
      </c>
      <c r="AB23" s="2890">
        <f t="shared" si="25"/>
        <v>8.8999999999999999E-3</v>
      </c>
      <c r="AC23" s="2893"/>
      <c r="AD23" s="2890">
        <f>AA23</f>
        <v>3.5999999999999999E-3</v>
      </c>
    </row>
    <row r="24" spans="1:30" s="2007" customFormat="1" ht="12.75">
      <c r="B24" s="2023"/>
      <c r="J24" s="2894"/>
      <c r="K24" s="2895"/>
      <c r="L24" s="2896"/>
      <c r="M24" s="2896"/>
      <c r="N24" s="2896"/>
      <c r="O24" s="2896"/>
      <c r="P24" s="2896"/>
      <c r="Q24" s="2894"/>
      <c r="R24" s="2025"/>
      <c r="S24" s="2897"/>
      <c r="T24" s="2898"/>
      <c r="U24" s="2025"/>
      <c r="V24" s="2899"/>
      <c r="W24" s="2025"/>
      <c r="X24" s="2894"/>
      <c r="Y24" s="2026"/>
      <c r="Z24" s="2900"/>
      <c r="AA24" s="2901"/>
      <c r="AB24" s="2026"/>
      <c r="AC24" s="2902"/>
      <c r="AD24" s="2026"/>
    </row>
    <row r="25" spans="1:30" s="2043" customFormat="1" ht="12.75">
      <c r="A25" s="2903" t="s">
        <v>3371</v>
      </c>
      <c r="B25" s="2029">
        <v>2023</v>
      </c>
      <c r="C25" s="2040">
        <v>4</v>
      </c>
      <c r="D25" s="2005"/>
      <c r="E25" s="2005">
        <v>0</v>
      </c>
      <c r="F25" s="2005">
        <v>0</v>
      </c>
      <c r="G25" s="2005">
        <v>0</v>
      </c>
      <c r="H25" s="2005"/>
      <c r="I25" s="2006">
        <f t="shared" ref="I25:I36" si="26">F25</f>
        <v>0</v>
      </c>
      <c r="J25" s="2904"/>
      <c r="K25" s="2041"/>
      <c r="L25" s="2026">
        <f t="shared" ref="L25:N36" si="27">E25/100</f>
        <v>0</v>
      </c>
      <c r="M25" s="2026">
        <f t="shared" si="27"/>
        <v>0</v>
      </c>
      <c r="N25" s="2026">
        <f t="shared" si="27"/>
        <v>0</v>
      </c>
      <c r="O25" s="2026"/>
      <c r="P25" s="2026">
        <f>M25</f>
        <v>0</v>
      </c>
      <c r="Q25" s="2904"/>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4"/>
      <c r="Y25" s="2026"/>
      <c r="Z25" s="2900">
        <f>IF(E25=0,0,ROUND(AVERAGE(E25:E36)/100,4))</f>
        <v>0</v>
      </c>
      <c r="AA25" s="2900">
        <f>IF(F25=0,0,ROUND(AVERAGE(F25:F36)/100,4))</f>
        <v>0</v>
      </c>
      <c r="AB25" s="2900">
        <f>IF(G25=0,0,ROUND(AVERAGE(G25:G36)/100,4))</f>
        <v>0</v>
      </c>
      <c r="AC25" s="2902"/>
      <c r="AD25" s="2026">
        <f>IF(I25=0,0,ROUND(AVERAGE(I25:I36)/100,4))</f>
        <v>0</v>
      </c>
    </row>
    <row r="26" spans="1:30" s="2043" customFormat="1" ht="12.75">
      <c r="A26" s="2903" t="s">
        <v>3372</v>
      </c>
      <c r="B26" s="2029">
        <v>2023</v>
      </c>
      <c r="C26" s="2040">
        <v>3</v>
      </c>
      <c r="D26" s="2005"/>
      <c r="E26" s="2005">
        <v>0</v>
      </c>
      <c r="F26" s="2005">
        <v>0</v>
      </c>
      <c r="G26" s="2005">
        <v>0</v>
      </c>
      <c r="H26" s="2915"/>
      <c r="I26" s="2006">
        <f t="shared" si="26"/>
        <v>0</v>
      </c>
      <c r="J26" s="2904"/>
      <c r="K26" s="2041"/>
      <c r="L26" s="2026">
        <f t="shared" ref="L26:L28" si="28">E26/100</f>
        <v>0</v>
      </c>
      <c r="M26" s="2026">
        <f t="shared" ref="M26:M28" si="29">F26/100</f>
        <v>0</v>
      </c>
      <c r="N26" s="2026">
        <f t="shared" ref="N26:N28" si="30">G26/100</f>
        <v>0</v>
      </c>
      <c r="O26" s="2026"/>
      <c r="P26" s="2026">
        <f t="shared" ref="P26:P28" si="31">M26</f>
        <v>0</v>
      </c>
      <c r="Q26" s="2904"/>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4"/>
      <c r="Y26" s="2026"/>
      <c r="Z26" s="2900"/>
      <c r="AA26" s="2026"/>
      <c r="AB26" s="2026"/>
      <c r="AC26" s="2902"/>
      <c r="AD26" s="2026"/>
    </row>
    <row r="27" spans="1:30" s="2043" customFormat="1" ht="12.75">
      <c r="A27" s="2903" t="s">
        <v>3370</v>
      </c>
      <c r="B27" s="2029">
        <v>2023</v>
      </c>
      <c r="C27" s="2040">
        <v>2</v>
      </c>
      <c r="D27" s="2005"/>
      <c r="E27" s="2005">
        <v>0</v>
      </c>
      <c r="F27" s="2005">
        <v>0</v>
      </c>
      <c r="G27" s="2005">
        <v>0</v>
      </c>
      <c r="H27" s="2915"/>
      <c r="I27" s="2006">
        <f t="shared" si="26"/>
        <v>0</v>
      </c>
      <c r="J27" s="2904"/>
      <c r="K27" s="2041"/>
      <c r="L27" s="2026">
        <f t="shared" si="28"/>
        <v>0</v>
      </c>
      <c r="M27" s="2026">
        <f t="shared" si="29"/>
        <v>0</v>
      </c>
      <c r="N27" s="2026">
        <f t="shared" si="30"/>
        <v>0</v>
      </c>
      <c r="O27" s="2026"/>
      <c r="P27" s="2026">
        <f t="shared" si="31"/>
        <v>0</v>
      </c>
      <c r="Q27" s="2904"/>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4"/>
      <c r="Y27" s="2026"/>
      <c r="Z27" s="2900"/>
      <c r="AA27" s="2026"/>
      <c r="AB27" s="2026"/>
      <c r="AC27" s="2902"/>
      <c r="AD27" s="2026"/>
    </row>
    <row r="28" spans="1:30" s="2043" customFormat="1" ht="12.75">
      <c r="A28" s="2903" t="s">
        <v>2817</v>
      </c>
      <c r="B28" s="2029">
        <v>2023</v>
      </c>
      <c r="C28" s="2040">
        <v>1</v>
      </c>
      <c r="D28" s="2005"/>
      <c r="E28" s="2005">
        <v>0</v>
      </c>
      <c r="F28" s="2005">
        <v>0</v>
      </c>
      <c r="G28" s="2005">
        <v>0</v>
      </c>
      <c r="H28" s="2915"/>
      <c r="I28" s="2006">
        <f t="shared" si="26"/>
        <v>0</v>
      </c>
      <c r="J28" s="2904"/>
      <c r="K28" s="2041"/>
      <c r="L28" s="2026">
        <f t="shared" si="28"/>
        <v>0</v>
      </c>
      <c r="M28" s="2026">
        <f t="shared" si="29"/>
        <v>0</v>
      </c>
      <c r="N28" s="2026">
        <f t="shared" si="30"/>
        <v>0</v>
      </c>
      <c r="O28" s="2026"/>
      <c r="P28" s="2026">
        <f t="shared" si="31"/>
        <v>0</v>
      </c>
      <c r="Q28" s="2904"/>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4"/>
      <c r="Y28" s="2026"/>
      <c r="Z28" s="2900"/>
      <c r="AA28" s="2026"/>
      <c r="AB28" s="2026"/>
      <c r="AC28" s="2902"/>
      <c r="AD28" s="2026"/>
    </row>
    <row r="29" spans="1:30" s="2914" customFormat="1" ht="12.75">
      <c r="A29" s="2905" t="s">
        <v>3366</v>
      </c>
      <c r="B29" s="2906">
        <v>2022</v>
      </c>
      <c r="C29" s="2907">
        <v>4</v>
      </c>
      <c r="D29" s="2908"/>
      <c r="E29" s="2908">
        <v>0.45</v>
      </c>
      <c r="F29" s="2908">
        <v>0.2</v>
      </c>
      <c r="G29" s="2908">
        <v>0.38</v>
      </c>
      <c r="H29" s="2909"/>
      <c r="I29" s="2910">
        <f t="shared" si="26"/>
        <v>0.2</v>
      </c>
      <c r="J29" s="2911"/>
      <c r="K29" s="2912"/>
      <c r="L29" s="2913">
        <f t="shared" si="27"/>
        <v>4.5000000000000005E-3</v>
      </c>
      <c r="M29" s="2913">
        <f t="shared" si="27"/>
        <v>2E-3</v>
      </c>
      <c r="N29" s="2913">
        <f t="shared" si="27"/>
        <v>3.8E-3</v>
      </c>
      <c r="O29" s="2913"/>
      <c r="P29" s="2913">
        <f t="shared" ref="P29:P36" si="33">M29</f>
        <v>2E-3</v>
      </c>
      <c r="Q29" s="2911"/>
      <c r="R29" s="2911"/>
      <c r="S29" s="2911">
        <f>ROUND(IF([2]项目基本情况!$B$8="出让",SUMPRODUCT(PRODUCT(1+L29:L$36)),SUMPRODUCT(PRODUCT(1+L29:L$35))),4)</f>
        <v>1.0286999999999999</v>
      </c>
      <c r="T29" s="2911">
        <f>ROUND(IF([2]项目基本情况!$B$8="出让",SUMPRODUCT(PRODUCT(1+M29:M$36)),SUMPRODUCT(PRODUCT(1+M29:M$35))),4)</f>
        <v>1.0164</v>
      </c>
      <c r="U29" s="2911">
        <f>ROUND(IF([2]项目基本情况!$B$8="出让",SUMPRODUCT(PRODUCT(1+N29:N$36)),SUMPRODUCT(PRODUCT(1+N29:N$35))),4)</f>
        <v>1.0506</v>
      </c>
      <c r="V29" s="2911"/>
      <c r="W29" s="2911">
        <f t="shared" ref="W29:W36" si="34">T29</f>
        <v>1.0164</v>
      </c>
      <c r="X29" s="2911"/>
      <c r="Y29" s="2913"/>
      <c r="Z29" s="2929">
        <f t="shared" ref="Z29:AD36" si="35">IF(E29=0,0,ROUND(AVERAGE(E29:E37)/100,4))</f>
        <v>4.0000000000000001E-3</v>
      </c>
      <c r="AA29" s="2930">
        <f t="shared" si="35"/>
        <v>2.5999999999999999E-3</v>
      </c>
      <c r="AB29" s="2913">
        <f t="shared" si="35"/>
        <v>7.4000000000000003E-3</v>
      </c>
      <c r="AC29" s="2931"/>
      <c r="AD29" s="2913">
        <f t="shared" si="35"/>
        <v>2.5999999999999999E-3</v>
      </c>
    </row>
    <row r="30" spans="1:30" s="2043" customFormat="1" ht="12.75">
      <c r="A30" s="2903" t="s">
        <v>3367</v>
      </c>
      <c r="B30" s="2029">
        <v>2022</v>
      </c>
      <c r="C30" s="2040">
        <v>3</v>
      </c>
      <c r="D30" s="2005"/>
      <c r="E30" s="2005">
        <v>0.3</v>
      </c>
      <c r="F30" s="2005">
        <v>0.28999999999999998</v>
      </c>
      <c r="G30" s="2005">
        <v>0.83</v>
      </c>
      <c r="H30" s="2915"/>
      <c r="I30" s="2006">
        <f t="shared" si="26"/>
        <v>0.28999999999999998</v>
      </c>
      <c r="J30" s="2904"/>
      <c r="K30" s="2041"/>
      <c r="L30" s="2026">
        <f t="shared" si="27"/>
        <v>3.0000000000000001E-3</v>
      </c>
      <c r="M30" s="2026">
        <f t="shared" si="27"/>
        <v>2.8999999999999998E-3</v>
      </c>
      <c r="N30" s="2026">
        <f t="shared" si="27"/>
        <v>8.3000000000000001E-3</v>
      </c>
      <c r="O30" s="2026"/>
      <c r="P30" s="2026">
        <f t="shared" si="33"/>
        <v>2.8999999999999998E-3</v>
      </c>
      <c r="Q30" s="2904"/>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4"/>
      <c r="Y30" s="2026"/>
      <c r="Z30" s="2900">
        <f t="shared" si="35"/>
        <v>3.8999999999999998E-3</v>
      </c>
      <c r="AA30" s="2901">
        <f t="shared" si="35"/>
        <v>2.7000000000000001E-3</v>
      </c>
      <c r="AB30" s="2026">
        <f t="shared" si="35"/>
        <v>7.9000000000000008E-3</v>
      </c>
      <c r="AC30" s="2902"/>
      <c r="AD30" s="2026">
        <f t="shared" si="35"/>
        <v>2.7000000000000001E-3</v>
      </c>
    </row>
    <row r="31" spans="1:30" s="2043" customFormat="1" ht="12.75">
      <c r="A31" s="2903" t="s">
        <v>3356</v>
      </c>
      <c r="B31" s="2029">
        <v>2022</v>
      </c>
      <c r="C31" s="2040">
        <v>2</v>
      </c>
      <c r="D31" s="2005"/>
      <c r="E31" s="2005">
        <v>-0.11</v>
      </c>
      <c r="F31" s="2005">
        <v>-0.13</v>
      </c>
      <c r="G31" s="2005">
        <v>0.53</v>
      </c>
      <c r="H31" s="2915"/>
      <c r="I31" s="2006">
        <f t="shared" si="26"/>
        <v>-0.13</v>
      </c>
      <c r="J31" s="2904"/>
      <c r="K31" s="2041"/>
      <c r="L31" s="2026">
        <f t="shared" si="27"/>
        <v>-1.1000000000000001E-3</v>
      </c>
      <c r="M31" s="2026">
        <f t="shared" si="27"/>
        <v>-1.2999999999999999E-3</v>
      </c>
      <c r="N31" s="2026">
        <f t="shared" si="27"/>
        <v>5.3E-3</v>
      </c>
      <c r="O31" s="2026"/>
      <c r="P31" s="2026">
        <f t="shared" si="33"/>
        <v>-1.2999999999999999E-3</v>
      </c>
      <c r="Q31" s="2904"/>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4"/>
      <c r="Y31" s="2026"/>
      <c r="Z31" s="2900">
        <f t="shared" si="35"/>
        <v>4.1000000000000003E-3</v>
      </c>
      <c r="AA31" s="2901">
        <f t="shared" si="35"/>
        <v>2.7000000000000001E-3</v>
      </c>
      <c r="AB31" s="2026">
        <f t="shared" si="35"/>
        <v>7.9000000000000008E-3</v>
      </c>
      <c r="AC31" s="2902"/>
      <c r="AD31" s="2026">
        <f t="shared" si="35"/>
        <v>2.7000000000000001E-3</v>
      </c>
    </row>
    <row r="32" spans="1:30" s="2043" customFormat="1" ht="12.75">
      <c r="A32" s="2903" t="s">
        <v>2835</v>
      </c>
      <c r="B32" s="2029">
        <v>2022</v>
      </c>
      <c r="C32" s="2040">
        <v>1</v>
      </c>
      <c r="D32" s="2005"/>
      <c r="E32" s="2005">
        <v>0.6</v>
      </c>
      <c r="F32" s="2005">
        <v>0.45</v>
      </c>
      <c r="G32" s="2005">
        <v>0.53</v>
      </c>
      <c r="H32" s="2915"/>
      <c r="I32" s="2006">
        <f t="shared" si="26"/>
        <v>0.45</v>
      </c>
      <c r="J32" s="2904"/>
      <c r="K32" s="2041"/>
      <c r="L32" s="2026">
        <f t="shared" si="27"/>
        <v>6.0000000000000001E-3</v>
      </c>
      <c r="M32" s="2026">
        <f t="shared" si="27"/>
        <v>4.5000000000000005E-3</v>
      </c>
      <c r="N32" s="2026">
        <f t="shared" si="27"/>
        <v>5.3E-3</v>
      </c>
      <c r="O32" s="2026"/>
      <c r="P32" s="2026">
        <f t="shared" si="33"/>
        <v>4.5000000000000005E-3</v>
      </c>
      <c r="Q32" s="2904"/>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4"/>
      <c r="Y32" s="2026"/>
      <c r="Z32" s="2900">
        <f t="shared" si="35"/>
        <v>5.1000000000000004E-3</v>
      </c>
      <c r="AA32" s="2901">
        <f t="shared" si="35"/>
        <v>3.5000000000000001E-3</v>
      </c>
      <c r="AB32" s="2026">
        <f t="shared" si="35"/>
        <v>8.3999999999999995E-3</v>
      </c>
      <c r="AC32" s="2902"/>
      <c r="AD32" s="2026">
        <f t="shared" si="35"/>
        <v>3.5000000000000001E-3</v>
      </c>
    </row>
    <row r="33" spans="1:30" s="2043" customFormat="1" ht="12.75">
      <c r="A33" s="2903" t="s">
        <v>2836</v>
      </c>
      <c r="B33" s="2029">
        <v>2021</v>
      </c>
      <c r="C33" s="2040">
        <v>4</v>
      </c>
      <c r="D33" s="2005"/>
      <c r="E33" s="2005">
        <v>0.57999999999999996</v>
      </c>
      <c r="F33" s="2005">
        <v>0.08</v>
      </c>
      <c r="G33" s="2005">
        <v>0.68</v>
      </c>
      <c r="H33" s="2915"/>
      <c r="I33" s="2006">
        <f t="shared" si="26"/>
        <v>0.08</v>
      </c>
      <c r="J33" s="2904"/>
      <c r="K33" s="2041"/>
      <c r="L33" s="2026">
        <f t="shared" si="27"/>
        <v>5.7999999999999996E-3</v>
      </c>
      <c r="M33" s="2026">
        <f t="shared" si="27"/>
        <v>8.0000000000000004E-4</v>
      </c>
      <c r="N33" s="2026">
        <f t="shared" si="27"/>
        <v>6.8000000000000005E-3</v>
      </c>
      <c r="O33" s="2026"/>
      <c r="P33" s="2026">
        <f t="shared" si="33"/>
        <v>8.0000000000000004E-4</v>
      </c>
      <c r="Q33" s="2904"/>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4"/>
      <c r="Y33" s="2026"/>
      <c r="Z33" s="2900">
        <f t="shared" si="35"/>
        <v>4.8999999999999998E-3</v>
      </c>
      <c r="AA33" s="2901">
        <f t="shared" si="35"/>
        <v>3.3E-3</v>
      </c>
      <c r="AB33" s="2026">
        <f t="shared" si="35"/>
        <v>9.1999999999999998E-3</v>
      </c>
      <c r="AC33" s="2902"/>
      <c r="AD33" s="2026">
        <f t="shared" si="35"/>
        <v>3.3E-3</v>
      </c>
    </row>
    <row r="34" spans="1:30" s="2043" customFormat="1" ht="12.75">
      <c r="A34" s="2903" t="s">
        <v>2837</v>
      </c>
      <c r="B34" s="2029">
        <v>2021</v>
      </c>
      <c r="C34" s="2040">
        <v>3</v>
      </c>
      <c r="D34" s="2005"/>
      <c r="E34" s="2005">
        <v>0.47</v>
      </c>
      <c r="F34" s="2005">
        <v>0.28000000000000003</v>
      </c>
      <c r="G34" s="2005">
        <v>0.91</v>
      </c>
      <c r="H34" s="2915"/>
      <c r="I34" s="2006">
        <f t="shared" si="26"/>
        <v>0.28000000000000003</v>
      </c>
      <c r="J34" s="2904"/>
      <c r="K34" s="2041"/>
      <c r="L34" s="2026">
        <f t="shared" si="27"/>
        <v>4.6999999999999993E-3</v>
      </c>
      <c r="M34" s="2026">
        <f t="shared" si="27"/>
        <v>2.8000000000000004E-3</v>
      </c>
      <c r="N34" s="2026">
        <f t="shared" si="27"/>
        <v>9.1000000000000004E-3</v>
      </c>
      <c r="O34" s="2026"/>
      <c r="P34" s="2026">
        <f t="shared" si="33"/>
        <v>2.8000000000000004E-3</v>
      </c>
      <c r="Q34" s="2904"/>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4"/>
      <c r="Y34" s="2026"/>
      <c r="Z34" s="2900">
        <f t="shared" si="35"/>
        <v>4.5999999999999999E-3</v>
      </c>
      <c r="AA34" s="2901">
        <f t="shared" si="35"/>
        <v>4.1000000000000003E-3</v>
      </c>
      <c r="AB34" s="2026">
        <f t="shared" si="35"/>
        <v>0.01</v>
      </c>
      <c r="AC34" s="2902"/>
      <c r="AD34" s="2026">
        <f t="shared" si="35"/>
        <v>4.1000000000000003E-3</v>
      </c>
    </row>
    <row r="35" spans="1:30" s="2043" customFormat="1" ht="12.75">
      <c r="A35" s="2903" t="s">
        <v>2838</v>
      </c>
      <c r="B35" s="2029">
        <v>2021</v>
      </c>
      <c r="C35" s="2040">
        <v>2</v>
      </c>
      <c r="D35" s="2005"/>
      <c r="E35" s="2005">
        <v>0.55000000000000004</v>
      </c>
      <c r="F35" s="2005">
        <v>0.46</v>
      </c>
      <c r="G35" s="2005">
        <v>1.1000000000000001</v>
      </c>
      <c r="H35" s="2915"/>
      <c r="I35" s="2006">
        <f t="shared" si="26"/>
        <v>0.46</v>
      </c>
      <c r="J35" s="2904"/>
      <c r="K35" s="2041"/>
      <c r="L35" s="2026">
        <f t="shared" si="27"/>
        <v>5.5000000000000005E-3</v>
      </c>
      <c r="M35" s="2026">
        <f t="shared" si="27"/>
        <v>4.5999999999999999E-3</v>
      </c>
      <c r="N35" s="2026">
        <f t="shared" si="27"/>
        <v>1.1000000000000001E-2</v>
      </c>
      <c r="O35" s="2026"/>
      <c r="P35" s="2026">
        <f t="shared" si="33"/>
        <v>4.5999999999999999E-3</v>
      </c>
      <c r="Q35" s="2904"/>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4"/>
      <c r="Y35" s="2026"/>
      <c r="Z35" s="2900">
        <f t="shared" si="35"/>
        <v>4.4999999999999997E-3</v>
      </c>
      <c r="AA35" s="2901">
        <f t="shared" si="35"/>
        <v>4.7000000000000002E-3</v>
      </c>
      <c r="AB35" s="2026">
        <f t="shared" si="35"/>
        <v>1.04E-2</v>
      </c>
      <c r="AC35" s="2902"/>
      <c r="AD35" s="2026">
        <f t="shared" si="35"/>
        <v>4.7000000000000002E-3</v>
      </c>
    </row>
    <row r="36" spans="1:30" s="2926" customFormat="1" thickBot="1">
      <c r="A36" s="2916" t="s">
        <v>2823</v>
      </c>
      <c r="B36" s="2917">
        <v>2021</v>
      </c>
      <c r="C36" s="2918">
        <v>1</v>
      </c>
      <c r="D36" s="2919"/>
      <c r="E36" s="2919">
        <v>0.35</v>
      </c>
      <c r="F36" s="2919">
        <v>0.48</v>
      </c>
      <c r="G36" s="2919">
        <v>0.98</v>
      </c>
      <c r="H36" s="2920"/>
      <c r="I36" s="2921">
        <f t="shared" si="26"/>
        <v>0.48</v>
      </c>
      <c r="J36" s="2922"/>
      <c r="K36" s="2923"/>
      <c r="L36" s="2924">
        <f t="shared" si="27"/>
        <v>3.4999999999999996E-3</v>
      </c>
      <c r="M36" s="2924">
        <f>F36/100</f>
        <v>4.7999999999999996E-3</v>
      </c>
      <c r="N36" s="2924">
        <f t="shared" si="27"/>
        <v>9.7999999999999997E-3</v>
      </c>
      <c r="O36" s="2924"/>
      <c r="P36" s="2924">
        <f t="shared" si="33"/>
        <v>4.7999999999999996E-3</v>
      </c>
      <c r="Q36" s="2922"/>
      <c r="R36" s="2925"/>
      <c r="S36" s="2925">
        <v>1</v>
      </c>
      <c r="T36" s="2925">
        <v>1</v>
      </c>
      <c r="U36" s="2925">
        <v>1</v>
      </c>
      <c r="V36" s="2925"/>
      <c r="W36" s="2925">
        <f t="shared" si="34"/>
        <v>1</v>
      </c>
      <c r="X36" s="2922"/>
      <c r="Y36" s="2924"/>
      <c r="Z36" s="2932">
        <f t="shared" si="35"/>
        <v>3.5000000000000001E-3</v>
      </c>
      <c r="AA36" s="2933">
        <f t="shared" si="35"/>
        <v>4.7999999999999996E-3</v>
      </c>
      <c r="AB36" s="2924">
        <f t="shared" si="35"/>
        <v>9.7999999999999997E-3</v>
      </c>
      <c r="AC36" s="2934"/>
      <c r="AD36" s="2924">
        <f t="shared" si="35"/>
        <v>4.7999999999999996E-3</v>
      </c>
    </row>
    <row r="37" spans="1:30" ht="14.25" thickTop="1"/>
    <row r="38" spans="1:30">
      <c r="A38" s="3141"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1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1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612" t="s">
        <v>452</v>
      </c>
      <c r="C1" s="3612"/>
      <c r="D1" s="3612"/>
      <c r="E1" s="3612"/>
      <c r="F1" s="3612"/>
      <c r="G1" s="3608" t="s">
        <v>453</v>
      </c>
      <c r="H1" s="3608"/>
      <c r="I1" s="3608"/>
      <c r="J1" s="3608"/>
      <c r="K1" s="3608"/>
      <c r="L1" s="3608"/>
      <c r="N1" s="3608" t="s">
        <v>454</v>
      </c>
      <c r="O1" s="3608"/>
      <c r="P1" s="3608"/>
      <c r="Q1" s="3608"/>
      <c r="S1" s="3608" t="s">
        <v>455</v>
      </c>
      <c r="T1" s="3608"/>
      <c r="U1" s="3608"/>
      <c r="V1" s="3608"/>
      <c r="X1" s="3607" t="s">
        <v>456</v>
      </c>
      <c r="Y1" s="3608"/>
      <c r="Z1" s="3608"/>
      <c r="AA1" s="3608"/>
      <c r="AB1" s="3608"/>
      <c r="AD1" s="3607" t="s">
        <v>457</v>
      </c>
      <c r="AE1" s="3608"/>
      <c r="AF1" s="3608"/>
      <c r="AG1" s="3608"/>
      <c r="AH1" s="360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2112</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2113</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2305</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2304</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2128</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2126</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2125</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2124</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2122</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2121</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2123</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61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2119</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61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2118</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61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2111</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61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2109</v>
      </c>
      <c r="B25" s="2047">
        <v>439</v>
      </c>
      <c r="C25" s="2047">
        <v>327</v>
      </c>
      <c r="D25" s="2047">
        <f>C25</f>
        <v>327</v>
      </c>
      <c r="E25" s="2047">
        <v>627</v>
      </c>
      <c r="F25" s="2048">
        <v>283</v>
      </c>
      <c r="G25" s="361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2110</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61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61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61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61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61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61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61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60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61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61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61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60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61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61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61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61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61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61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61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60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61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61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61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60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61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61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61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60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61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61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61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60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61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61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61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60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61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61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61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60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61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61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61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60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61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61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61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60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61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61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61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60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61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61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61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60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61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61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61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60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61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61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61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1" sqref="E1"/>
    </sheetView>
  </sheetViews>
  <sheetFormatPr defaultColWidth="8.875"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62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62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62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62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62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62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62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62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62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62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62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62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62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62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62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62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62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62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62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62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62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62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62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62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62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62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62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62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62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62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62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62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62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62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62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62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62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62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62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62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62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62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62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62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62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62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62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62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62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62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62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62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62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62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62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62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62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62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62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62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62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62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62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625" style="1156" customWidth="1"/>
    <col min="16142" max="16384" width="9" style="1156"/>
  </cols>
  <sheetData>
    <row r="1" spans="1:257" s="1216" customFormat="1" ht="14.25" thickBot="1">
      <c r="A1" s="1210"/>
      <c r="B1" s="1217" t="s">
        <v>602</v>
      </c>
      <c r="C1" s="1211">
        <f>项目基本情况!D3</f>
        <v>45221</v>
      </c>
      <c r="D1" s="1217" t="s">
        <v>603</v>
      </c>
      <c r="E1" s="1212">
        <f>'数据-取费表'!B22</f>
        <v>0</v>
      </c>
      <c r="F1" s="1217" t="s">
        <v>604</v>
      </c>
      <c r="G1" s="1213" t="e">
        <f ca="1">INDIRECT("d"&amp;$K$1)/100</f>
        <v>#VALUE!</v>
      </c>
      <c r="H1" s="1217" t="s">
        <v>634</v>
      </c>
      <c r="I1" s="1213">
        <f ca="1">F4/100</f>
        <v>1.4999999999999999E-2</v>
      </c>
      <c r="J1" s="1218">
        <f>IF(C1&gt;C13,0,MATCH(C1,C$13:C$109,-1))+IF(SUMIF(C13:C109,C1,D13:D109)=0,13,12)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2306</v>
      </c>
      <c r="C21" s="1207">
        <v>43697</v>
      </c>
      <c r="D21" s="2572">
        <v>4.25</v>
      </c>
      <c r="E21" s="2572">
        <v>4.25</v>
      </c>
      <c r="F21" s="2572">
        <v>4.25</v>
      </c>
      <c r="G21" s="2572">
        <v>4.25</v>
      </c>
      <c r="H21" s="2572">
        <v>4.8499999999999996</v>
      </c>
      <c r="I21" s="2572"/>
      <c r="J21" s="2572"/>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4"/>
      <c r="B22" s="2575"/>
      <c r="C22" s="2576">
        <v>42301</v>
      </c>
      <c r="D22" s="2577">
        <v>4.3499999999999996</v>
      </c>
      <c r="E22" s="2577">
        <v>4.3499999999999996</v>
      </c>
      <c r="F22" s="2577">
        <v>4.75</v>
      </c>
      <c r="G22" s="2577">
        <v>4.75</v>
      </c>
      <c r="H22" s="2577">
        <v>4.9000000000000004</v>
      </c>
      <c r="I22" s="2577"/>
      <c r="J22" s="2577"/>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85" zoomScaleNormal="60" zoomScaleSheetLayoutView="85" workbookViewId="0">
      <selection activeCell="E29" sqref="E29:I29"/>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1461</v>
      </c>
      <c r="F2" s="1739"/>
      <c r="G2" s="3177"/>
      <c r="H2" s="3182"/>
      <c r="I2" s="3177"/>
      <c r="J2" s="854"/>
      <c r="K2" s="320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52625</v>
      </c>
      <c r="C3" s="344" t="s">
        <v>1663</v>
      </c>
      <c r="D3" s="343">
        <f>IF(D1="",'数据-汇总表'!E3,SUMIF('数据-汇总表'!$C19:$C33,D1,'数据-汇总表'!$E19:$E33))</f>
        <v>0</v>
      </c>
      <c r="E3" s="854"/>
      <c r="F3" s="1743"/>
      <c r="G3" s="3177"/>
      <c r="H3" s="3178"/>
      <c r="I3" s="3177"/>
      <c r="J3" s="3177"/>
      <c r="K3" s="3193"/>
      <c r="L3" s="3190"/>
      <c r="M3" s="3191"/>
      <c r="N3" s="3192"/>
      <c r="O3" s="2483"/>
      <c r="P3" s="1741"/>
      <c r="Q3" s="1742"/>
      <c r="R3" s="1742"/>
      <c r="S3" s="1742"/>
      <c r="T3" s="1742"/>
      <c r="U3" s="1742"/>
      <c r="V3" s="1742"/>
      <c r="W3" s="1742"/>
      <c r="X3" s="1742"/>
      <c r="Y3" s="1742"/>
      <c r="Z3" s="1742"/>
      <c r="AA3" s="1742"/>
      <c r="AB3" s="1742"/>
      <c r="AC3" s="998"/>
    </row>
    <row r="4" spans="1:29" ht="15">
      <c r="A4" s="345" t="s">
        <v>1664</v>
      </c>
      <c r="B4" s="346"/>
      <c r="C4" s="3520" t="s">
        <v>1665</v>
      </c>
      <c r="D4" s="3521"/>
      <c r="E4" s="3522" t="s">
        <v>1666</v>
      </c>
      <c r="F4" s="3523"/>
      <c r="G4" s="3520" t="s">
        <v>1667</v>
      </c>
      <c r="H4" s="3521"/>
      <c r="I4" s="3520" t="s">
        <v>1668</v>
      </c>
      <c r="J4" s="3521"/>
      <c r="K4" s="1744" t="s">
        <v>1669</v>
      </c>
      <c r="L4" s="2484"/>
      <c r="M4" s="2485"/>
      <c r="N4" s="2485"/>
      <c r="O4" s="2485"/>
      <c r="P4" s="3524" t="s">
        <v>1670</v>
      </c>
      <c r="Q4" s="3525"/>
      <c r="R4" s="3510" t="s">
        <v>1666</v>
      </c>
      <c r="S4" s="3511"/>
      <c r="T4" s="3510" t="s">
        <v>1667</v>
      </c>
      <c r="U4" s="3511"/>
      <c r="V4" s="3494" t="s">
        <v>1668</v>
      </c>
      <c r="W4" s="3494"/>
      <c r="X4" s="1265"/>
      <c r="Y4" s="3510" t="s">
        <v>1670</v>
      </c>
      <c r="Z4" s="3511"/>
      <c r="AA4" s="3516" t="s">
        <v>1666</v>
      </c>
      <c r="AB4" s="3516" t="s">
        <v>1667</v>
      </c>
      <c r="AC4" s="3516" t="s">
        <v>1668</v>
      </c>
    </row>
    <row r="5" spans="1:29" ht="15">
      <c r="A5" s="348"/>
      <c r="B5" s="349"/>
      <c r="C5" s="3530" t="s">
        <v>1671</v>
      </c>
      <c r="D5" s="3531"/>
      <c r="E5" s="3532" t="str">
        <f>成交案例!A24</f>
        <v>建欣苑三里</v>
      </c>
      <c r="F5" s="3533"/>
      <c r="G5" s="3530" t="str">
        <f>E5</f>
        <v>建欣苑三里</v>
      </c>
      <c r="H5" s="3531"/>
      <c r="I5" s="3530" t="str">
        <f>E5</f>
        <v>建欣苑三里</v>
      </c>
      <c r="J5" s="3531"/>
      <c r="K5" s="1745"/>
      <c r="L5" s="2484"/>
      <c r="M5" s="2485"/>
      <c r="N5" s="2485"/>
      <c r="O5" s="2485"/>
      <c r="P5" s="3526"/>
      <c r="Q5" s="3527"/>
      <c r="R5" s="3512"/>
      <c r="S5" s="3513"/>
      <c r="T5" s="3512"/>
      <c r="U5" s="3513"/>
      <c r="V5" s="3494"/>
      <c r="W5" s="3494"/>
      <c r="X5" s="1265"/>
      <c r="Y5" s="3512"/>
      <c r="Z5" s="3513"/>
      <c r="AA5" s="3517"/>
      <c r="AB5" s="3517"/>
      <c r="AC5" s="3517"/>
    </row>
    <row r="6" spans="1:29" ht="15.75" thickBot="1">
      <c r="A6" s="350"/>
      <c r="B6" s="351"/>
      <c r="C6" s="3534" t="s">
        <v>1675</v>
      </c>
      <c r="D6" s="3535"/>
      <c r="E6" s="3538" t="s">
        <v>3419</v>
      </c>
      <c r="F6" s="3537"/>
      <c r="G6" s="3534" t="str">
        <f>E6</f>
        <v>丰台区大红门春泽路</v>
      </c>
      <c r="H6" s="3535"/>
      <c r="I6" s="3534" t="str">
        <f>E6</f>
        <v>丰台区大红门春泽路</v>
      </c>
      <c r="J6" s="3535"/>
      <c r="K6" s="1745"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f>成交案例!G35</f>
        <v>45096</v>
      </c>
      <c r="F7" s="357">
        <f>SUMIF(58:58,YEAR(E7)&amp;"-"&amp;MONTH(E7),59:59)</f>
        <v>99.309700000000007</v>
      </c>
      <c r="G7" s="356">
        <f>成交案例!G42</f>
        <v>44975</v>
      </c>
      <c r="H7" s="355">
        <f>SUMIF(58:58,YEAR(G7)&amp;"-"&amp;MONTH(G7),59:59)</f>
        <v>100.3167</v>
      </c>
      <c r="I7" s="356">
        <f>成交案例!G37</f>
        <v>45003</v>
      </c>
      <c r="J7" s="355">
        <f>SUMIF(58:58,YEAR(I7)&amp;"-"&amp;MONTH(I7),59:59)</f>
        <v>101.0189</v>
      </c>
      <c r="K7" s="1746"/>
      <c r="L7" s="2486"/>
      <c r="M7" s="2437"/>
      <c r="N7" s="2437"/>
      <c r="O7" s="2437"/>
      <c r="P7" s="3507" t="s">
        <v>1678</v>
      </c>
      <c r="Q7" s="3519"/>
      <c r="R7" s="664" t="s">
        <v>20</v>
      </c>
      <c r="S7" s="665">
        <f t="shared" ref="S7:S15" si="0">F7</f>
        <v>99.309700000000007</v>
      </c>
      <c r="T7" s="664" t="s">
        <v>20</v>
      </c>
      <c r="U7" s="665">
        <f t="shared" ref="U7:U15" si="1">H7</f>
        <v>100.3167</v>
      </c>
      <c r="V7" s="664" t="s">
        <v>20</v>
      </c>
      <c r="W7" s="665">
        <f t="shared" ref="W7:W15" si="2">J7</f>
        <v>101.0189</v>
      </c>
      <c r="X7" s="666"/>
      <c r="Y7" s="3507" t="s">
        <v>1678</v>
      </c>
      <c r="Z7" s="3508"/>
      <c r="AA7" s="50">
        <f>D7/F7</f>
        <v>1.0069509826331164</v>
      </c>
      <c r="AB7" s="50">
        <f>D7/H7</f>
        <v>0.99684299822462263</v>
      </c>
      <c r="AC7" s="50">
        <f>D7/J7</f>
        <v>0.98991376861161617</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07" t="s">
        <v>1681</v>
      </c>
      <c r="Q8" s="3508"/>
      <c r="R8" s="664" t="s">
        <v>20</v>
      </c>
      <c r="S8" s="665">
        <f t="shared" si="0"/>
        <v>100</v>
      </c>
      <c r="T8" s="664" t="s">
        <v>20</v>
      </c>
      <c r="U8" s="665">
        <f t="shared" si="1"/>
        <v>100</v>
      </c>
      <c r="V8" s="664" t="s">
        <v>20</v>
      </c>
      <c r="W8" s="665">
        <f t="shared" si="2"/>
        <v>100</v>
      </c>
      <c r="X8" s="666"/>
      <c r="Y8" s="3507" t="s">
        <v>1681</v>
      </c>
      <c r="Z8" s="3508"/>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09"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0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09"/>
      <c r="Q11" s="530" t="str">
        <f t="shared" si="6"/>
        <v>容积率</v>
      </c>
      <c r="R11" s="664" t="s">
        <v>18</v>
      </c>
      <c r="S11" s="665">
        <f t="shared" si="0"/>
        <v>100</v>
      </c>
      <c r="T11" s="664" t="s">
        <v>18</v>
      </c>
      <c r="U11" s="665">
        <f t="shared" si="1"/>
        <v>100</v>
      </c>
      <c r="V11" s="664" t="s">
        <v>18</v>
      </c>
      <c r="W11" s="665">
        <f t="shared" si="2"/>
        <v>100</v>
      </c>
      <c r="X11" s="666"/>
      <c r="Y11" s="3371"/>
      <c r="Z11" s="50" t="str">
        <f t="shared" si="7"/>
        <v>容积率</v>
      </c>
      <c r="AA11" s="50">
        <f t="shared" si="3"/>
        <v>1</v>
      </c>
      <c r="AB11" s="50">
        <f t="shared" si="4"/>
        <v>1</v>
      </c>
      <c r="AC11" s="50">
        <f t="shared" si="5"/>
        <v>1</v>
      </c>
    </row>
    <row r="12" spans="1:29" s="102" customFormat="1" ht="15">
      <c r="A12" s="370"/>
      <c r="B12" s="3148" t="s">
        <v>3464</v>
      </c>
      <c r="C12" s="3168" t="s">
        <v>3445</v>
      </c>
      <c r="D12" s="372">
        <v>100</v>
      </c>
      <c r="E12" s="3168" t="s">
        <v>3445</v>
      </c>
      <c r="F12" s="364">
        <f>SUMIF(70:70,E12,71:71)-SUMIF(70:70,C12,71:71)+100</f>
        <v>100</v>
      </c>
      <c r="G12" s="3168" t="s">
        <v>3445</v>
      </c>
      <c r="H12" s="119">
        <f>SUMIF(70:70,G12,71:71)-SUMIF(70:70,C12,71:71)+100</f>
        <v>100</v>
      </c>
      <c r="I12" s="3168" t="s">
        <v>3445</v>
      </c>
      <c r="J12" s="119">
        <f>SUMIF(70:70,I12,71:71)-SUMIF(70:70,C12,71:71)+100</f>
        <v>100</v>
      </c>
      <c r="K12" s="1748"/>
      <c r="L12" s="2486"/>
      <c r="M12" s="2437"/>
      <c r="N12" s="2437"/>
      <c r="O12" s="2437"/>
      <c r="P12" s="3509"/>
      <c r="Q12" s="530" t="str">
        <f t="shared" si="6"/>
        <v>产权性质</v>
      </c>
      <c r="R12" s="664" t="s">
        <v>18</v>
      </c>
      <c r="S12" s="665">
        <f t="shared" si="0"/>
        <v>100</v>
      </c>
      <c r="T12" s="664" t="s">
        <v>18</v>
      </c>
      <c r="U12" s="665">
        <f t="shared" si="1"/>
        <v>100</v>
      </c>
      <c r="V12" s="664" t="s">
        <v>18</v>
      </c>
      <c r="W12" s="665">
        <f t="shared" si="2"/>
        <v>100</v>
      </c>
      <c r="X12" s="666"/>
      <c r="Y12" s="3371"/>
      <c r="Z12" s="50" t="str">
        <f t="shared" si="7"/>
        <v>产权性质</v>
      </c>
      <c r="AA12" s="50">
        <f>D12/F12</f>
        <v>1</v>
      </c>
      <c r="AB12" s="50">
        <f>D12/H12</f>
        <v>1</v>
      </c>
      <c r="AC12" s="50">
        <f>D12/J12</f>
        <v>1</v>
      </c>
    </row>
    <row r="13" spans="1:29" ht="15">
      <c r="A13" s="367"/>
      <c r="B13" s="3148" t="s">
        <v>3462</v>
      </c>
      <c r="C13" s="3174" t="s">
        <v>3463</v>
      </c>
      <c r="D13" s="374">
        <v>100</v>
      </c>
      <c r="E13" s="3174" t="s">
        <v>3463</v>
      </c>
      <c r="F13" s="364">
        <f>SUMIF(72:72,E13,73:73)-SUMIF(72:72,C13,73:73)+100</f>
        <v>100</v>
      </c>
      <c r="G13" s="3174" t="s">
        <v>3463</v>
      </c>
      <c r="H13" s="374">
        <f>SUMIF(72:72,G13,73:73)-SUMIF(72:72,C13,73:73)+100</f>
        <v>100</v>
      </c>
      <c r="I13" s="3174" t="s">
        <v>3463</v>
      </c>
      <c r="J13" s="374">
        <f>SUMIF(72:72,I13,73:73)-SUMIF(72:72,C13,73:73)+100</f>
        <v>100</v>
      </c>
      <c r="K13" s="1748"/>
      <c r="L13" s="2490"/>
      <c r="M13" s="2485"/>
      <c r="N13" s="2485"/>
      <c r="O13" s="2485"/>
      <c r="P13" s="3509"/>
      <c r="Q13" s="530" t="str">
        <f t="shared" si="6"/>
        <v>其他权利情况</v>
      </c>
      <c r="R13" s="664" t="s">
        <v>18</v>
      </c>
      <c r="S13" s="665">
        <f t="shared" si="0"/>
        <v>100</v>
      </c>
      <c r="T13" s="664" t="s">
        <v>18</v>
      </c>
      <c r="U13" s="665">
        <f t="shared" si="1"/>
        <v>100</v>
      </c>
      <c r="V13" s="664" t="s">
        <v>18</v>
      </c>
      <c r="W13" s="665">
        <f t="shared" si="2"/>
        <v>100</v>
      </c>
      <c r="X13" s="666"/>
      <c r="Y13" s="3371"/>
      <c r="Z13" s="50" t="str">
        <f t="shared" si="7"/>
        <v>其他权利情况</v>
      </c>
      <c r="AA13" s="50">
        <f t="shared" si="3"/>
        <v>1</v>
      </c>
      <c r="AB13" s="50">
        <f t="shared" si="4"/>
        <v>1</v>
      </c>
      <c r="AC13" s="50">
        <f t="shared" si="5"/>
        <v>1</v>
      </c>
    </row>
    <row r="14" spans="1:29" ht="15.75" thickBot="1">
      <c r="A14" s="375"/>
      <c r="B14" s="3175" t="s">
        <v>3471</v>
      </c>
      <c r="C14" s="376"/>
      <c r="D14" s="377">
        <v>100</v>
      </c>
      <c r="E14" s="376">
        <f>成交案例!P35</f>
        <v>1997</v>
      </c>
      <c r="F14" s="378">
        <f>SUMIF(74:74,E14,75:75)-SUMIF(74:74,C14,75:75)+100</f>
        <v>100</v>
      </c>
      <c r="G14" s="376">
        <f>成交案例!P42</f>
        <v>1997</v>
      </c>
      <c r="H14" s="377">
        <f>SUMIF(74:74,G14,75:75)-SUMIF(74:74,C14,75:75)+100</f>
        <v>100</v>
      </c>
      <c r="I14" s="376">
        <f>成交案例!P37</f>
        <v>1997</v>
      </c>
      <c r="J14" s="377">
        <f>SUMIF(74:74,I14,75:75)-SUMIF(74:74,C14,75:75)+100</f>
        <v>100</v>
      </c>
      <c r="K14" s="1748"/>
      <c r="L14" s="2490"/>
      <c r="M14" s="2485"/>
      <c r="N14" s="2485"/>
      <c r="O14" s="2485"/>
      <c r="P14" s="3509"/>
      <c r="Q14" s="530" t="str">
        <f t="shared" si="6"/>
        <v>建成年代</v>
      </c>
      <c r="R14" s="664" t="s">
        <v>18</v>
      </c>
      <c r="S14" s="665">
        <f t="shared" si="0"/>
        <v>100</v>
      </c>
      <c r="T14" s="664" t="s">
        <v>18</v>
      </c>
      <c r="U14" s="665">
        <f t="shared" si="1"/>
        <v>100</v>
      </c>
      <c r="V14" s="664" t="s">
        <v>18</v>
      </c>
      <c r="W14" s="665">
        <f t="shared" si="2"/>
        <v>100</v>
      </c>
      <c r="X14" s="666"/>
      <c r="Y14" s="3371"/>
      <c r="Z14" s="50" t="str">
        <f t="shared" si="7"/>
        <v>建成年代</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98" t="s">
        <v>1689</v>
      </c>
      <c r="Q15" s="1263" t="str">
        <f t="shared" si="6"/>
        <v>居住社区成熟度</v>
      </c>
      <c r="R15" s="667" t="s">
        <v>18</v>
      </c>
      <c r="S15" s="668">
        <f t="shared" si="0"/>
        <v>100</v>
      </c>
      <c r="T15" s="667" t="s">
        <v>18</v>
      </c>
      <c r="U15" s="668">
        <f t="shared" si="1"/>
        <v>100</v>
      </c>
      <c r="V15" s="667" t="s">
        <v>18</v>
      </c>
      <c r="W15" s="668">
        <f t="shared" si="2"/>
        <v>100</v>
      </c>
      <c r="X15" s="1265"/>
      <c r="Y15" s="3500"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99"/>
      <c r="Q16" s="1263"/>
      <c r="R16" s="667"/>
      <c r="S16" s="668"/>
      <c r="T16" s="667"/>
      <c r="U16" s="668"/>
      <c r="V16" s="667"/>
      <c r="W16" s="668"/>
      <c r="X16" s="1265"/>
      <c r="Y16" s="3501"/>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99"/>
      <c r="Q17" s="1263" t="str">
        <f>B17</f>
        <v>交通便捷度</v>
      </c>
      <c r="R17" s="667" t="s">
        <v>18</v>
      </c>
      <c r="S17" s="668">
        <f>F17</f>
        <v>100</v>
      </c>
      <c r="T17" s="667" t="s">
        <v>18</v>
      </c>
      <c r="U17" s="668">
        <f>H17</f>
        <v>100</v>
      </c>
      <c r="V17" s="667" t="s">
        <v>18</v>
      </c>
      <c r="W17" s="668">
        <f>J17</f>
        <v>100</v>
      </c>
      <c r="X17" s="1265"/>
      <c r="Y17" s="350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99"/>
      <c r="Q18" s="1263"/>
      <c r="R18" s="667"/>
      <c r="S18" s="668"/>
      <c r="T18" s="667"/>
      <c r="U18" s="668"/>
      <c r="V18" s="667"/>
      <c r="W18" s="668"/>
      <c r="X18" s="1265"/>
      <c r="Y18" s="3501"/>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99"/>
      <c r="Q19" s="1263" t="str">
        <f>B19</f>
        <v>公共配套设施</v>
      </c>
      <c r="R19" s="667" t="s">
        <v>18</v>
      </c>
      <c r="S19" s="668">
        <f>F19</f>
        <v>100</v>
      </c>
      <c r="T19" s="667" t="s">
        <v>18</v>
      </c>
      <c r="U19" s="668">
        <f>H19</f>
        <v>100</v>
      </c>
      <c r="V19" s="667" t="s">
        <v>18</v>
      </c>
      <c r="W19" s="668">
        <f>J19</f>
        <v>100</v>
      </c>
      <c r="X19" s="1265"/>
      <c r="Y19" s="350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99"/>
      <c r="Q20" s="1263"/>
      <c r="R20" s="667"/>
      <c r="S20" s="668"/>
      <c r="T20" s="667"/>
      <c r="U20" s="668"/>
      <c r="V20" s="667"/>
      <c r="W20" s="668"/>
      <c r="X20" s="1265"/>
      <c r="Y20" s="3501"/>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99"/>
      <c r="Q21" s="1263" t="str">
        <f>B21</f>
        <v>基础设施水平</v>
      </c>
      <c r="R21" s="667" t="s">
        <v>14</v>
      </c>
      <c r="S21" s="668">
        <f>F21</f>
        <v>100</v>
      </c>
      <c r="T21" s="667" t="s">
        <v>14</v>
      </c>
      <c r="U21" s="668">
        <f>H21</f>
        <v>100</v>
      </c>
      <c r="V21" s="667" t="s">
        <v>14</v>
      </c>
      <c r="W21" s="668">
        <f>J21</f>
        <v>100</v>
      </c>
      <c r="X21" s="1265"/>
      <c r="Y21" s="35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99"/>
      <c r="Q22" s="1263"/>
      <c r="R22" s="667"/>
      <c r="S22" s="668"/>
      <c r="T22" s="667"/>
      <c r="U22" s="668"/>
      <c r="V22" s="667"/>
      <c r="W22" s="668"/>
      <c r="X22" s="1265"/>
      <c r="Y22" s="3501"/>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99"/>
      <c r="Q23" s="1263" t="str">
        <f>B23</f>
        <v>自然及人文环境</v>
      </c>
      <c r="R23" s="667" t="s">
        <v>18</v>
      </c>
      <c r="S23" s="668">
        <f>F23</f>
        <v>100</v>
      </c>
      <c r="T23" s="667" t="s">
        <v>18</v>
      </c>
      <c r="U23" s="668">
        <f>H23</f>
        <v>100</v>
      </c>
      <c r="V23" s="667" t="s">
        <v>18</v>
      </c>
      <c r="W23" s="668">
        <f>J23</f>
        <v>100</v>
      </c>
      <c r="X23" s="1265"/>
      <c r="Y23" s="350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99"/>
      <c r="Q24" s="1263"/>
      <c r="R24" s="667"/>
      <c r="S24" s="668"/>
      <c r="T24" s="667"/>
      <c r="U24" s="668"/>
      <c r="V24" s="667"/>
      <c r="W24" s="668"/>
      <c r="X24" s="1265"/>
      <c r="Y24" s="3501"/>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01"/>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3389</v>
      </c>
      <c r="F26" s="374">
        <f>SUMIF(88:88,E26,89:89)-SUMIF(88:88,C26,89:89)+100</f>
        <v>102</v>
      </c>
      <c r="G26" s="399" t="s">
        <v>3389</v>
      </c>
      <c r="H26" s="374">
        <f>SUMIF(88:88,G26,89:89)-SUMIF(88:88,C26,89:89)+100</f>
        <v>102</v>
      </c>
      <c r="I26" s="399" t="s">
        <v>3389</v>
      </c>
      <c r="J26" s="374">
        <f>SUMIF(88:88,I26,89:89)-SUMIF(88:88,C26,89:89)+100</f>
        <v>102</v>
      </c>
      <c r="K26" s="365">
        <f>'比较法-住宅（标准房屋）'!K26</f>
        <v>0.5</v>
      </c>
      <c r="L26" s="2490"/>
      <c r="M26" s="2485"/>
      <c r="N26" s="2485"/>
      <c r="O26" s="2485"/>
      <c r="P26" s="3499"/>
      <c r="Q26" s="1263" t="str">
        <f t="shared" si="11"/>
        <v>朝向</v>
      </c>
      <c r="R26" s="667" t="s">
        <v>18</v>
      </c>
      <c r="S26" s="668">
        <f t="shared" si="12"/>
        <v>102</v>
      </c>
      <c r="T26" s="667" t="s">
        <v>18</v>
      </c>
      <c r="U26" s="668">
        <f t="shared" si="13"/>
        <v>102</v>
      </c>
      <c r="V26" s="667" t="s">
        <v>18</v>
      </c>
      <c r="W26" s="668">
        <f t="shared" si="14"/>
        <v>102</v>
      </c>
      <c r="X26" s="1265"/>
      <c r="Y26" s="3501"/>
      <c r="Z26" s="1264" t="str">
        <f>Q26</f>
        <v>朝向</v>
      </c>
      <c r="AA26" s="1264">
        <f t="shared" si="15"/>
        <v>0.98039215686274506</v>
      </c>
      <c r="AB26" s="1264">
        <f t="shared" si="16"/>
        <v>0.98039215686274506</v>
      </c>
      <c r="AC26" s="1264">
        <f t="shared" si="17"/>
        <v>0.98039215686274506</v>
      </c>
    </row>
    <row r="27" spans="1:29" s="102" customFormat="1" ht="15">
      <c r="A27" s="370"/>
      <c r="B27" s="3179" t="s">
        <v>3450</v>
      </c>
      <c r="C27" s="3180" t="s">
        <v>3440</v>
      </c>
      <c r="D27" s="401">
        <v>100</v>
      </c>
      <c r="E27" s="3637" t="str">
        <f>成交案例!J35</f>
        <v>中层</v>
      </c>
      <c r="F27" s="401">
        <f>SUMIF(90:90,E27,91:91)-SUMIF(90:90,C27,91:91)+100</f>
        <v>101.5</v>
      </c>
      <c r="G27" s="3637" t="str">
        <f>成交案例!J42</f>
        <v>中层</v>
      </c>
      <c r="H27" s="401">
        <f>SUMIF(90:90,G27,91:91)-SUMIF(90:90,C27,91:91)+100</f>
        <v>101.5</v>
      </c>
      <c r="I27" s="3637" t="str">
        <f>成交案例!J37</f>
        <v>高层</v>
      </c>
      <c r="J27" s="401">
        <f>SUMIF(90:90,I27,91:91)-SUMIF(90:90,C27,91:91)+100</f>
        <v>100</v>
      </c>
      <c r="K27" s="1748"/>
      <c r="L27" s="2486"/>
      <c r="M27" s="2437"/>
      <c r="N27" s="2437"/>
      <c r="O27" s="2437"/>
      <c r="P27" s="3499"/>
      <c r="Q27" s="530" t="str">
        <f t="shared" si="11"/>
        <v>楼层</v>
      </c>
      <c r="R27" s="664" t="s">
        <v>18</v>
      </c>
      <c r="S27" s="665">
        <f t="shared" si="12"/>
        <v>101.5</v>
      </c>
      <c r="T27" s="664" t="s">
        <v>18</v>
      </c>
      <c r="U27" s="665">
        <f t="shared" si="13"/>
        <v>101.5</v>
      </c>
      <c r="V27" s="664" t="s">
        <v>18</v>
      </c>
      <c r="W27" s="665">
        <f t="shared" si="14"/>
        <v>100</v>
      </c>
      <c r="X27" s="666"/>
      <c r="Y27" s="3501"/>
      <c r="Z27" s="50" t="str">
        <f>Q27</f>
        <v>楼层</v>
      </c>
      <c r="AA27" s="1264">
        <f t="shared" si="15"/>
        <v>0.98522167487684731</v>
      </c>
      <c r="AB27" s="1264">
        <f t="shared" si="16"/>
        <v>0.98522167487684731</v>
      </c>
      <c r="AC27" s="1264">
        <f t="shared" si="17"/>
        <v>1</v>
      </c>
    </row>
    <row r="28" spans="1:29" ht="15">
      <c r="A28" s="367"/>
      <c r="B28" s="3145"/>
      <c r="C28" s="373"/>
      <c r="D28" s="374">
        <v>100</v>
      </c>
      <c r="E28" s="3638" t="str">
        <f>成交案例!L35</f>
        <v>南北</v>
      </c>
      <c r="F28" s="374">
        <f>SUMIF(92:92,E28,93:93)-SUMIF(92:92,C28,93:93)+100</f>
        <v>100</v>
      </c>
      <c r="G28" s="3635" t="str">
        <f>成交案例!L42</f>
        <v>南北</v>
      </c>
      <c r="H28" s="374">
        <f>SUMIF(92:92,G28,93:93)-SUMIF(92:92,C28,93:93)+100</f>
        <v>100</v>
      </c>
      <c r="I28" s="3634" t="str">
        <f>成交案例!L37</f>
        <v>南北</v>
      </c>
      <c r="J28" s="374">
        <f>SUMIF(92:92,I28,93:93)-SUMIF(92:92,C28,93:93)+100</f>
        <v>100</v>
      </c>
      <c r="K28" s="1748"/>
      <c r="L28" s="2485"/>
      <c r="M28" s="2485"/>
      <c r="N28" s="2485"/>
      <c r="O28" s="2485"/>
      <c r="P28" s="3499"/>
      <c r="Q28" s="1263">
        <f t="shared" si="11"/>
        <v>0</v>
      </c>
      <c r="R28" s="667" t="s">
        <v>18</v>
      </c>
      <c r="S28" s="668">
        <f t="shared" si="12"/>
        <v>100</v>
      </c>
      <c r="T28" s="667" t="s">
        <v>18</v>
      </c>
      <c r="U28" s="668">
        <f t="shared" si="13"/>
        <v>100</v>
      </c>
      <c r="V28" s="667" t="s">
        <v>18</v>
      </c>
      <c r="W28" s="668">
        <f t="shared" si="14"/>
        <v>100</v>
      </c>
      <c r="X28" s="1265"/>
      <c r="Y28" s="3501"/>
      <c r="Z28" s="1264">
        <f t="shared" ref="Z28:Z46" si="18">Q28</f>
        <v>0</v>
      </c>
      <c r="AA28" s="1264">
        <f t="shared" si="15"/>
        <v>1</v>
      </c>
      <c r="AB28" s="1264">
        <f t="shared" si="16"/>
        <v>1</v>
      </c>
      <c r="AC28" s="1264">
        <f t="shared" si="17"/>
        <v>1</v>
      </c>
    </row>
    <row r="29" spans="1:29" ht="15">
      <c r="A29" s="367"/>
      <c r="B29" s="3145"/>
      <c r="C29" s="373"/>
      <c r="D29" s="374">
        <v>100</v>
      </c>
      <c r="E29" s="3634" t="str">
        <f>成交案例!N35</f>
        <v>简装</v>
      </c>
      <c r="F29" s="374">
        <f>SUMIF(94:94,E29,95:95)-SUMIF(94:94,C29,95:95)+100</f>
        <v>100</v>
      </c>
      <c r="G29" s="3635" t="str">
        <f>成交案例!N42</f>
        <v>精装</v>
      </c>
      <c r="H29" s="374">
        <f>SUMIF(94:94,G29,95:95)-SUMIF(94:94,C29,95:95)+100</f>
        <v>100</v>
      </c>
      <c r="I29" s="3634" t="str">
        <f>成交案例!N37</f>
        <v>简装</v>
      </c>
      <c r="J29" s="374">
        <f>SUMIF(94:94,I29,95:95)-SUMIF(94:94,C29,95:95)+100</f>
        <v>100</v>
      </c>
      <c r="K29" s="1748"/>
      <c r="L29" s="2485"/>
      <c r="M29" s="2485"/>
      <c r="N29" s="2485"/>
      <c r="O29" s="2485"/>
      <c r="P29" s="3499"/>
      <c r="Q29" s="1263">
        <f t="shared" si="11"/>
        <v>0</v>
      </c>
      <c r="R29" s="667" t="s">
        <v>18</v>
      </c>
      <c r="S29" s="668">
        <f t="shared" si="12"/>
        <v>100</v>
      </c>
      <c r="T29" s="667" t="s">
        <v>18</v>
      </c>
      <c r="U29" s="668">
        <f t="shared" si="13"/>
        <v>100</v>
      </c>
      <c r="V29" s="667" t="s">
        <v>18</v>
      </c>
      <c r="W29" s="668">
        <f t="shared" si="14"/>
        <v>100</v>
      </c>
      <c r="X29" s="1265"/>
      <c r="Y29" s="3501"/>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5"/>
      <c r="M30" s="2485"/>
      <c r="N30" s="2485"/>
      <c r="O30" s="2485"/>
      <c r="P30" s="3499"/>
      <c r="Q30" s="1263">
        <f t="shared" si="11"/>
        <v>0</v>
      </c>
      <c r="R30" s="667" t="s">
        <v>18</v>
      </c>
      <c r="S30" s="668">
        <f t="shared" si="12"/>
        <v>100</v>
      </c>
      <c r="T30" s="667" t="s">
        <v>18</v>
      </c>
      <c r="U30" s="668">
        <f t="shared" si="13"/>
        <v>100</v>
      </c>
      <c r="V30" s="667" t="s">
        <v>18</v>
      </c>
      <c r="W30" s="668">
        <f t="shared" si="14"/>
        <v>100</v>
      </c>
      <c r="X30" s="1265"/>
      <c r="Y30" s="3501"/>
      <c r="Z30" s="1264">
        <f t="shared" si="18"/>
        <v>0</v>
      </c>
      <c r="AA30" s="1264">
        <f t="shared" si="15"/>
        <v>1</v>
      </c>
      <c r="AB30" s="1264">
        <f t="shared" si="16"/>
        <v>1</v>
      </c>
      <c r="AC30" s="1264">
        <f t="shared" si="17"/>
        <v>1</v>
      </c>
    </row>
    <row r="31" spans="1:29" ht="15.75" thickBot="1">
      <c r="A31" s="375"/>
      <c r="B31" s="3145"/>
      <c r="C31" s="376"/>
      <c r="D31" s="377">
        <v>100</v>
      </c>
      <c r="E31" s="3199"/>
      <c r="F31" s="377">
        <f>SUMIF(98:98,E31,99:99)-SUMIF(98:98,C31,99:99)+100</f>
        <v>100</v>
      </c>
      <c r="G31" s="1763"/>
      <c r="H31" s="377">
        <f>SUMIF(98:98,G31,99:99)-SUMIF(98:98,C31,99:99)+100</f>
        <v>100</v>
      </c>
      <c r="I31" s="3199"/>
      <c r="J31" s="377">
        <f>SUMIF(98:98,I31,99:99)-SUMIF(98:98,C31,99:99)+100</f>
        <v>100</v>
      </c>
      <c r="K31" s="1748"/>
      <c r="L31" s="2485"/>
      <c r="M31" s="2485"/>
      <c r="N31" s="2485"/>
      <c r="O31" s="2485"/>
      <c r="P31" s="3499"/>
      <c r="Q31" s="1263">
        <f t="shared" si="11"/>
        <v>0</v>
      </c>
      <c r="R31" s="667" t="s">
        <v>18</v>
      </c>
      <c r="S31" s="668">
        <f t="shared" si="12"/>
        <v>100</v>
      </c>
      <c r="T31" s="667" t="s">
        <v>18</v>
      </c>
      <c r="U31" s="668">
        <f t="shared" si="13"/>
        <v>100</v>
      </c>
      <c r="V31" s="667" t="s">
        <v>18</v>
      </c>
      <c r="W31" s="668">
        <f t="shared" si="14"/>
        <v>100</v>
      </c>
      <c r="X31" s="1265"/>
      <c r="Y31" s="3501"/>
      <c r="Z31" s="1264">
        <f t="shared" si="18"/>
        <v>0</v>
      </c>
      <c r="AA31" s="1264">
        <f t="shared" si="15"/>
        <v>1</v>
      </c>
      <c r="AB31" s="1264">
        <f t="shared" si="16"/>
        <v>1</v>
      </c>
      <c r="AC31" s="1264">
        <f t="shared" si="17"/>
        <v>1</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85"/>
      <c r="M32" s="2485"/>
      <c r="N32" s="2485"/>
      <c r="O32" s="2485"/>
      <c r="P32" s="3502" t="s">
        <v>1694</v>
      </c>
      <c r="Q32" s="1263" t="str">
        <f t="shared" si="11"/>
        <v>建筑类型</v>
      </c>
      <c r="R32" s="667" t="s">
        <v>18</v>
      </c>
      <c r="S32" s="668">
        <f t="shared" si="12"/>
        <v>100</v>
      </c>
      <c r="T32" s="667" t="s">
        <v>18</v>
      </c>
      <c r="U32" s="668">
        <f t="shared" si="13"/>
        <v>100</v>
      </c>
      <c r="V32" s="667" t="s">
        <v>18</v>
      </c>
      <c r="W32" s="668">
        <f t="shared" si="14"/>
        <v>100</v>
      </c>
      <c r="X32" s="1265"/>
      <c r="Y32" s="350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f>成交案例!B35</f>
        <v>65.989999999999995</v>
      </c>
      <c r="F33" s="364">
        <f>LOOKUP(E33,103:103,104:104)-LOOKUP(C33,103:103,104:104)+100</f>
        <v>100</v>
      </c>
      <c r="G33" s="368">
        <f>成交案例!B42</f>
        <v>61.56</v>
      </c>
      <c r="H33" s="119">
        <f>LOOKUP(G33,103:103,104:104)-LOOKUP(C33,103:103,104:104)+100</f>
        <v>100</v>
      </c>
      <c r="I33" s="369">
        <f>成交案例!B37</f>
        <v>61.56</v>
      </c>
      <c r="J33" s="119">
        <f>LOOKUP(I33,103:103,104:104)-LOOKUP(C33,103:103,104:104)+100</f>
        <v>100</v>
      </c>
      <c r="K33" s="1748"/>
      <c r="L33" s="2485"/>
      <c r="M33" s="2485"/>
      <c r="N33" s="2491"/>
      <c r="O33" s="2491"/>
      <c r="P33" s="3503"/>
      <c r="Q33" s="531" t="str">
        <f t="shared" si="11"/>
        <v>项目建筑规模</v>
      </c>
      <c r="R33" s="669" t="s">
        <v>18</v>
      </c>
      <c r="S33" s="670">
        <f t="shared" si="12"/>
        <v>100</v>
      </c>
      <c r="T33" s="669" t="s">
        <v>18</v>
      </c>
      <c r="U33" s="670">
        <f t="shared" si="13"/>
        <v>100</v>
      </c>
      <c r="V33" s="669" t="s">
        <v>18</v>
      </c>
      <c r="W33" s="670">
        <f t="shared" si="14"/>
        <v>100</v>
      </c>
      <c r="X33" s="671"/>
      <c r="Y33" s="3505"/>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85"/>
      <c r="M34" s="2485"/>
      <c r="N34" s="2485"/>
      <c r="O34" s="2485"/>
      <c r="P34" s="3503"/>
      <c r="Q34" s="1263" t="str">
        <f t="shared" si="11"/>
        <v>建筑结构</v>
      </c>
      <c r="R34" s="667" t="s">
        <v>18</v>
      </c>
      <c r="S34" s="668">
        <f t="shared" si="12"/>
        <v>100</v>
      </c>
      <c r="T34" s="667" t="s">
        <v>18</v>
      </c>
      <c r="U34" s="668">
        <f t="shared" si="13"/>
        <v>100</v>
      </c>
      <c r="V34" s="667" t="s">
        <v>18</v>
      </c>
      <c r="W34" s="668">
        <f t="shared" si="14"/>
        <v>100</v>
      </c>
      <c r="X34" s="1265"/>
      <c r="Y34" s="3505"/>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85"/>
      <c r="M35" s="2485"/>
      <c r="N35" s="2485"/>
      <c r="O35" s="2485"/>
      <c r="P35" s="3503"/>
      <c r="Q35" s="1263" t="str">
        <f t="shared" si="11"/>
        <v>建筑品质</v>
      </c>
      <c r="R35" s="667" t="s">
        <v>18</v>
      </c>
      <c r="S35" s="668">
        <f t="shared" si="12"/>
        <v>100</v>
      </c>
      <c r="T35" s="667" t="s">
        <v>18</v>
      </c>
      <c r="U35" s="668">
        <f t="shared" si="13"/>
        <v>100</v>
      </c>
      <c r="V35" s="667" t="s">
        <v>18</v>
      </c>
      <c r="W35" s="668">
        <f t="shared" si="14"/>
        <v>100</v>
      </c>
      <c r="X35" s="1265"/>
      <c r="Y35" s="3505"/>
      <c r="Z35" s="1264" t="str">
        <f t="shared" si="18"/>
        <v>建筑品质</v>
      </c>
      <c r="AA35" s="1264">
        <f t="shared" si="15"/>
        <v>1</v>
      </c>
      <c r="AB35" s="1264">
        <f t="shared" si="16"/>
        <v>1</v>
      </c>
      <c r="AC35" s="1264">
        <f t="shared" si="17"/>
        <v>1</v>
      </c>
    </row>
    <row r="36" spans="1:29" ht="15">
      <c r="A36" s="409"/>
      <c r="B36" s="364" t="s">
        <v>1698</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85"/>
      <c r="M36" s="2485"/>
      <c r="N36" s="2485"/>
      <c r="O36" s="2485"/>
      <c r="P36" s="3503"/>
      <c r="Q36" s="1263" t="str">
        <f t="shared" si="11"/>
        <v>公共部分装修</v>
      </c>
      <c r="R36" s="667" t="s">
        <v>18</v>
      </c>
      <c r="S36" s="668">
        <f t="shared" si="12"/>
        <v>100</v>
      </c>
      <c r="T36" s="667" t="s">
        <v>18</v>
      </c>
      <c r="U36" s="668">
        <f t="shared" si="13"/>
        <v>100</v>
      </c>
      <c r="V36" s="667" t="s">
        <v>18</v>
      </c>
      <c r="W36" s="668">
        <f t="shared" si="14"/>
        <v>100</v>
      </c>
      <c r="X36" s="1265"/>
      <c r="Y36" s="3505"/>
      <c r="Z36" s="1264" t="str">
        <f t="shared" si="18"/>
        <v>公共部分装修</v>
      </c>
      <c r="AA36" s="1264">
        <f t="shared" si="15"/>
        <v>1</v>
      </c>
      <c r="AB36" s="1264">
        <f t="shared" si="16"/>
        <v>1</v>
      </c>
      <c r="AC36" s="1264">
        <f t="shared" si="17"/>
        <v>1</v>
      </c>
    </row>
    <row r="37" spans="1:29" s="102" customFormat="1" ht="15">
      <c r="A37" s="410"/>
      <c r="B37" s="364" t="s">
        <v>1699</v>
      </c>
      <c r="C37" s="3194">
        <f>成交案例!C30</f>
        <v>0.79800000000000004</v>
      </c>
      <c r="D37" s="119">
        <v>100</v>
      </c>
      <c r="E37" s="3194">
        <f>成交案例!C27</f>
        <v>0.77800000000000002</v>
      </c>
      <c r="F37" s="364">
        <f>LOOKUP(E37,112:112,113:113)-LOOKUP(C37,112:112,113:113)+100</f>
        <v>100</v>
      </c>
      <c r="G37" s="3196">
        <f>成交案例!C27</f>
        <v>0.77800000000000002</v>
      </c>
      <c r="H37" s="119">
        <f>LOOKUP(G37,112:112,113:113)-LOOKUP(C37,112:112,113:113)+100</f>
        <v>100</v>
      </c>
      <c r="I37" s="3196">
        <f>成交案例!C27</f>
        <v>0.77800000000000002</v>
      </c>
      <c r="J37" s="119">
        <f>LOOKUP(I37,112:112,113:113)-LOOKUP(C37,112:112,113:113)+100</f>
        <v>100</v>
      </c>
      <c r="K37" s="365"/>
      <c r="L37" s="2486"/>
      <c r="M37" s="2437"/>
      <c r="N37" s="2437"/>
      <c r="O37" s="2437"/>
      <c r="P37" s="3503"/>
      <c r="Q37" s="530" t="str">
        <f t="shared" si="11"/>
        <v>成新度</v>
      </c>
      <c r="R37" s="664" t="s">
        <v>18</v>
      </c>
      <c r="S37" s="665">
        <f t="shared" si="12"/>
        <v>100</v>
      </c>
      <c r="T37" s="664" t="s">
        <v>18</v>
      </c>
      <c r="U37" s="665">
        <f t="shared" si="13"/>
        <v>100</v>
      </c>
      <c r="V37" s="664" t="s">
        <v>18</v>
      </c>
      <c r="W37" s="665">
        <f t="shared" si="14"/>
        <v>100</v>
      </c>
      <c r="X37" s="666"/>
      <c r="Y37" s="3505"/>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90"/>
      <c r="M38" s="2485"/>
      <c r="N38" s="2485"/>
      <c r="O38" s="2485"/>
      <c r="P38" s="3503" t="s">
        <v>1694</v>
      </c>
      <c r="Q38" s="1263" t="str">
        <f t="shared" si="11"/>
        <v>物业管理</v>
      </c>
      <c r="R38" s="667" t="s">
        <v>18</v>
      </c>
      <c r="S38" s="668">
        <f t="shared" si="12"/>
        <v>100</v>
      </c>
      <c r="T38" s="667" t="s">
        <v>18</v>
      </c>
      <c r="U38" s="668">
        <f t="shared" si="13"/>
        <v>100</v>
      </c>
      <c r="V38" s="667" t="s">
        <v>18</v>
      </c>
      <c r="W38" s="668">
        <f t="shared" si="14"/>
        <v>100</v>
      </c>
      <c r="X38" s="1265"/>
      <c r="Y38" s="3505"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0"/>
      <c r="M39" s="2485"/>
      <c r="N39" s="2485"/>
      <c r="O39" s="2485"/>
      <c r="P39" s="3503"/>
      <c r="Q39" s="1263" t="str">
        <f t="shared" si="11"/>
        <v>市政基础设施</v>
      </c>
      <c r="R39" s="667" t="s">
        <v>18</v>
      </c>
      <c r="S39" s="668">
        <f t="shared" si="12"/>
        <v>100</v>
      </c>
      <c r="T39" s="667" t="s">
        <v>18</v>
      </c>
      <c r="U39" s="668">
        <f t="shared" si="13"/>
        <v>100</v>
      </c>
      <c r="V39" s="667" t="s">
        <v>18</v>
      </c>
      <c r="W39" s="668">
        <f t="shared" si="14"/>
        <v>100</v>
      </c>
      <c r="X39" s="1265"/>
      <c r="Y39" s="3505"/>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90"/>
      <c r="M40" s="2485"/>
      <c r="N40" s="2485"/>
      <c r="O40" s="2485"/>
      <c r="P40" s="3503"/>
      <c r="Q40" s="1263" t="str">
        <f t="shared" si="11"/>
        <v>房型</v>
      </c>
      <c r="R40" s="667" t="s">
        <v>18</v>
      </c>
      <c r="S40" s="668">
        <f t="shared" si="12"/>
        <v>100</v>
      </c>
      <c r="T40" s="667" t="s">
        <v>18</v>
      </c>
      <c r="U40" s="668">
        <f t="shared" si="13"/>
        <v>100</v>
      </c>
      <c r="V40" s="667" t="s">
        <v>18</v>
      </c>
      <c r="W40" s="668">
        <f t="shared" si="14"/>
        <v>100</v>
      </c>
      <c r="X40" s="1265"/>
      <c r="Y40" s="3505"/>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9"/>
      <c r="M41" s="2491"/>
      <c r="N41" s="2491"/>
      <c r="O41" s="2491"/>
      <c r="P41" s="3503"/>
      <c r="Q41" s="531" t="str">
        <f t="shared" si="11"/>
        <v>单套/主力户型建筑面积</v>
      </c>
      <c r="R41" s="669" t="s">
        <v>18</v>
      </c>
      <c r="S41" s="670">
        <f t="shared" si="12"/>
        <v>100</v>
      </c>
      <c r="T41" s="669" t="s">
        <v>18</v>
      </c>
      <c r="U41" s="670">
        <f t="shared" si="13"/>
        <v>100</v>
      </c>
      <c r="V41" s="669" t="s">
        <v>18</v>
      </c>
      <c r="W41" s="670">
        <f t="shared" si="14"/>
        <v>100</v>
      </c>
      <c r="X41" s="671"/>
      <c r="Y41" s="3505"/>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3173" t="s">
        <v>3403</v>
      </c>
      <c r="F42" s="400">
        <f>SUMIF(122:122,E42,123:123)-SUMIF(122:122,C42,123:123)+100</f>
        <v>100</v>
      </c>
      <c r="G42" s="3173" t="s">
        <v>3451</v>
      </c>
      <c r="H42" s="374">
        <f>SUMIF(122:122,G42,123:123)-SUMIF(122:122,C42,123:123)+100</f>
        <v>102</v>
      </c>
      <c r="I42" s="3173" t="s">
        <v>3403</v>
      </c>
      <c r="J42" s="374">
        <f>SUMIF(122:122,I42,123:123)-SUMIF(122:122,C42,123:123)+100</f>
        <v>100</v>
      </c>
      <c r="K42" s="365">
        <f>'比较法-住宅（标准房屋）'!K42</f>
        <v>2</v>
      </c>
      <c r="L42" s="2490"/>
      <c r="M42" s="2485"/>
      <c r="N42" s="2485"/>
      <c r="O42" s="2485"/>
      <c r="P42" s="3503"/>
      <c r="Q42" s="1263" t="str">
        <f t="shared" si="11"/>
        <v>内部装修</v>
      </c>
      <c r="R42" s="667" t="s">
        <v>18</v>
      </c>
      <c r="S42" s="668">
        <f t="shared" si="12"/>
        <v>100</v>
      </c>
      <c r="T42" s="667" t="s">
        <v>18</v>
      </c>
      <c r="U42" s="668">
        <f t="shared" si="13"/>
        <v>102</v>
      </c>
      <c r="V42" s="667" t="s">
        <v>18</v>
      </c>
      <c r="W42" s="668">
        <f t="shared" si="14"/>
        <v>100</v>
      </c>
      <c r="X42" s="1265"/>
      <c r="Y42" s="3505"/>
      <c r="Z42" s="1264" t="str">
        <f t="shared" si="18"/>
        <v>内部装修</v>
      </c>
      <c r="AA42" s="1264">
        <f t="shared" si="15"/>
        <v>1</v>
      </c>
      <c r="AB42" s="1264">
        <f t="shared" si="16"/>
        <v>0.98039215686274506</v>
      </c>
      <c r="AC42" s="1264">
        <f t="shared" si="17"/>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03"/>
      <c r="Q43" s="1263" t="str">
        <f t="shared" si="11"/>
        <v>内部装修维护情况</v>
      </c>
      <c r="R43" s="667" t="s">
        <v>18</v>
      </c>
      <c r="S43" s="668">
        <f t="shared" si="12"/>
        <v>100</v>
      </c>
      <c r="T43" s="667" t="s">
        <v>18</v>
      </c>
      <c r="U43" s="668">
        <f t="shared" si="13"/>
        <v>100</v>
      </c>
      <c r="V43" s="667" t="s">
        <v>18</v>
      </c>
      <c r="W43" s="668">
        <f t="shared" si="14"/>
        <v>100</v>
      </c>
      <c r="X43" s="1265"/>
      <c r="Y43" s="3505"/>
      <c r="Z43" s="1264" t="str">
        <f t="shared" si="18"/>
        <v>内部装修维护情况</v>
      </c>
      <c r="AA43" s="1264">
        <f t="shared" si="15"/>
        <v>1</v>
      </c>
      <c r="AB43" s="1264">
        <f t="shared" si="16"/>
        <v>1</v>
      </c>
      <c r="AC43" s="1264">
        <f t="shared" si="17"/>
        <v>1</v>
      </c>
    </row>
    <row r="44" spans="1:29" s="102" customFormat="1" ht="15">
      <c r="A44" s="410"/>
      <c r="B44" s="3145" t="s">
        <v>3465</v>
      </c>
      <c r="C44" s="3181" t="s">
        <v>3458</v>
      </c>
      <c r="D44" s="119">
        <v>100</v>
      </c>
      <c r="E44" s="3181" t="s">
        <v>3458</v>
      </c>
      <c r="F44" s="364">
        <f>SUMIF(126:126,E44,127:127)-SUMIF(126:126,C44,127:127)+100</f>
        <v>100</v>
      </c>
      <c r="G44" s="3181" t="s">
        <v>3458</v>
      </c>
      <c r="H44" s="119">
        <f>SUMIF(126:126,G44,127:127)-SUMIF(126:126,C44,127:127)+100</f>
        <v>100</v>
      </c>
      <c r="I44" s="3181" t="s">
        <v>3458</v>
      </c>
      <c r="J44" s="119">
        <f>SUMIF(126:126,I44,127:127)-SUMIF(126:126,C44,127:127)+100</f>
        <v>100</v>
      </c>
      <c r="K44" s="1748"/>
      <c r="L44" s="2486"/>
      <c r="M44" s="2437"/>
      <c r="N44" s="2437"/>
      <c r="O44" s="2437"/>
      <c r="P44" s="3503"/>
      <c r="Q44" s="530" t="str">
        <f t="shared" si="11"/>
        <v>空间布局</v>
      </c>
      <c r="R44" s="664" t="s">
        <v>18</v>
      </c>
      <c r="S44" s="665">
        <f t="shared" si="12"/>
        <v>100</v>
      </c>
      <c r="T44" s="664" t="s">
        <v>18</v>
      </c>
      <c r="U44" s="665">
        <f t="shared" si="13"/>
        <v>100</v>
      </c>
      <c r="V44" s="664" t="s">
        <v>18</v>
      </c>
      <c r="W44" s="665">
        <f t="shared" si="14"/>
        <v>100</v>
      </c>
      <c r="X44" s="666"/>
      <c r="Y44" s="3505"/>
      <c r="Z44" s="50" t="str">
        <f t="shared" si="18"/>
        <v>空间布局</v>
      </c>
      <c r="AA44" s="50">
        <f t="shared" si="15"/>
        <v>1</v>
      </c>
      <c r="AB44" s="50">
        <f t="shared" si="16"/>
        <v>1</v>
      </c>
      <c r="AC44" s="50">
        <f t="shared" si="17"/>
        <v>1</v>
      </c>
    </row>
    <row r="45" spans="1:29" ht="15">
      <c r="A45" s="409"/>
      <c r="B45" s="3145" t="s">
        <v>3441</v>
      </c>
      <c r="C45" s="3174" t="s">
        <v>3442</v>
      </c>
      <c r="D45" s="374">
        <v>100</v>
      </c>
      <c r="E45" s="3174" t="s">
        <v>3442</v>
      </c>
      <c r="F45" s="400">
        <f>SUMIF(128:128,E45,129:129)-SUMIF(128:128,C45,129:129)+100</f>
        <v>100</v>
      </c>
      <c r="G45" s="3174" t="s">
        <v>3442</v>
      </c>
      <c r="H45" s="374">
        <f>SUMIF(128:128,G45,129:129)-SUMIF(128:128,C45,129:129)+100</f>
        <v>100</v>
      </c>
      <c r="I45" s="3174" t="s">
        <v>3442</v>
      </c>
      <c r="J45" s="374">
        <f>SUMIF(128:128,I45,129:129)-SUMIF(128:128,C45,129:129)+100</f>
        <v>100</v>
      </c>
      <c r="K45" s="1748"/>
      <c r="L45" s="2490"/>
      <c r="M45" s="2485"/>
      <c r="N45" s="2485"/>
      <c r="O45" s="2485"/>
      <c r="P45" s="3503"/>
      <c r="Q45" s="1263" t="str">
        <f t="shared" si="11"/>
        <v>建筑形式</v>
      </c>
      <c r="R45" s="667" t="s">
        <v>18</v>
      </c>
      <c r="S45" s="668">
        <f t="shared" si="12"/>
        <v>100</v>
      </c>
      <c r="T45" s="667" t="s">
        <v>18</v>
      </c>
      <c r="U45" s="668">
        <f t="shared" si="13"/>
        <v>100</v>
      </c>
      <c r="V45" s="667" t="s">
        <v>18</v>
      </c>
      <c r="W45" s="668">
        <f t="shared" si="14"/>
        <v>100</v>
      </c>
      <c r="X45" s="1265"/>
      <c r="Y45" s="3505"/>
      <c r="Z45" s="1264" t="str">
        <f t="shared" si="18"/>
        <v>建筑形式</v>
      </c>
      <c r="AA45" s="1264">
        <f t="shared" si="15"/>
        <v>1</v>
      </c>
      <c r="AB45" s="1264">
        <f t="shared" si="16"/>
        <v>1</v>
      </c>
      <c r="AC45" s="1264">
        <f t="shared" si="17"/>
        <v>1</v>
      </c>
    </row>
    <row r="46" spans="1:29" ht="15.75" thickBot="1">
      <c r="A46" s="415"/>
      <c r="B46" s="3175" t="s">
        <v>3443</v>
      </c>
      <c r="C46" s="3176" t="s">
        <v>3486</v>
      </c>
      <c r="D46" s="377">
        <v>100</v>
      </c>
      <c r="E46" s="3176" t="s">
        <v>3486</v>
      </c>
      <c r="F46" s="378">
        <f>SUMIF(130:130,E46,131:131)-SUMIF(130:130,C46,131:131)+100</f>
        <v>100</v>
      </c>
      <c r="G46" s="3176" t="s">
        <v>3486</v>
      </c>
      <c r="H46" s="377">
        <f>SUMIF(130:130,G46,131:131)-SUMIF(130:130,C46,131:131)+100</f>
        <v>100</v>
      </c>
      <c r="I46" s="3176" t="s">
        <v>3486</v>
      </c>
      <c r="J46" s="377">
        <f>SUMIF(130:130,I46,131:131)-SUMIF(130:130,C46,131:131)+100</f>
        <v>100</v>
      </c>
      <c r="K46" s="1748"/>
      <c r="L46" s="2490"/>
      <c r="M46" s="2485"/>
      <c r="N46" s="2485"/>
      <c r="O46" s="2485"/>
      <c r="P46" s="3504"/>
      <c r="Q46" s="1263" t="str">
        <f t="shared" si="11"/>
        <v>设施设备状况</v>
      </c>
      <c r="R46" s="667" t="s">
        <v>17</v>
      </c>
      <c r="S46" s="668">
        <f t="shared" si="12"/>
        <v>100</v>
      </c>
      <c r="T46" s="667" t="s">
        <v>17</v>
      </c>
      <c r="U46" s="668">
        <f t="shared" si="13"/>
        <v>100</v>
      </c>
      <c r="V46" s="667" t="s">
        <v>17</v>
      </c>
      <c r="W46" s="668">
        <f t="shared" si="14"/>
        <v>100</v>
      </c>
      <c r="X46" s="1265"/>
      <c r="Y46" s="3506"/>
      <c r="Z46" s="1264" t="str">
        <f t="shared" si="18"/>
        <v>设施设备状况</v>
      </c>
      <c r="AA46" s="1264">
        <f t="shared" si="15"/>
        <v>1</v>
      </c>
      <c r="AB46" s="1264">
        <f t="shared" si="16"/>
        <v>1</v>
      </c>
      <c r="AC46" s="1264">
        <f t="shared" si="17"/>
        <v>1</v>
      </c>
    </row>
    <row r="47" spans="1:29" ht="15">
      <c r="A47" s="416" t="s">
        <v>1706</v>
      </c>
      <c r="B47" s="417"/>
      <c r="C47" s="1081" t="s">
        <v>16</v>
      </c>
      <c r="D47" s="418"/>
      <c r="E47" s="419">
        <f>成交案例!F35</f>
        <v>55721</v>
      </c>
      <c r="F47" s="420"/>
      <c r="G47" s="421">
        <f>成交案例!F42</f>
        <v>55556</v>
      </c>
      <c r="H47" s="422"/>
      <c r="I47" s="3271">
        <f>成交案例!F37</f>
        <v>52794</v>
      </c>
      <c r="J47" s="422"/>
      <c r="K47" s="1765"/>
      <c r="L47" s="2492"/>
      <c r="M47" s="2485"/>
      <c r="N47" s="2485"/>
      <c r="O47" s="2485"/>
      <c r="P47" s="3493" t="str">
        <f>A47</f>
        <v>成交单价（元/平方米）</v>
      </c>
      <c r="Q47" s="3493"/>
      <c r="R47" s="3494">
        <f>E47</f>
        <v>55721</v>
      </c>
      <c r="S47" s="3494"/>
      <c r="T47" s="3494">
        <f>G47</f>
        <v>55556</v>
      </c>
      <c r="U47" s="3494"/>
      <c r="V47" s="3494">
        <f>I47</f>
        <v>52794</v>
      </c>
      <c r="W47" s="3494"/>
      <c r="X47" s="385"/>
      <c r="Y47" s="673"/>
      <c r="Z47" s="385"/>
      <c r="AA47" s="385"/>
      <c r="AB47" s="385"/>
      <c r="AC47" s="385"/>
    </row>
    <row r="48" spans="1:29" ht="15.75" thickBot="1">
      <c r="A48" s="423" t="s">
        <v>1707</v>
      </c>
      <c r="B48" s="424"/>
      <c r="C48" s="1082">
        <f>R49</f>
        <v>52625</v>
      </c>
      <c r="D48" s="2139" t="s">
        <v>2136</v>
      </c>
      <c r="E48" s="1083">
        <f>R48</f>
        <v>54195</v>
      </c>
      <c r="F48" s="2140"/>
      <c r="G48" s="1082">
        <f>T48</f>
        <v>52443</v>
      </c>
      <c r="H48" s="2140"/>
      <c r="I48" s="1083">
        <f>V48</f>
        <v>51237</v>
      </c>
      <c r="J48" s="2140"/>
      <c r="K48" s="2141">
        <f>F48+H48+J48</f>
        <v>0</v>
      </c>
      <c r="L48" s="2492"/>
      <c r="M48" s="2485"/>
      <c r="N48" s="2485"/>
      <c r="O48" s="2485"/>
      <c r="P48" s="3493" t="str">
        <f>A48</f>
        <v>比较价值（元/平方米）</v>
      </c>
      <c r="Q48" s="3493"/>
      <c r="R48" s="3494">
        <f>IF(F1="售价",ROUND(PRODUCT(R47,AA7:AA46),0),ROUND(PRODUCT(R47,AA7:AA46),1))</f>
        <v>54195</v>
      </c>
      <c r="S48" s="3494"/>
      <c r="T48" s="3494">
        <f>IF(F1="售价",ROUND(PRODUCT(T47,AB7:AB46),0),ROUND(PRODUCT(T47,AB7:AB46),1))</f>
        <v>52443</v>
      </c>
      <c r="U48" s="3494"/>
      <c r="V48" s="3494">
        <f>IF(F1="售价",ROUND(PRODUCT(V47,AC7:AC46),0),ROUND(PRODUCT(V47,AC7:AC46),1))</f>
        <v>51237</v>
      </c>
      <c r="W48" s="3494"/>
      <c r="X48" s="385"/>
      <c r="Y48" s="385"/>
      <c r="Z48" s="385"/>
      <c r="AA48" s="385"/>
      <c r="AB48" s="385"/>
      <c r="AC48" s="385"/>
    </row>
    <row r="49" spans="1:29" ht="15.75" thickBot="1">
      <c r="A49" s="427" t="s">
        <v>1708</v>
      </c>
      <c r="B49" s="428"/>
      <c r="C49" s="1084">
        <f>R49</f>
        <v>52625</v>
      </c>
      <c r="D49" s="351"/>
      <c r="E49" s="351"/>
      <c r="F49" s="351"/>
      <c r="G49" s="351"/>
      <c r="H49" s="351"/>
      <c r="I49" s="351"/>
      <c r="J49" s="351"/>
      <c r="K49" s="1766"/>
      <c r="L49" s="2492"/>
      <c r="M49" s="2485"/>
      <c r="N49" s="2485"/>
      <c r="O49" s="2485"/>
      <c r="P49" s="3495" t="str">
        <f>A49</f>
        <v>估价对象XX用房的比较价值（楼面单价，元/平方米）</v>
      </c>
      <c r="Q49" s="3496"/>
      <c r="R49" s="3497">
        <f>IF(F1="售价",ROUND(IF(D48="简单平均",AVERAGE(R48:V48),R48*F48+T48*H48+V48*J48),0),ROUND(IF(D48="简单平均",AVERAGE(R48:V48),R48*F48+T48*H48+V48*J48),1))</f>
        <v>52625</v>
      </c>
      <c r="S49" s="3497"/>
      <c r="T49" s="3497"/>
      <c r="U49" s="3497"/>
      <c r="V49" s="3497"/>
      <c r="W49" s="3497"/>
      <c r="X49" s="385"/>
      <c r="Y49" s="385"/>
      <c r="Z49" s="385"/>
      <c r="AA49" s="385"/>
      <c r="AB49" s="385"/>
      <c r="AC49" s="385"/>
    </row>
    <row r="50" spans="1:29">
      <c r="A50" s="2485"/>
      <c r="B50" s="2485"/>
      <c r="C50" s="2485"/>
      <c r="D50" s="2485"/>
      <c r="E50" s="2485"/>
      <c r="F50" s="2485"/>
      <c r="G50" s="2485"/>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2.8157579112464193E-2</v>
      </c>
      <c r="F52" s="435" t="str">
        <f>IF(OR(E52&gt;=0.3,E52&lt;=-0.3),"超过30%","")</f>
        <v/>
      </c>
      <c r="G52" s="434">
        <f>IF(G47&lt;G48,G48/G47-1,G47/G48-1)</f>
        <v>5.9359685754056812E-2</v>
      </c>
      <c r="H52" s="435" t="str">
        <f>IF(OR(G52&gt;=0.3,G52&lt;=-0.3),"超过30%","")</f>
        <v/>
      </c>
      <c r="I52" s="434">
        <f>IF(I47&lt;I48,I48/I47-1,I47/I48-1)</f>
        <v>3.0388196030212589E-2</v>
      </c>
      <c r="J52" s="435" t="str">
        <f>IF(OR(I52&gt;=0.3,I52&lt;=-0.3),"超过30%","")</f>
        <v/>
      </c>
      <c r="K52" s="2497"/>
      <c r="L52" s="2493"/>
      <c r="M52" s="2485"/>
      <c r="N52" s="2485"/>
      <c r="O52" s="2485"/>
    </row>
    <row r="53" spans="1:29" ht="13.5" customHeight="1">
      <c r="A53" s="2485"/>
      <c r="B53" s="2485"/>
      <c r="C53" s="432" t="s">
        <v>1710</v>
      </c>
      <c r="D53" s="436"/>
      <c r="E53" s="434">
        <f>IF(E48&lt;G48,G48/E48-1,E48/G48-1)</f>
        <v>3.3407699788341683E-2</v>
      </c>
      <c r="F53" s="435" t="str">
        <f>IF(OR(E53&gt;=0.2,E53&lt;=-0.2),"超过20%","")</f>
        <v/>
      </c>
      <c r="G53" s="434">
        <f>IF(G48&lt;I48,I48/G48-1,G48/I48-1)</f>
        <v>2.3537677849991168E-2</v>
      </c>
      <c r="H53" s="435" t="str">
        <f>IF(OR(G53&gt;=0.2,G53&lt;=-0.2),"超过20%","")</f>
        <v/>
      </c>
      <c r="I53" s="434">
        <f>IF(I48&lt;E48,E48/I48-1,I48/E48-1)</f>
        <v>5.7731717313660003E-2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2.9699762401900198E-3</v>
      </c>
      <c r="F54" s="435" t="str">
        <f>IF(OR(E54&gt;=0.3,E54&lt;=-0.3),"超过30%","")</f>
        <v/>
      </c>
      <c r="G54" s="434">
        <f>IF(G47&lt;I47,I47/G47-1,G47/I47-1)</f>
        <v>5.2316551123233745E-2</v>
      </c>
      <c r="H54" s="435" t="str">
        <f>IF(OR(G54&gt;=0.3,G54&lt;=-0.3),"超过30%","")</f>
        <v/>
      </c>
      <c r="I54" s="434">
        <f>IF(I47&lt;E47,E47/I47-1,I47/E47-1)</f>
        <v>5.5441906277228448E-2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1677</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99.206299999999999</v>
      </c>
      <c r="F59" s="445">
        <f>'比较法-住宅（标准房屋）'!F59</f>
        <v>98.614599999999996</v>
      </c>
      <c r="G59" s="445">
        <f>'比较法-住宅（标准房屋）'!G59</f>
        <v>99.309700000000007</v>
      </c>
      <c r="H59" s="445">
        <f>'比较法-住宅（标准房屋）'!H59</f>
        <v>100.11060000000001</v>
      </c>
      <c r="I59" s="445">
        <f>'比较法-住宅（标准房屋）'!I59</f>
        <v>100.9179</v>
      </c>
      <c r="J59" s="445">
        <f>'比较法-住宅（标准房屋）'!J59</f>
        <v>101.0189</v>
      </c>
      <c r="K59" s="445">
        <f>'比较法-住宅（标准房屋）'!K59</f>
        <v>100.3167</v>
      </c>
      <c r="L59" s="445">
        <f>'比较法-住宅（标准房屋）'!L59</f>
        <v>99.225200000000001</v>
      </c>
      <c r="M59" s="445">
        <f>'比较法-住宅（标准房屋）'!M59</f>
        <v>98.145600000000002</v>
      </c>
      <c r="N59" s="445">
        <f>'比较法-住宅（标准房屋）'!N59</f>
        <v>98.440899999999999</v>
      </c>
      <c r="O59" s="445">
        <f>'比较法-住宅（标准房屋）'!O59</f>
        <v>98.935599999999994</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1679</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tr">
        <f>'比较法-住宅（标准房屋）'!C88</f>
        <v>南北</v>
      </c>
      <c r="D88" s="3143" t="str">
        <f>'比较法-住宅（标准房屋）'!D88</f>
        <v>南</v>
      </c>
      <c r="E88" s="3143" t="str">
        <f>'比较法-住宅（标准房屋）'!E88</f>
        <v>东南</v>
      </c>
      <c r="F88" s="3143" t="str">
        <f>'比较法-住宅（标准房屋）'!F88</f>
        <v>西南</v>
      </c>
      <c r="G88" s="3143" t="str">
        <f>'比较法-住宅（标准房屋）'!G88</f>
        <v>东西</v>
      </c>
      <c r="H88" s="3143" t="str">
        <f>'比较法-住宅（标准房屋）'!H88</f>
        <v>东</v>
      </c>
      <c r="I88" s="3143" t="str">
        <f>'比较法-住宅（标准房屋）'!I88</f>
        <v>西</v>
      </c>
      <c r="J88" s="3143" t="str">
        <f>'比较法-住宅（标准房屋）'!J88</f>
        <v>东北</v>
      </c>
      <c r="K88" s="3143" t="str">
        <f>'比较法-住宅（标准房屋）'!K88</f>
        <v>西北</v>
      </c>
      <c r="L88" s="3143" t="str">
        <f>'比较法-住宅（标准房屋）'!L88</f>
        <v>北</v>
      </c>
      <c r="M88" s="3143">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1" t="str">
        <f>'比较法-住宅（标准房屋）'!C90</f>
        <v>底层</v>
      </c>
      <c r="D90" s="3171" t="str">
        <f>'比较法-住宅（标准房屋）'!D90</f>
        <v>低层</v>
      </c>
      <c r="E90" s="3171" t="str">
        <f>'比较法-住宅（标准房屋）'!E90</f>
        <v>中层</v>
      </c>
      <c r="F90" s="3171" t="str">
        <f>'比较法-住宅（标准房屋）'!F90</f>
        <v>高层</v>
      </c>
      <c r="G90" s="3171" t="str">
        <f>'比较法-住宅（标准房屋）'!G90</f>
        <v>顶层</v>
      </c>
      <c r="H90" s="3171" t="str">
        <f>'比较法-住宅（标准房屋）'!H90</f>
        <v>标准层</v>
      </c>
      <c r="I90" s="486"/>
      <c r="J90" s="486"/>
      <c r="K90" s="486"/>
      <c r="L90" s="487"/>
      <c r="M90" s="488"/>
      <c r="N90" s="881"/>
      <c r="O90" s="881"/>
      <c r="P90" s="1774"/>
      <c r="Q90" s="490"/>
    </row>
    <row r="91" spans="1:17" s="408" customFormat="1" ht="15.75" thickBot="1">
      <c r="A91" s="484"/>
      <c r="B91" s="474"/>
      <c r="C91" s="3172">
        <v>99</v>
      </c>
      <c r="D91" s="3172">
        <v>100</v>
      </c>
      <c r="E91" s="3172">
        <v>101.5</v>
      </c>
      <c r="F91" s="491">
        <v>100</v>
      </c>
      <c r="G91" s="491">
        <v>97</v>
      </c>
      <c r="H91" s="467">
        <v>100</v>
      </c>
      <c r="I91" s="493"/>
      <c r="J91" s="493"/>
      <c r="K91" s="493"/>
      <c r="L91" s="493"/>
      <c r="M91" s="494"/>
      <c r="N91" s="881"/>
      <c r="O91" s="881"/>
      <c r="P91" s="1774"/>
      <c r="Q91" s="490"/>
    </row>
    <row r="92" spans="1:17" ht="15.75" thickTop="1">
      <c r="A92" s="367"/>
      <c r="B92" s="469">
        <f>B28</f>
        <v>0</v>
      </c>
      <c r="C92" s="3143" t="s">
        <v>3588</v>
      </c>
      <c r="D92" s="485" t="s">
        <v>3589</v>
      </c>
      <c r="E92" s="485" t="s">
        <v>3590</v>
      </c>
      <c r="F92" s="485" t="s">
        <v>3591</v>
      </c>
      <c r="G92" s="513" t="s">
        <v>3592</v>
      </c>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29.25" thickTop="1">
      <c r="A98" s="367"/>
      <c r="B98" s="477">
        <f>B31</f>
        <v>0</v>
      </c>
      <c r="C98" s="3197">
        <v>1</v>
      </c>
      <c r="D98" s="517" t="s">
        <v>3474</v>
      </c>
      <c r="E98" s="517" t="s">
        <v>3473</v>
      </c>
      <c r="F98" s="517" t="s">
        <v>3475</v>
      </c>
      <c r="G98" s="517" t="s">
        <v>3476</v>
      </c>
      <c r="H98" s="517" t="s">
        <v>3477</v>
      </c>
      <c r="I98" s="517" t="s">
        <v>3478</v>
      </c>
      <c r="J98" s="517" t="s">
        <v>3479</v>
      </c>
      <c r="K98" s="517" t="s">
        <v>3480</v>
      </c>
      <c r="L98" s="519"/>
      <c r="M98" s="520"/>
      <c r="N98" s="879"/>
      <c r="O98" s="879"/>
      <c r="P98" s="1773"/>
      <c r="Q98" s="439"/>
    </row>
    <row r="99" spans="1:17" ht="15.75" thickBot="1">
      <c r="A99" s="375"/>
      <c r="B99" s="500"/>
      <c r="C99" s="521">
        <v>100</v>
      </c>
      <c r="D99" s="521">
        <f>C99-$C$97</f>
        <v>100</v>
      </c>
      <c r="E99" s="521">
        <f t="shared" ref="E99:K99" si="25">D99-$C$97</f>
        <v>100</v>
      </c>
      <c r="F99" s="521">
        <f t="shared" si="25"/>
        <v>100</v>
      </c>
      <c r="G99" s="521">
        <f t="shared" si="25"/>
        <v>100</v>
      </c>
      <c r="H99" s="521">
        <f t="shared" si="25"/>
        <v>100</v>
      </c>
      <c r="I99" s="521">
        <f t="shared" si="25"/>
        <v>100</v>
      </c>
      <c r="J99" s="521">
        <f t="shared" si="25"/>
        <v>100</v>
      </c>
      <c r="K99" s="521">
        <f t="shared" si="25"/>
        <v>100</v>
      </c>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1735</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35" priority="18" stopIfTrue="1" operator="containsText" text="超过">
      <formula>NOT(ISERROR(SEARCH("超过",F52)))</formula>
    </cfRule>
  </conditionalFormatting>
  <conditionalFormatting sqref="J54">
    <cfRule type="containsText" dxfId="34" priority="17" stopIfTrue="1" operator="containsText" text="超过">
      <formula>NOT(ISERROR(SEARCH("超过",J54)))</formula>
    </cfRule>
  </conditionalFormatting>
  <conditionalFormatting sqref="H54">
    <cfRule type="containsText" dxfId="33" priority="16" stopIfTrue="1" operator="containsText" text="超过">
      <formula>NOT(ISERROR(SEARCH("超过",H54)))</formula>
    </cfRule>
  </conditionalFormatting>
  <conditionalFormatting sqref="F54">
    <cfRule type="containsText" dxfId="32" priority="15" stopIfTrue="1" operator="containsText" text="超过">
      <formula>NOT(ISERROR(SEARCH("超过",F54)))</formula>
    </cfRule>
  </conditionalFormatting>
  <conditionalFormatting sqref="F53 H53 J53">
    <cfRule type="containsText" dxfId="31" priority="14" stopIfTrue="1" operator="containsText" text="超过">
      <formula>NOT(ISERROR(SEARCH("超过",F53)))</formula>
    </cfRule>
  </conditionalFormatting>
  <conditionalFormatting sqref="E52">
    <cfRule type="expression" dxfId="30" priority="13" stopIfTrue="1">
      <formula>$F$52="超过30%"</formula>
    </cfRule>
  </conditionalFormatting>
  <conditionalFormatting sqref="G54">
    <cfRule type="expression" dxfId="29" priority="12" stopIfTrue="1">
      <formula>$H$54="超过30%"</formula>
    </cfRule>
  </conditionalFormatting>
  <conditionalFormatting sqref="E53">
    <cfRule type="expression" dxfId="28" priority="11" stopIfTrue="1">
      <formula>$F$53="超过20%"</formula>
    </cfRule>
  </conditionalFormatting>
  <conditionalFormatting sqref="E54">
    <cfRule type="expression" dxfId="27" priority="10" stopIfTrue="1">
      <formula>$F$54="超过30%"</formula>
    </cfRule>
  </conditionalFormatting>
  <conditionalFormatting sqref="G52">
    <cfRule type="expression" dxfId="26" priority="9" stopIfTrue="1">
      <formula>$H$52="超过30%"</formula>
    </cfRule>
  </conditionalFormatting>
  <conditionalFormatting sqref="G53">
    <cfRule type="expression" dxfId="25" priority="8" stopIfTrue="1">
      <formula>$H$53="超过20%"</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F48">
    <cfRule type="expression" dxfId="21" priority="4">
      <formula>$D$48="简单平均"</formula>
    </cfRule>
  </conditionalFormatting>
  <conditionalFormatting sqref="H48">
    <cfRule type="expression" dxfId="20" priority="3">
      <formula>$D$48="简单平均"</formula>
    </cfRule>
  </conditionalFormatting>
  <conditionalFormatting sqref="J48">
    <cfRule type="expression" dxfId="19" priority="2">
      <formula>$D$48="简单平均"</formula>
    </cfRule>
  </conditionalFormatting>
  <conditionalFormatting sqref="F7:F46 H7:H46 J7:J46">
    <cfRule type="cellIs" dxfId="18"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85" zoomScaleNormal="60" zoomScaleSheetLayoutView="85" workbookViewId="0">
      <selection activeCell="I52" sqref="I52"/>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1461</v>
      </c>
      <c r="F2" s="1739"/>
      <c r="G2" s="3177"/>
      <c r="H2" s="3182"/>
      <c r="I2" s="3177"/>
      <c r="J2" s="3182"/>
      <c r="K2" s="320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51806</v>
      </c>
      <c r="C3" s="344" t="s">
        <v>1663</v>
      </c>
      <c r="D3" s="343">
        <f>IF(D1="",'数据-汇总表'!E3,SUMIF('数据-汇总表'!$C19:$C33,D1,'数据-汇总表'!$E19:$E33))</f>
        <v>0</v>
      </c>
      <c r="E3" s="854"/>
      <c r="F3" s="1743"/>
      <c r="G3" s="3177"/>
      <c r="H3" s="3178"/>
      <c r="I3" s="3177"/>
      <c r="J3" s="3177"/>
      <c r="K3" s="3193"/>
      <c r="L3" s="3190"/>
      <c r="M3" s="3191"/>
      <c r="N3" s="3192"/>
      <c r="O3" s="2483"/>
      <c r="P3" s="1741"/>
      <c r="Q3" s="1742"/>
      <c r="R3" s="1742"/>
      <c r="S3" s="1742"/>
      <c r="T3" s="1742"/>
      <c r="U3" s="1742"/>
      <c r="V3" s="1742"/>
      <c r="W3" s="1742"/>
      <c r="X3" s="1742"/>
      <c r="Y3" s="1742"/>
      <c r="Z3" s="1742"/>
      <c r="AA3" s="1742"/>
      <c r="AB3" s="1742"/>
      <c r="AC3" s="998"/>
    </row>
    <row r="4" spans="1:29" ht="15">
      <c r="A4" s="345" t="s">
        <v>1664</v>
      </c>
      <c r="B4" s="346"/>
      <c r="C4" s="3520" t="s">
        <v>1665</v>
      </c>
      <c r="D4" s="3521"/>
      <c r="E4" s="3522" t="s">
        <v>1666</v>
      </c>
      <c r="F4" s="3523"/>
      <c r="G4" s="3520" t="s">
        <v>1667</v>
      </c>
      <c r="H4" s="3521"/>
      <c r="I4" s="3520" t="s">
        <v>1668</v>
      </c>
      <c r="J4" s="3521"/>
      <c r="K4" s="1744" t="s">
        <v>1669</v>
      </c>
      <c r="L4" s="2484"/>
      <c r="M4" s="2485"/>
      <c r="N4" s="2485"/>
      <c r="O4" s="2485"/>
      <c r="P4" s="3524" t="s">
        <v>1670</v>
      </c>
      <c r="Q4" s="3525"/>
      <c r="R4" s="3510" t="s">
        <v>1666</v>
      </c>
      <c r="S4" s="3511"/>
      <c r="T4" s="3510" t="s">
        <v>1667</v>
      </c>
      <c r="U4" s="3511"/>
      <c r="V4" s="3494" t="s">
        <v>1668</v>
      </c>
      <c r="W4" s="3494"/>
      <c r="X4" s="1265"/>
      <c r="Y4" s="3510" t="s">
        <v>1670</v>
      </c>
      <c r="Z4" s="3511"/>
      <c r="AA4" s="3516" t="s">
        <v>1666</v>
      </c>
      <c r="AB4" s="3516" t="s">
        <v>1667</v>
      </c>
      <c r="AC4" s="3516" t="s">
        <v>1668</v>
      </c>
    </row>
    <row r="5" spans="1:29" ht="15">
      <c r="A5" s="348"/>
      <c r="B5" s="349"/>
      <c r="C5" s="3530" t="s">
        <v>1671</v>
      </c>
      <c r="D5" s="3531"/>
      <c r="E5" s="3532" t="str">
        <f>成交案例!A59</f>
        <v>建欣苑四里</v>
      </c>
      <c r="F5" s="3533"/>
      <c r="G5" s="3530" t="str">
        <f>E5</f>
        <v>建欣苑四里</v>
      </c>
      <c r="H5" s="3531"/>
      <c r="I5" s="3530" t="str">
        <f>E5</f>
        <v>建欣苑四里</v>
      </c>
      <c r="J5" s="3531"/>
      <c r="K5" s="1745"/>
      <c r="L5" s="2484"/>
      <c r="M5" s="2485"/>
      <c r="N5" s="2485"/>
      <c r="O5" s="2485"/>
      <c r="P5" s="3526"/>
      <c r="Q5" s="3527"/>
      <c r="R5" s="3512"/>
      <c r="S5" s="3513"/>
      <c r="T5" s="3512"/>
      <c r="U5" s="3513"/>
      <c r="V5" s="3494"/>
      <c r="W5" s="3494"/>
      <c r="X5" s="1265"/>
      <c r="Y5" s="3512"/>
      <c r="Z5" s="3513"/>
      <c r="AA5" s="3517"/>
      <c r="AB5" s="3517"/>
      <c r="AC5" s="3517"/>
    </row>
    <row r="6" spans="1:29" ht="15.75" thickBot="1">
      <c r="A6" s="350"/>
      <c r="B6" s="351"/>
      <c r="C6" s="3534" t="s">
        <v>1675</v>
      </c>
      <c r="D6" s="3535"/>
      <c r="E6" s="3538" t="s">
        <v>3602</v>
      </c>
      <c r="F6" s="3537"/>
      <c r="G6" s="3534" t="str">
        <f>E6</f>
        <v>丰台区大红门春泽路</v>
      </c>
      <c r="H6" s="3535"/>
      <c r="I6" s="3534" t="str">
        <f>E6</f>
        <v>丰台区大红门春泽路</v>
      </c>
      <c r="J6" s="3535"/>
      <c r="K6" s="1745" t="s">
        <v>1676</v>
      </c>
      <c r="L6" s="2484"/>
      <c r="M6" s="2485"/>
      <c r="N6" s="2485"/>
      <c r="O6" s="2485"/>
      <c r="P6" s="3528"/>
      <c r="Q6" s="3529"/>
      <c r="R6" s="3512"/>
      <c r="S6" s="3513"/>
      <c r="T6" s="3514"/>
      <c r="U6" s="3515"/>
      <c r="V6" s="3494"/>
      <c r="W6" s="3494"/>
      <c r="X6" s="1265"/>
      <c r="Y6" s="3514"/>
      <c r="Z6" s="3515"/>
      <c r="AA6" s="3518"/>
      <c r="AB6" s="3518"/>
      <c r="AC6" s="3518"/>
    </row>
    <row r="7" spans="1:29" s="102" customFormat="1" ht="15.75" thickBot="1">
      <c r="A7" s="352" t="s">
        <v>1677</v>
      </c>
      <c r="B7" s="353"/>
      <c r="C7" s="354">
        <f>'数据-取费表'!B2</f>
        <v>45221</v>
      </c>
      <c r="D7" s="355">
        <v>100</v>
      </c>
      <c r="E7" s="356">
        <f>成交案例!G76</f>
        <v>45150</v>
      </c>
      <c r="F7" s="357">
        <f>SUMIF(58:58,YEAR(E7)&amp;"-"&amp;MONTH(E7),59:59)</f>
        <v>99.206299999999999</v>
      </c>
      <c r="G7" s="356">
        <f>成交案例!G84</f>
        <v>45010</v>
      </c>
      <c r="H7" s="355">
        <f>SUMIF(58:58,YEAR(G7)&amp;"-"&amp;MONTH(G7),59:59)</f>
        <v>101.0189</v>
      </c>
      <c r="I7" s="356">
        <f>成交案例!G85</f>
        <v>45001</v>
      </c>
      <c r="J7" s="355">
        <f>SUMIF(58:58,YEAR(I7)&amp;"-"&amp;MONTH(I7),59:59)</f>
        <v>101.0189</v>
      </c>
      <c r="K7" s="1746"/>
      <c r="L7" s="2486"/>
      <c r="M7" s="2437"/>
      <c r="N7" s="2437"/>
      <c r="O7" s="2437"/>
      <c r="P7" s="3507" t="s">
        <v>1678</v>
      </c>
      <c r="Q7" s="3519"/>
      <c r="R7" s="664" t="s">
        <v>20</v>
      </c>
      <c r="S7" s="665">
        <f t="shared" ref="S7:S15" si="0">F7</f>
        <v>99.206299999999999</v>
      </c>
      <c r="T7" s="664" t="s">
        <v>20</v>
      </c>
      <c r="U7" s="665">
        <f t="shared" ref="U7:U15" si="1">H7</f>
        <v>101.0189</v>
      </c>
      <c r="V7" s="664" t="s">
        <v>20</v>
      </c>
      <c r="W7" s="665">
        <f t="shared" ref="W7:W15" si="2">J7</f>
        <v>101.0189</v>
      </c>
      <c r="X7" s="666"/>
      <c r="Y7" s="3507" t="s">
        <v>1678</v>
      </c>
      <c r="Z7" s="3508"/>
      <c r="AA7" s="50">
        <f>D7/F7</f>
        <v>1.0080004999682479</v>
      </c>
      <c r="AB7" s="50">
        <f>D7/H7</f>
        <v>0.98991376861161617</v>
      </c>
      <c r="AC7" s="50">
        <f>D7/J7</f>
        <v>0.98991376861161617</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07" t="s">
        <v>1681</v>
      </c>
      <c r="Q8" s="3508"/>
      <c r="R8" s="664" t="s">
        <v>20</v>
      </c>
      <c r="S8" s="665">
        <f t="shared" si="0"/>
        <v>100</v>
      </c>
      <c r="T8" s="664" t="s">
        <v>20</v>
      </c>
      <c r="U8" s="665">
        <f t="shared" si="1"/>
        <v>100</v>
      </c>
      <c r="V8" s="664" t="s">
        <v>20</v>
      </c>
      <c r="W8" s="665">
        <f t="shared" si="2"/>
        <v>100</v>
      </c>
      <c r="X8" s="666"/>
      <c r="Y8" s="3507" t="s">
        <v>1681</v>
      </c>
      <c r="Z8" s="3508"/>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09" t="s">
        <v>1684</v>
      </c>
      <c r="Q9" s="530" t="str">
        <f t="shared" ref="Q9:Q15" si="6">B9</f>
        <v>用途</v>
      </c>
      <c r="R9" s="664" t="s">
        <v>14</v>
      </c>
      <c r="S9" s="665">
        <f t="shared" si="0"/>
        <v>100</v>
      </c>
      <c r="T9" s="664" t="s">
        <v>14</v>
      </c>
      <c r="U9" s="665">
        <f t="shared" si="1"/>
        <v>100</v>
      </c>
      <c r="V9" s="664" t="s">
        <v>14</v>
      </c>
      <c r="W9" s="665">
        <f t="shared" si="2"/>
        <v>100</v>
      </c>
      <c r="X9" s="666"/>
      <c r="Y9" s="337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09"/>
      <c r="Q10" s="530" t="str">
        <f t="shared" si="6"/>
        <v>土地使用年限（年）</v>
      </c>
      <c r="R10" s="664" t="s">
        <v>14</v>
      </c>
      <c r="S10" s="665">
        <f t="shared" si="0"/>
        <v>100</v>
      </c>
      <c r="T10" s="664" t="s">
        <v>14</v>
      </c>
      <c r="U10" s="665">
        <f t="shared" si="1"/>
        <v>100</v>
      </c>
      <c r="V10" s="664" t="s">
        <v>14</v>
      </c>
      <c r="W10" s="665">
        <f t="shared" si="2"/>
        <v>100</v>
      </c>
      <c r="X10" s="666"/>
      <c r="Y10" s="337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09"/>
      <c r="Q11" s="530" t="str">
        <f t="shared" si="6"/>
        <v>容积率</v>
      </c>
      <c r="R11" s="664" t="s">
        <v>18</v>
      </c>
      <c r="S11" s="665">
        <f t="shared" si="0"/>
        <v>100</v>
      </c>
      <c r="T11" s="664" t="s">
        <v>18</v>
      </c>
      <c r="U11" s="665">
        <f t="shared" si="1"/>
        <v>100</v>
      </c>
      <c r="V11" s="664" t="s">
        <v>18</v>
      </c>
      <c r="W11" s="665">
        <f t="shared" si="2"/>
        <v>100</v>
      </c>
      <c r="X11" s="666"/>
      <c r="Y11" s="3371"/>
      <c r="Z11" s="50" t="str">
        <f t="shared" si="7"/>
        <v>容积率</v>
      </c>
      <c r="AA11" s="50">
        <f t="shared" si="3"/>
        <v>1</v>
      </c>
      <c r="AB11" s="50">
        <f t="shared" si="4"/>
        <v>1</v>
      </c>
      <c r="AC11" s="50">
        <f t="shared" si="5"/>
        <v>1</v>
      </c>
    </row>
    <row r="12" spans="1:29" s="102" customFormat="1" ht="15">
      <c r="A12" s="370"/>
      <c r="B12" s="3148" t="s">
        <v>3464</v>
      </c>
      <c r="C12" s="3168" t="s">
        <v>3445</v>
      </c>
      <c r="D12" s="372">
        <v>100</v>
      </c>
      <c r="E12" s="3168" t="s">
        <v>3445</v>
      </c>
      <c r="F12" s="364">
        <f>SUMIF(70:70,E12,71:71)-SUMIF(70:70,C12,71:71)+100</f>
        <v>100</v>
      </c>
      <c r="G12" s="3168" t="s">
        <v>3445</v>
      </c>
      <c r="H12" s="119">
        <f>SUMIF(70:70,G12,71:71)-SUMIF(70:70,C12,71:71)+100</f>
        <v>100</v>
      </c>
      <c r="I12" s="3168" t="s">
        <v>3445</v>
      </c>
      <c r="J12" s="119">
        <f>SUMIF(70:70,I12,71:71)-SUMIF(70:70,C12,71:71)+100</f>
        <v>100</v>
      </c>
      <c r="K12" s="1748"/>
      <c r="L12" s="2486"/>
      <c r="M12" s="2437"/>
      <c r="N12" s="2437"/>
      <c r="O12" s="2437"/>
      <c r="P12" s="3509"/>
      <c r="Q12" s="530" t="str">
        <f t="shared" si="6"/>
        <v>产权性质</v>
      </c>
      <c r="R12" s="664" t="s">
        <v>18</v>
      </c>
      <c r="S12" s="665">
        <f t="shared" si="0"/>
        <v>100</v>
      </c>
      <c r="T12" s="664" t="s">
        <v>18</v>
      </c>
      <c r="U12" s="665">
        <f t="shared" si="1"/>
        <v>100</v>
      </c>
      <c r="V12" s="664" t="s">
        <v>18</v>
      </c>
      <c r="W12" s="665">
        <f t="shared" si="2"/>
        <v>100</v>
      </c>
      <c r="X12" s="666"/>
      <c r="Y12" s="3371"/>
      <c r="Z12" s="50" t="str">
        <f t="shared" si="7"/>
        <v>产权性质</v>
      </c>
      <c r="AA12" s="50">
        <f>D12/F12</f>
        <v>1</v>
      </c>
      <c r="AB12" s="50">
        <f>D12/H12</f>
        <v>1</v>
      </c>
      <c r="AC12" s="50">
        <f>D12/J12</f>
        <v>1</v>
      </c>
    </row>
    <row r="13" spans="1:29" ht="15">
      <c r="A13" s="367"/>
      <c r="B13" s="3148" t="s">
        <v>3462</v>
      </c>
      <c r="C13" s="3174" t="s">
        <v>3463</v>
      </c>
      <c r="D13" s="374">
        <v>100</v>
      </c>
      <c r="E13" s="3174" t="s">
        <v>3463</v>
      </c>
      <c r="F13" s="364">
        <f>SUMIF(72:72,E13,73:73)-SUMIF(72:72,C13,73:73)+100</f>
        <v>100</v>
      </c>
      <c r="G13" s="3174" t="s">
        <v>3463</v>
      </c>
      <c r="H13" s="374">
        <f>SUMIF(72:72,G13,73:73)-SUMIF(72:72,C13,73:73)+100</f>
        <v>100</v>
      </c>
      <c r="I13" s="3174" t="s">
        <v>3463</v>
      </c>
      <c r="J13" s="374">
        <f>SUMIF(72:72,I13,73:73)-SUMIF(72:72,C13,73:73)+100</f>
        <v>100</v>
      </c>
      <c r="K13" s="1748"/>
      <c r="L13" s="2490"/>
      <c r="M13" s="2485"/>
      <c r="N13" s="2485"/>
      <c r="O13" s="2485"/>
      <c r="P13" s="3509"/>
      <c r="Q13" s="530" t="str">
        <f t="shared" si="6"/>
        <v>其他权利情况</v>
      </c>
      <c r="R13" s="664" t="s">
        <v>18</v>
      </c>
      <c r="S13" s="665">
        <f t="shared" si="0"/>
        <v>100</v>
      </c>
      <c r="T13" s="664" t="s">
        <v>18</v>
      </c>
      <c r="U13" s="665">
        <f t="shared" si="1"/>
        <v>100</v>
      </c>
      <c r="V13" s="664" t="s">
        <v>18</v>
      </c>
      <c r="W13" s="665">
        <f t="shared" si="2"/>
        <v>100</v>
      </c>
      <c r="X13" s="666"/>
      <c r="Y13" s="3371"/>
      <c r="Z13" s="50" t="str">
        <f t="shared" si="7"/>
        <v>其他权利情况</v>
      </c>
      <c r="AA13" s="50">
        <f t="shared" si="3"/>
        <v>1</v>
      </c>
      <c r="AB13" s="50">
        <f t="shared" si="4"/>
        <v>1</v>
      </c>
      <c r="AC13" s="50">
        <f t="shared" si="5"/>
        <v>1</v>
      </c>
    </row>
    <row r="14" spans="1:29" ht="15.75" thickBot="1">
      <c r="A14" s="375"/>
      <c r="B14" s="3175" t="s">
        <v>3472</v>
      </c>
      <c r="C14" s="376"/>
      <c r="D14" s="377">
        <v>100</v>
      </c>
      <c r="E14" s="376">
        <f>成交案例!P76</f>
        <v>1999</v>
      </c>
      <c r="F14" s="378">
        <f>SUMIF(74:74,E14,75:75)-SUMIF(74:74,C14,75:75)+100</f>
        <v>100</v>
      </c>
      <c r="G14" s="376">
        <f>成交案例!P84</f>
        <v>1999</v>
      </c>
      <c r="H14" s="377">
        <f>SUMIF(74:74,G14,75:75)-SUMIF(74:74,C14,75:75)+100</f>
        <v>100</v>
      </c>
      <c r="I14" s="376">
        <f>成交案例!P85</f>
        <v>1998</v>
      </c>
      <c r="J14" s="377">
        <f>SUMIF(74:74,I14,75:75)-SUMIF(74:74,C14,75:75)+100</f>
        <v>100</v>
      </c>
      <c r="K14" s="1748"/>
      <c r="L14" s="2490"/>
      <c r="M14" s="2485"/>
      <c r="N14" s="2485"/>
      <c r="O14" s="2485"/>
      <c r="P14" s="3509"/>
      <c r="Q14" s="530" t="str">
        <f t="shared" si="6"/>
        <v>建成年代</v>
      </c>
      <c r="R14" s="664" t="s">
        <v>18</v>
      </c>
      <c r="S14" s="665">
        <f t="shared" si="0"/>
        <v>100</v>
      </c>
      <c r="T14" s="664" t="s">
        <v>18</v>
      </c>
      <c r="U14" s="665">
        <f t="shared" si="1"/>
        <v>100</v>
      </c>
      <c r="V14" s="664" t="s">
        <v>18</v>
      </c>
      <c r="W14" s="665">
        <f t="shared" si="2"/>
        <v>100</v>
      </c>
      <c r="X14" s="666"/>
      <c r="Y14" s="3371"/>
      <c r="Z14" s="50" t="str">
        <f t="shared" si="7"/>
        <v>建成年代</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98" t="s">
        <v>1689</v>
      </c>
      <c r="Q15" s="1263" t="str">
        <f t="shared" si="6"/>
        <v>居住社区成熟度</v>
      </c>
      <c r="R15" s="667" t="s">
        <v>18</v>
      </c>
      <c r="S15" s="668">
        <f t="shared" si="0"/>
        <v>100</v>
      </c>
      <c r="T15" s="667" t="s">
        <v>18</v>
      </c>
      <c r="U15" s="668">
        <f t="shared" si="1"/>
        <v>100</v>
      </c>
      <c r="V15" s="667" t="s">
        <v>18</v>
      </c>
      <c r="W15" s="668">
        <f t="shared" si="2"/>
        <v>100</v>
      </c>
      <c r="X15" s="1265"/>
      <c r="Y15" s="3500"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99"/>
      <c r="Q16" s="1263"/>
      <c r="R16" s="667"/>
      <c r="S16" s="668"/>
      <c r="T16" s="667"/>
      <c r="U16" s="668"/>
      <c r="V16" s="667"/>
      <c r="W16" s="668"/>
      <c r="X16" s="1265"/>
      <c r="Y16" s="3501"/>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99"/>
      <c r="Q17" s="1263" t="str">
        <f>B17</f>
        <v>交通便捷度</v>
      </c>
      <c r="R17" s="667" t="s">
        <v>18</v>
      </c>
      <c r="S17" s="668">
        <f>F17</f>
        <v>100</v>
      </c>
      <c r="T17" s="667" t="s">
        <v>18</v>
      </c>
      <c r="U17" s="668">
        <f>H17</f>
        <v>100</v>
      </c>
      <c r="V17" s="667" t="s">
        <v>18</v>
      </c>
      <c r="W17" s="668">
        <f>J17</f>
        <v>100</v>
      </c>
      <c r="X17" s="1265"/>
      <c r="Y17" s="350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99"/>
      <c r="Q18" s="1263"/>
      <c r="R18" s="667"/>
      <c r="S18" s="668"/>
      <c r="T18" s="667"/>
      <c r="U18" s="668"/>
      <c r="V18" s="667"/>
      <c r="W18" s="668"/>
      <c r="X18" s="1265"/>
      <c r="Y18" s="3501"/>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99"/>
      <c r="Q19" s="1263" t="str">
        <f>B19</f>
        <v>公共配套设施</v>
      </c>
      <c r="R19" s="667" t="s">
        <v>18</v>
      </c>
      <c r="S19" s="668">
        <f>F19</f>
        <v>100</v>
      </c>
      <c r="T19" s="667" t="s">
        <v>18</v>
      </c>
      <c r="U19" s="668">
        <f>H19</f>
        <v>100</v>
      </c>
      <c r="V19" s="667" t="s">
        <v>18</v>
      </c>
      <c r="W19" s="668">
        <f>J19</f>
        <v>100</v>
      </c>
      <c r="X19" s="1265"/>
      <c r="Y19" s="350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99"/>
      <c r="Q20" s="1263"/>
      <c r="R20" s="667"/>
      <c r="S20" s="668"/>
      <c r="T20" s="667"/>
      <c r="U20" s="668"/>
      <c r="V20" s="667"/>
      <c r="W20" s="668"/>
      <c r="X20" s="1265"/>
      <c r="Y20" s="3501"/>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99"/>
      <c r="Q21" s="1263" t="str">
        <f>B21</f>
        <v>基础设施水平</v>
      </c>
      <c r="R21" s="667" t="s">
        <v>14</v>
      </c>
      <c r="S21" s="668">
        <f>F21</f>
        <v>100</v>
      </c>
      <c r="T21" s="667" t="s">
        <v>14</v>
      </c>
      <c r="U21" s="668">
        <f>H21</f>
        <v>100</v>
      </c>
      <c r="V21" s="667" t="s">
        <v>14</v>
      </c>
      <c r="W21" s="668">
        <f>J21</f>
        <v>100</v>
      </c>
      <c r="X21" s="1265"/>
      <c r="Y21" s="350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99"/>
      <c r="Q22" s="1263"/>
      <c r="R22" s="667"/>
      <c r="S22" s="668"/>
      <c r="T22" s="667"/>
      <c r="U22" s="668"/>
      <c r="V22" s="667"/>
      <c r="W22" s="668"/>
      <c r="X22" s="1265"/>
      <c r="Y22" s="3501"/>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99"/>
      <c r="Q23" s="1263" t="str">
        <f>B23</f>
        <v>自然及人文环境</v>
      </c>
      <c r="R23" s="667" t="s">
        <v>18</v>
      </c>
      <c r="S23" s="668">
        <f>F23</f>
        <v>100</v>
      </c>
      <c r="T23" s="667" t="s">
        <v>18</v>
      </c>
      <c r="U23" s="668">
        <f>H23</f>
        <v>100</v>
      </c>
      <c r="V23" s="667" t="s">
        <v>18</v>
      </c>
      <c r="W23" s="668">
        <f>J23</f>
        <v>100</v>
      </c>
      <c r="X23" s="1265"/>
      <c r="Y23" s="350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99"/>
      <c r="Q24" s="1263"/>
      <c r="R24" s="667"/>
      <c r="S24" s="668"/>
      <c r="T24" s="667"/>
      <c r="U24" s="668"/>
      <c r="V24" s="667"/>
      <c r="W24" s="668"/>
      <c r="X24" s="1265"/>
      <c r="Y24" s="3501"/>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85"/>
      <c r="M25" s="2485"/>
      <c r="N25" s="2485"/>
      <c r="O25" s="2485"/>
      <c r="P25" s="349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01"/>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3389</v>
      </c>
      <c r="F26" s="374">
        <f>SUMIF(88:88,E26,89:89)-SUMIF(88:88,C26,89:89)+100</f>
        <v>102</v>
      </c>
      <c r="G26" s="399" t="s">
        <v>3389</v>
      </c>
      <c r="H26" s="374">
        <f>SUMIF(88:88,G26,89:89)-SUMIF(88:88,C26,89:89)+100</f>
        <v>102</v>
      </c>
      <c r="I26" s="399" t="s">
        <v>3394</v>
      </c>
      <c r="J26" s="374">
        <f>SUMIF(88:88,I26,89:89)-SUMIF(88:88,C26,89:89)+100</f>
        <v>100</v>
      </c>
      <c r="K26" s="365">
        <f>'比较法-住宅（标准房屋）'!K26</f>
        <v>0.5</v>
      </c>
      <c r="L26" s="2485"/>
      <c r="M26" s="2485"/>
      <c r="N26" s="2485"/>
      <c r="O26" s="2485"/>
      <c r="P26" s="3499"/>
      <c r="Q26" s="1263" t="str">
        <f t="shared" si="11"/>
        <v>朝向</v>
      </c>
      <c r="R26" s="667" t="s">
        <v>18</v>
      </c>
      <c r="S26" s="668">
        <f t="shared" si="12"/>
        <v>102</v>
      </c>
      <c r="T26" s="667" t="s">
        <v>18</v>
      </c>
      <c r="U26" s="668">
        <f t="shared" si="13"/>
        <v>102</v>
      </c>
      <c r="V26" s="667" t="s">
        <v>18</v>
      </c>
      <c r="W26" s="668">
        <f t="shared" si="14"/>
        <v>100</v>
      </c>
      <c r="X26" s="1265"/>
      <c r="Y26" s="3501"/>
      <c r="Z26" s="1264" t="str">
        <f>Q26</f>
        <v>朝向</v>
      </c>
      <c r="AA26" s="1264">
        <f t="shared" si="15"/>
        <v>0.98039215686274506</v>
      </c>
      <c r="AB26" s="1264">
        <f t="shared" si="16"/>
        <v>0.98039215686274506</v>
      </c>
      <c r="AC26" s="1264">
        <f t="shared" si="17"/>
        <v>1</v>
      </c>
    </row>
    <row r="27" spans="1:29" s="102" customFormat="1" ht="15">
      <c r="A27" s="370"/>
      <c r="B27" s="3179" t="s">
        <v>3450</v>
      </c>
      <c r="C27" s="3180" t="s">
        <v>3440</v>
      </c>
      <c r="D27" s="401">
        <v>100</v>
      </c>
      <c r="E27" s="3637" t="str">
        <f>成交案例!J76</f>
        <v>中层</v>
      </c>
      <c r="F27" s="401">
        <f>SUMIF(90:90,E27,91:91)-SUMIF(90:90,C27,91:91)+100</f>
        <v>101.5</v>
      </c>
      <c r="G27" s="3637" t="str">
        <f>成交案例!J84</f>
        <v>顶层</v>
      </c>
      <c r="H27" s="401">
        <f>SUMIF(90:90,G27,91:91)-SUMIF(90:90,C27,91:91)+100</f>
        <v>97</v>
      </c>
      <c r="I27" s="3637" t="str">
        <f>成交案例!J85</f>
        <v>中层</v>
      </c>
      <c r="J27" s="401">
        <f>SUMIF(90:90,I27,91:91)-SUMIF(90:90,C27,91:91)+100</f>
        <v>101.5</v>
      </c>
      <c r="K27" s="1748"/>
      <c r="L27" s="2485"/>
      <c r="M27" s="2485"/>
      <c r="N27" s="2485"/>
      <c r="O27" s="2437"/>
      <c r="P27" s="3499"/>
      <c r="Q27" s="530" t="str">
        <f t="shared" si="11"/>
        <v>楼层</v>
      </c>
      <c r="R27" s="664" t="s">
        <v>18</v>
      </c>
      <c r="S27" s="665">
        <f t="shared" si="12"/>
        <v>101.5</v>
      </c>
      <c r="T27" s="664" t="s">
        <v>18</v>
      </c>
      <c r="U27" s="665">
        <f t="shared" si="13"/>
        <v>97</v>
      </c>
      <c r="V27" s="664" t="s">
        <v>18</v>
      </c>
      <c r="W27" s="665">
        <f t="shared" si="14"/>
        <v>101.5</v>
      </c>
      <c r="X27" s="666"/>
      <c r="Y27" s="3501"/>
      <c r="Z27" s="50" t="str">
        <f>Q27</f>
        <v>楼层</v>
      </c>
      <c r="AA27" s="1264">
        <f t="shared" si="15"/>
        <v>0.98522167487684731</v>
      </c>
      <c r="AB27" s="1264">
        <f t="shared" si="16"/>
        <v>1.0309278350515463</v>
      </c>
      <c r="AC27" s="1264">
        <f t="shared" si="17"/>
        <v>0.98522167487684731</v>
      </c>
    </row>
    <row r="28" spans="1:29" ht="15">
      <c r="A28" s="367"/>
      <c r="B28" s="3145"/>
      <c r="C28" s="373"/>
      <c r="D28" s="374">
        <v>100</v>
      </c>
      <c r="E28" s="3634" t="str">
        <f>成交案例!L76</f>
        <v>南北</v>
      </c>
      <c r="F28" s="374">
        <f>SUMIF(92:92,E28,93:93)-SUMIF(92:92,C28,93:93)+100</f>
        <v>100</v>
      </c>
      <c r="G28" s="3635" t="str">
        <f>成交案例!L84</f>
        <v>南北</v>
      </c>
      <c r="H28" s="374">
        <f>SUMIF(92:92,G28,93:93)-SUMIF(92:92,C28,93:93)+100</f>
        <v>100</v>
      </c>
      <c r="I28" s="3634" t="str">
        <f>成交案例!L85</f>
        <v>东西</v>
      </c>
      <c r="J28" s="374">
        <f>SUMIF(92:92,I28,93:93)-SUMIF(92:92,C28,93:93)+100</f>
        <v>100</v>
      </c>
      <c r="K28" s="1748"/>
      <c r="L28" s="2485"/>
      <c r="M28" s="2485"/>
      <c r="N28" s="2485"/>
      <c r="O28" s="2485"/>
      <c r="P28" s="3499"/>
      <c r="Q28" s="1263">
        <f t="shared" si="11"/>
        <v>0</v>
      </c>
      <c r="R28" s="667" t="s">
        <v>18</v>
      </c>
      <c r="S28" s="668">
        <f t="shared" si="12"/>
        <v>100</v>
      </c>
      <c r="T28" s="667" t="s">
        <v>18</v>
      </c>
      <c r="U28" s="668">
        <f t="shared" si="13"/>
        <v>100</v>
      </c>
      <c r="V28" s="667" t="s">
        <v>18</v>
      </c>
      <c r="W28" s="668">
        <f t="shared" si="14"/>
        <v>100</v>
      </c>
      <c r="X28" s="1265"/>
      <c r="Y28" s="3501"/>
      <c r="Z28" s="1264">
        <f t="shared" ref="Z28:Z46" si="18">Q28</f>
        <v>0</v>
      </c>
      <c r="AA28" s="1264">
        <f t="shared" si="15"/>
        <v>1</v>
      </c>
      <c r="AB28" s="1264">
        <f t="shared" si="16"/>
        <v>1</v>
      </c>
      <c r="AC28" s="1264">
        <f t="shared" si="17"/>
        <v>1</v>
      </c>
    </row>
    <row r="29" spans="1:29" ht="15">
      <c r="A29" s="367"/>
      <c r="B29" s="3145"/>
      <c r="C29" s="373"/>
      <c r="D29" s="374">
        <v>100</v>
      </c>
      <c r="E29" s="3634" t="str">
        <f>成交案例!N76</f>
        <v>简装</v>
      </c>
      <c r="F29" s="374">
        <f>SUMIF(94:94,E29,95:95)-SUMIF(94:94,C29,95:95)+100</f>
        <v>100</v>
      </c>
      <c r="G29" s="3635" t="str">
        <f>成交案例!N84</f>
        <v>精装</v>
      </c>
      <c r="H29" s="374">
        <f>SUMIF(94:94,G29,95:95)-SUMIF(94:94,C29,95:95)+100</f>
        <v>100</v>
      </c>
      <c r="I29" s="3634" t="str">
        <f>成交案例!N85</f>
        <v>精装</v>
      </c>
      <c r="J29" s="374">
        <f>SUMIF(94:94,I29,95:95)-SUMIF(94:94,C29,95:95)+100</f>
        <v>100</v>
      </c>
      <c r="K29" s="1748"/>
      <c r="L29" s="2485"/>
      <c r="M29" s="2485"/>
      <c r="N29" s="2485"/>
      <c r="O29" s="2485"/>
      <c r="P29" s="3499"/>
      <c r="Q29" s="1263">
        <f t="shared" si="11"/>
        <v>0</v>
      </c>
      <c r="R29" s="667" t="s">
        <v>18</v>
      </c>
      <c r="S29" s="668">
        <f t="shared" si="12"/>
        <v>100</v>
      </c>
      <c r="T29" s="667" t="s">
        <v>18</v>
      </c>
      <c r="U29" s="668">
        <f t="shared" si="13"/>
        <v>100</v>
      </c>
      <c r="V29" s="667" t="s">
        <v>18</v>
      </c>
      <c r="W29" s="668">
        <f t="shared" si="14"/>
        <v>100</v>
      </c>
      <c r="X29" s="1265"/>
      <c r="Y29" s="3501"/>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5"/>
      <c r="M30" s="2485"/>
      <c r="N30" s="2485"/>
      <c r="O30" s="2485"/>
      <c r="P30" s="3499"/>
      <c r="Q30" s="1263">
        <f t="shared" si="11"/>
        <v>0</v>
      </c>
      <c r="R30" s="667" t="s">
        <v>18</v>
      </c>
      <c r="S30" s="668">
        <f t="shared" si="12"/>
        <v>100</v>
      </c>
      <c r="T30" s="667" t="s">
        <v>18</v>
      </c>
      <c r="U30" s="668">
        <f t="shared" si="13"/>
        <v>100</v>
      </c>
      <c r="V30" s="667" t="s">
        <v>18</v>
      </c>
      <c r="W30" s="668">
        <f t="shared" si="14"/>
        <v>100</v>
      </c>
      <c r="X30" s="1265"/>
      <c r="Y30" s="3501"/>
      <c r="Z30" s="1264">
        <f t="shared" si="18"/>
        <v>0</v>
      </c>
      <c r="AA30" s="1264">
        <f t="shared" si="15"/>
        <v>1</v>
      </c>
      <c r="AB30" s="1264">
        <f t="shared" si="16"/>
        <v>1</v>
      </c>
      <c r="AC30" s="1264">
        <f t="shared" si="17"/>
        <v>1</v>
      </c>
    </row>
    <row r="31" spans="1:29" ht="15.75" thickBot="1">
      <c r="A31" s="375"/>
      <c r="B31" s="1066"/>
      <c r="C31" s="376"/>
      <c r="D31" s="377">
        <v>100</v>
      </c>
      <c r="E31" s="376"/>
      <c r="F31" s="377">
        <f>SUMIF(98:98,E31,99:99)-SUMIF(98:98,C31,99:99)+100</f>
        <v>100</v>
      </c>
      <c r="G31" s="1763"/>
      <c r="H31" s="377">
        <f>SUMIF(98:98,G31,99:99)-SUMIF(98:98,C31,99:99)+100</f>
        <v>100</v>
      </c>
      <c r="I31" s="1763"/>
      <c r="J31" s="377">
        <f>SUMIF(98:98,I31,99:99)-SUMIF(98:98,C31,99:99)+100</f>
        <v>100</v>
      </c>
      <c r="K31" s="1748"/>
      <c r="L31" s="2485"/>
      <c r="M31" s="2485"/>
      <c r="N31" s="2485"/>
      <c r="O31" s="2485"/>
      <c r="P31" s="3499"/>
      <c r="Q31" s="1263">
        <f t="shared" si="11"/>
        <v>0</v>
      </c>
      <c r="R31" s="667" t="s">
        <v>18</v>
      </c>
      <c r="S31" s="668">
        <f t="shared" si="12"/>
        <v>100</v>
      </c>
      <c r="T31" s="667" t="s">
        <v>18</v>
      </c>
      <c r="U31" s="668">
        <f t="shared" si="13"/>
        <v>100</v>
      </c>
      <c r="V31" s="667" t="s">
        <v>18</v>
      </c>
      <c r="W31" s="668">
        <f t="shared" si="14"/>
        <v>100</v>
      </c>
      <c r="X31" s="1265"/>
      <c r="Y31" s="3501"/>
      <c r="Z31" s="1264">
        <f t="shared" si="18"/>
        <v>0</v>
      </c>
      <c r="AA31" s="1264">
        <f t="shared" si="15"/>
        <v>1</v>
      </c>
      <c r="AB31" s="1264">
        <f t="shared" si="16"/>
        <v>1</v>
      </c>
      <c r="AC31" s="1264">
        <f t="shared" si="17"/>
        <v>1</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85"/>
      <c r="M32" s="2485"/>
      <c r="N32" s="2485"/>
      <c r="O32" s="2485"/>
      <c r="P32" s="3502" t="s">
        <v>1694</v>
      </c>
      <c r="Q32" s="1263" t="str">
        <f t="shared" si="11"/>
        <v>建筑类型</v>
      </c>
      <c r="R32" s="667" t="s">
        <v>18</v>
      </c>
      <c r="S32" s="668">
        <f t="shared" si="12"/>
        <v>100</v>
      </c>
      <c r="T32" s="667" t="s">
        <v>18</v>
      </c>
      <c r="U32" s="668">
        <f t="shared" si="13"/>
        <v>100</v>
      </c>
      <c r="V32" s="667" t="s">
        <v>18</v>
      </c>
      <c r="W32" s="668">
        <f t="shared" si="14"/>
        <v>100</v>
      </c>
      <c r="X32" s="1265"/>
      <c r="Y32" s="350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f>成交案例!B76</f>
        <v>59.15</v>
      </c>
      <c r="F33" s="364">
        <f>LOOKUP(E33,103:103,104:104)-LOOKUP(C33,103:103,104:104)+100</f>
        <v>100</v>
      </c>
      <c r="G33" s="368">
        <f>成交案例!B84</f>
        <v>63.77</v>
      </c>
      <c r="H33" s="119">
        <f>LOOKUP(G33,103:103,104:104)-LOOKUP(C33,103:103,104:104)+100</f>
        <v>100</v>
      </c>
      <c r="I33" s="369">
        <f>成交案例!B85</f>
        <v>47.2</v>
      </c>
      <c r="J33" s="119">
        <f>LOOKUP(I33,103:103,104:104)-LOOKUP(C33,103:103,104:104)+100</f>
        <v>100</v>
      </c>
      <c r="K33" s="1748"/>
      <c r="L33" s="2485"/>
      <c r="M33" s="2485"/>
      <c r="N33" s="2485"/>
      <c r="O33" s="2491"/>
      <c r="P33" s="3503"/>
      <c r="Q33" s="531" t="str">
        <f t="shared" si="11"/>
        <v>项目建筑规模</v>
      </c>
      <c r="R33" s="669" t="s">
        <v>18</v>
      </c>
      <c r="S33" s="670">
        <f t="shared" si="12"/>
        <v>100</v>
      </c>
      <c r="T33" s="669" t="s">
        <v>18</v>
      </c>
      <c r="U33" s="670">
        <f t="shared" si="13"/>
        <v>100</v>
      </c>
      <c r="V33" s="669" t="s">
        <v>18</v>
      </c>
      <c r="W33" s="670">
        <f t="shared" si="14"/>
        <v>100</v>
      </c>
      <c r="X33" s="671"/>
      <c r="Y33" s="3505"/>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85"/>
      <c r="M34" s="2485"/>
      <c r="N34" s="2485"/>
      <c r="O34" s="2485"/>
      <c r="P34" s="3503"/>
      <c r="Q34" s="1263" t="str">
        <f t="shared" si="11"/>
        <v>建筑结构</v>
      </c>
      <c r="R34" s="667" t="s">
        <v>18</v>
      </c>
      <c r="S34" s="668">
        <f t="shared" si="12"/>
        <v>100</v>
      </c>
      <c r="T34" s="667" t="s">
        <v>18</v>
      </c>
      <c r="U34" s="668">
        <f t="shared" si="13"/>
        <v>100</v>
      </c>
      <c r="V34" s="667" t="s">
        <v>18</v>
      </c>
      <c r="W34" s="668">
        <f t="shared" si="14"/>
        <v>100</v>
      </c>
      <c r="X34" s="1265"/>
      <c r="Y34" s="3505"/>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85"/>
      <c r="M35" s="2485"/>
      <c r="N35" s="2485"/>
      <c r="O35" s="2485"/>
      <c r="P35" s="3503"/>
      <c r="Q35" s="1263" t="str">
        <f t="shared" si="11"/>
        <v>建筑品质</v>
      </c>
      <c r="R35" s="667" t="s">
        <v>18</v>
      </c>
      <c r="S35" s="668">
        <f t="shared" si="12"/>
        <v>100</v>
      </c>
      <c r="T35" s="667" t="s">
        <v>18</v>
      </c>
      <c r="U35" s="668">
        <f t="shared" si="13"/>
        <v>100</v>
      </c>
      <c r="V35" s="667" t="s">
        <v>18</v>
      </c>
      <c r="W35" s="668">
        <f t="shared" si="14"/>
        <v>100</v>
      </c>
      <c r="X35" s="1265"/>
      <c r="Y35" s="3505"/>
      <c r="Z35" s="1264" t="str">
        <f t="shared" si="18"/>
        <v>建筑品质</v>
      </c>
      <c r="AA35" s="1264">
        <f t="shared" si="15"/>
        <v>1</v>
      </c>
      <c r="AB35" s="1264">
        <f t="shared" si="16"/>
        <v>1</v>
      </c>
      <c r="AC35" s="1264">
        <f t="shared" si="17"/>
        <v>1</v>
      </c>
    </row>
    <row r="36" spans="1:29" ht="15">
      <c r="A36" s="409"/>
      <c r="B36" s="364" t="s">
        <v>1698</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85"/>
      <c r="M36" s="2485"/>
      <c r="N36" s="2485"/>
      <c r="O36" s="2485"/>
      <c r="P36" s="3503"/>
      <c r="Q36" s="1263" t="str">
        <f t="shared" si="11"/>
        <v>公共部分装修</v>
      </c>
      <c r="R36" s="667" t="s">
        <v>18</v>
      </c>
      <c r="S36" s="668">
        <f t="shared" si="12"/>
        <v>100</v>
      </c>
      <c r="T36" s="667" t="s">
        <v>18</v>
      </c>
      <c r="U36" s="668">
        <f t="shared" si="13"/>
        <v>100</v>
      </c>
      <c r="V36" s="667" t="s">
        <v>18</v>
      </c>
      <c r="W36" s="668">
        <f t="shared" si="14"/>
        <v>100</v>
      </c>
      <c r="X36" s="1265"/>
      <c r="Y36" s="3505"/>
      <c r="Z36" s="1264" t="str">
        <f t="shared" si="18"/>
        <v>公共部分装修</v>
      </c>
      <c r="AA36" s="1264">
        <f t="shared" si="15"/>
        <v>1</v>
      </c>
      <c r="AB36" s="1264">
        <f t="shared" si="16"/>
        <v>1</v>
      </c>
      <c r="AC36" s="1264">
        <f t="shared" si="17"/>
        <v>1</v>
      </c>
    </row>
    <row r="37" spans="1:29" s="102" customFormat="1" ht="15">
      <c r="A37" s="410"/>
      <c r="B37" s="364" t="s">
        <v>1699</v>
      </c>
      <c r="C37" s="3194">
        <f>成交案例!C66</f>
        <v>0.78600000000000003</v>
      </c>
      <c r="D37" s="119">
        <v>100</v>
      </c>
      <c r="E37" s="3194">
        <f>成交案例!C66</f>
        <v>0.78600000000000003</v>
      </c>
      <c r="F37" s="364">
        <f>LOOKUP(E37,112:112,113:113)-LOOKUP(C37,112:112,113:113)+100</f>
        <v>100</v>
      </c>
      <c r="G37" s="3196">
        <f>成交案例!C66</f>
        <v>0.78600000000000003</v>
      </c>
      <c r="H37" s="119">
        <f>LOOKUP(G37,112:112,113:113)-LOOKUP(C37,112:112,113:113)+100</f>
        <v>100</v>
      </c>
      <c r="I37" s="3195">
        <f>成交案例!C63</f>
        <v>0.78200000000000003</v>
      </c>
      <c r="J37" s="119">
        <f>LOOKUP(I37,112:112,113:113)-LOOKUP(C37,112:112,113:113)+100</f>
        <v>100</v>
      </c>
      <c r="K37" s="365"/>
      <c r="L37" s="2485"/>
      <c r="M37" s="2485"/>
      <c r="N37" s="2485"/>
      <c r="O37" s="2437"/>
      <c r="P37" s="3503"/>
      <c r="Q37" s="530" t="str">
        <f t="shared" si="11"/>
        <v>成新度</v>
      </c>
      <c r="R37" s="664" t="s">
        <v>18</v>
      </c>
      <c r="S37" s="665">
        <f t="shared" si="12"/>
        <v>100</v>
      </c>
      <c r="T37" s="664" t="s">
        <v>18</v>
      </c>
      <c r="U37" s="665">
        <f t="shared" si="13"/>
        <v>100</v>
      </c>
      <c r="V37" s="664" t="s">
        <v>18</v>
      </c>
      <c r="W37" s="665">
        <f t="shared" si="14"/>
        <v>100</v>
      </c>
      <c r="X37" s="666"/>
      <c r="Y37" s="3505"/>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85"/>
      <c r="M38" s="2485"/>
      <c r="N38" s="2485"/>
      <c r="O38" s="2485"/>
      <c r="P38" s="3503" t="s">
        <v>1694</v>
      </c>
      <c r="Q38" s="1263" t="str">
        <f t="shared" si="11"/>
        <v>物业管理</v>
      </c>
      <c r="R38" s="667" t="s">
        <v>18</v>
      </c>
      <c r="S38" s="668">
        <f t="shared" si="12"/>
        <v>100</v>
      </c>
      <c r="T38" s="667" t="s">
        <v>18</v>
      </c>
      <c r="U38" s="668">
        <f t="shared" si="13"/>
        <v>100</v>
      </c>
      <c r="V38" s="667" t="s">
        <v>18</v>
      </c>
      <c r="W38" s="668">
        <f t="shared" si="14"/>
        <v>100</v>
      </c>
      <c r="X38" s="1265"/>
      <c r="Y38" s="3505"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0"/>
      <c r="M39" s="2485"/>
      <c r="N39" s="2485"/>
      <c r="O39" s="2485"/>
      <c r="P39" s="3503"/>
      <c r="Q39" s="1263" t="str">
        <f t="shared" si="11"/>
        <v>市政基础设施</v>
      </c>
      <c r="R39" s="667" t="s">
        <v>18</v>
      </c>
      <c r="S39" s="668">
        <f t="shared" si="12"/>
        <v>100</v>
      </c>
      <c r="T39" s="667" t="s">
        <v>18</v>
      </c>
      <c r="U39" s="668">
        <f t="shared" si="13"/>
        <v>100</v>
      </c>
      <c r="V39" s="667" t="s">
        <v>18</v>
      </c>
      <c r="W39" s="668">
        <f t="shared" si="14"/>
        <v>100</v>
      </c>
      <c r="X39" s="1265"/>
      <c r="Y39" s="3505"/>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90"/>
      <c r="M40" s="2485"/>
      <c r="N40" s="2485"/>
      <c r="O40" s="2485"/>
      <c r="P40" s="3503"/>
      <c r="Q40" s="1263" t="str">
        <f t="shared" si="11"/>
        <v>房型</v>
      </c>
      <c r="R40" s="667" t="s">
        <v>18</v>
      </c>
      <c r="S40" s="668">
        <f t="shared" si="12"/>
        <v>100</v>
      </c>
      <c r="T40" s="667" t="s">
        <v>18</v>
      </c>
      <c r="U40" s="668">
        <f t="shared" si="13"/>
        <v>100</v>
      </c>
      <c r="V40" s="667" t="s">
        <v>18</v>
      </c>
      <c r="W40" s="668">
        <f t="shared" si="14"/>
        <v>100</v>
      </c>
      <c r="X40" s="1265"/>
      <c r="Y40" s="3505"/>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9"/>
      <c r="M41" s="2491"/>
      <c r="N41" s="2491"/>
      <c r="O41" s="2491"/>
      <c r="P41" s="3503"/>
      <c r="Q41" s="531" t="str">
        <f t="shared" si="11"/>
        <v>单套/主力户型建筑面积</v>
      </c>
      <c r="R41" s="669" t="s">
        <v>18</v>
      </c>
      <c r="S41" s="670">
        <f t="shared" si="12"/>
        <v>100</v>
      </c>
      <c r="T41" s="669" t="s">
        <v>18</v>
      </c>
      <c r="U41" s="670">
        <f t="shared" si="13"/>
        <v>100</v>
      </c>
      <c r="V41" s="669" t="s">
        <v>18</v>
      </c>
      <c r="W41" s="670">
        <f t="shared" si="14"/>
        <v>100</v>
      </c>
      <c r="X41" s="671"/>
      <c r="Y41" s="3505"/>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3173" t="s">
        <v>3403</v>
      </c>
      <c r="F42" s="400">
        <f>SUMIF(122:122,E42,123:123)-SUMIF(122:122,C42,123:123)+100</f>
        <v>100</v>
      </c>
      <c r="G42" s="3173" t="s">
        <v>3451</v>
      </c>
      <c r="H42" s="374">
        <f>SUMIF(122:122,G42,123:123)-SUMIF(122:122,C42,123:123)+100</f>
        <v>102</v>
      </c>
      <c r="I42" s="3173" t="s">
        <v>3451</v>
      </c>
      <c r="J42" s="374">
        <f>SUMIF(122:122,I42,123:123)-SUMIF(122:122,C42,123:123)+100</f>
        <v>102</v>
      </c>
      <c r="K42" s="365">
        <f>'比较法-住宅（标准房屋）'!K42</f>
        <v>2</v>
      </c>
      <c r="L42" s="2490"/>
      <c r="M42" s="2485"/>
      <c r="N42" s="2485"/>
      <c r="O42" s="2485"/>
      <c r="P42" s="3503"/>
      <c r="Q42" s="1263" t="str">
        <f t="shared" si="11"/>
        <v>内部装修</v>
      </c>
      <c r="R42" s="667" t="s">
        <v>18</v>
      </c>
      <c r="S42" s="668">
        <f t="shared" si="12"/>
        <v>100</v>
      </c>
      <c r="T42" s="667" t="s">
        <v>18</v>
      </c>
      <c r="U42" s="668">
        <f t="shared" si="13"/>
        <v>102</v>
      </c>
      <c r="V42" s="667" t="s">
        <v>18</v>
      </c>
      <c r="W42" s="668">
        <f t="shared" si="14"/>
        <v>102</v>
      </c>
      <c r="X42" s="1265"/>
      <c r="Y42" s="3505"/>
      <c r="Z42" s="1264" t="str">
        <f t="shared" si="18"/>
        <v>内部装修</v>
      </c>
      <c r="AA42" s="1264">
        <f t="shared" si="15"/>
        <v>1</v>
      </c>
      <c r="AB42" s="1264">
        <f t="shared" si="16"/>
        <v>0.98039215686274506</v>
      </c>
      <c r="AC42" s="1264">
        <f t="shared" si="17"/>
        <v>0.98039215686274506</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03"/>
      <c r="Q43" s="1263" t="str">
        <f t="shared" si="11"/>
        <v>内部装修维护情况</v>
      </c>
      <c r="R43" s="667" t="s">
        <v>18</v>
      </c>
      <c r="S43" s="668">
        <f t="shared" si="12"/>
        <v>100</v>
      </c>
      <c r="T43" s="667" t="s">
        <v>18</v>
      </c>
      <c r="U43" s="668">
        <f t="shared" si="13"/>
        <v>100</v>
      </c>
      <c r="V43" s="667" t="s">
        <v>18</v>
      </c>
      <c r="W43" s="668">
        <f t="shared" si="14"/>
        <v>100</v>
      </c>
      <c r="X43" s="1265"/>
      <c r="Y43" s="3505"/>
      <c r="Z43" s="1264" t="str">
        <f t="shared" si="18"/>
        <v>内部装修维护情况</v>
      </c>
      <c r="AA43" s="1264">
        <f t="shared" si="15"/>
        <v>1</v>
      </c>
      <c r="AB43" s="1264">
        <f t="shared" si="16"/>
        <v>1</v>
      </c>
      <c r="AC43" s="1264">
        <f t="shared" si="17"/>
        <v>1</v>
      </c>
    </row>
    <row r="44" spans="1:29" s="102" customFormat="1" ht="15">
      <c r="A44" s="410"/>
      <c r="B44" s="3145" t="s">
        <v>3465</v>
      </c>
      <c r="C44" s="3181" t="s">
        <v>3458</v>
      </c>
      <c r="D44" s="119">
        <v>100</v>
      </c>
      <c r="E44" s="3181" t="s">
        <v>3458</v>
      </c>
      <c r="F44" s="364">
        <f>SUMIF(126:126,E44,127:127)-SUMIF(126:126,C44,127:127)+100</f>
        <v>100</v>
      </c>
      <c r="G44" s="3181" t="s">
        <v>3458</v>
      </c>
      <c r="H44" s="119">
        <f>SUMIF(126:126,G44,127:127)-SUMIF(126:126,C44,127:127)+100</f>
        <v>100</v>
      </c>
      <c r="I44" s="3181" t="s">
        <v>3458</v>
      </c>
      <c r="J44" s="119">
        <f>SUMIF(126:126,I44,127:127)-SUMIF(126:126,C44,127:127)+100</f>
        <v>100</v>
      </c>
      <c r="K44" s="1748"/>
      <c r="L44" s="2486"/>
      <c r="M44" s="2437"/>
      <c r="N44" s="2437"/>
      <c r="O44" s="2437"/>
      <c r="P44" s="3503"/>
      <c r="Q44" s="530" t="str">
        <f t="shared" si="11"/>
        <v>空间布局</v>
      </c>
      <c r="R44" s="664" t="s">
        <v>18</v>
      </c>
      <c r="S44" s="665">
        <f t="shared" si="12"/>
        <v>100</v>
      </c>
      <c r="T44" s="664" t="s">
        <v>18</v>
      </c>
      <c r="U44" s="665">
        <f t="shared" si="13"/>
        <v>100</v>
      </c>
      <c r="V44" s="664" t="s">
        <v>18</v>
      </c>
      <c r="W44" s="665">
        <f t="shared" si="14"/>
        <v>100</v>
      </c>
      <c r="X44" s="666"/>
      <c r="Y44" s="3505"/>
      <c r="Z44" s="50" t="str">
        <f t="shared" si="18"/>
        <v>空间布局</v>
      </c>
      <c r="AA44" s="50">
        <f t="shared" si="15"/>
        <v>1</v>
      </c>
      <c r="AB44" s="50">
        <f t="shared" si="16"/>
        <v>1</v>
      </c>
      <c r="AC44" s="50">
        <f t="shared" si="17"/>
        <v>1</v>
      </c>
    </row>
    <row r="45" spans="1:29" ht="15">
      <c r="A45" s="409"/>
      <c r="B45" s="3145" t="s">
        <v>3441</v>
      </c>
      <c r="C45" s="3174" t="s">
        <v>3442</v>
      </c>
      <c r="D45" s="374">
        <v>100</v>
      </c>
      <c r="E45" s="3174" t="s">
        <v>3442</v>
      </c>
      <c r="F45" s="400">
        <f>SUMIF(128:128,E45,129:129)-SUMIF(128:128,C45,129:129)+100</f>
        <v>100</v>
      </c>
      <c r="G45" s="3174" t="s">
        <v>3442</v>
      </c>
      <c r="H45" s="374">
        <f>SUMIF(128:128,G45,129:129)-SUMIF(128:128,C45,129:129)+100</f>
        <v>100</v>
      </c>
      <c r="I45" s="3174" t="s">
        <v>3442</v>
      </c>
      <c r="J45" s="374">
        <f>SUMIF(128:128,I45,129:129)-SUMIF(128:128,C45,129:129)+100</f>
        <v>100</v>
      </c>
      <c r="K45" s="1748"/>
      <c r="L45" s="2490"/>
      <c r="M45" s="2485"/>
      <c r="N45" s="2485"/>
      <c r="O45" s="2485"/>
      <c r="P45" s="3503"/>
      <c r="Q45" s="1263" t="str">
        <f t="shared" si="11"/>
        <v>建筑形式</v>
      </c>
      <c r="R45" s="667" t="s">
        <v>18</v>
      </c>
      <c r="S45" s="668">
        <f t="shared" si="12"/>
        <v>100</v>
      </c>
      <c r="T45" s="667" t="s">
        <v>18</v>
      </c>
      <c r="U45" s="668">
        <f t="shared" si="13"/>
        <v>100</v>
      </c>
      <c r="V45" s="667" t="s">
        <v>18</v>
      </c>
      <c r="W45" s="668">
        <f t="shared" si="14"/>
        <v>100</v>
      </c>
      <c r="X45" s="1265"/>
      <c r="Y45" s="3505"/>
      <c r="Z45" s="1264" t="str">
        <f t="shared" si="18"/>
        <v>建筑形式</v>
      </c>
      <c r="AA45" s="1264">
        <f t="shared" si="15"/>
        <v>1</v>
      </c>
      <c r="AB45" s="1264">
        <f t="shared" si="16"/>
        <v>1</v>
      </c>
      <c r="AC45" s="1264">
        <f t="shared" si="17"/>
        <v>1</v>
      </c>
    </row>
    <row r="46" spans="1:29" ht="15.75" thickBot="1">
      <c r="A46" s="415"/>
      <c r="B46" s="3175" t="s">
        <v>3443</v>
      </c>
      <c r="C46" s="3176" t="s">
        <v>3486</v>
      </c>
      <c r="D46" s="377">
        <v>100</v>
      </c>
      <c r="E46" s="3176" t="s">
        <v>3486</v>
      </c>
      <c r="F46" s="378">
        <f>SUMIF(130:130,E46,131:131)-SUMIF(130:130,C46,131:131)+100</f>
        <v>100</v>
      </c>
      <c r="G46" s="3176" t="s">
        <v>3486</v>
      </c>
      <c r="H46" s="377">
        <f>SUMIF(130:130,G46,131:131)-SUMIF(130:130,C46,131:131)+100</f>
        <v>100</v>
      </c>
      <c r="I46" s="3176" t="s">
        <v>3486</v>
      </c>
      <c r="J46" s="377">
        <f>SUMIF(130:130,I46,131:131)-SUMIF(130:130,C46,131:131)+100</f>
        <v>100</v>
      </c>
      <c r="K46" s="1748"/>
      <c r="L46" s="2490"/>
      <c r="M46" s="2485"/>
      <c r="N46" s="2485"/>
      <c r="O46" s="2485"/>
      <c r="P46" s="3504"/>
      <c r="Q46" s="1263" t="str">
        <f t="shared" si="11"/>
        <v>设施设备状况</v>
      </c>
      <c r="R46" s="667" t="s">
        <v>17</v>
      </c>
      <c r="S46" s="668">
        <f t="shared" si="12"/>
        <v>100</v>
      </c>
      <c r="T46" s="667" t="s">
        <v>17</v>
      </c>
      <c r="U46" s="668">
        <f t="shared" si="13"/>
        <v>100</v>
      </c>
      <c r="V46" s="667" t="s">
        <v>17</v>
      </c>
      <c r="W46" s="668">
        <f t="shared" si="14"/>
        <v>100</v>
      </c>
      <c r="X46" s="1265"/>
      <c r="Y46" s="3506"/>
      <c r="Z46" s="1264" t="str">
        <f t="shared" si="18"/>
        <v>设施设备状况</v>
      </c>
      <c r="AA46" s="1264">
        <f t="shared" si="15"/>
        <v>1</v>
      </c>
      <c r="AB46" s="1264">
        <f t="shared" si="16"/>
        <v>1</v>
      </c>
      <c r="AC46" s="1264">
        <f t="shared" si="17"/>
        <v>1</v>
      </c>
    </row>
    <row r="47" spans="1:29" ht="15">
      <c r="A47" s="416" t="s">
        <v>1706</v>
      </c>
      <c r="B47" s="417"/>
      <c r="C47" s="1081" t="s">
        <v>16</v>
      </c>
      <c r="D47" s="418"/>
      <c r="E47" s="419">
        <f>成交案例!F76</f>
        <v>51479</v>
      </c>
      <c r="F47" s="420"/>
      <c r="G47" s="421">
        <f>成交案例!F84</f>
        <v>53238</v>
      </c>
      <c r="H47" s="422"/>
      <c r="I47" s="419">
        <f>成交案例!F85</f>
        <v>55508</v>
      </c>
      <c r="J47" s="422"/>
      <c r="K47" s="1765"/>
      <c r="L47" s="2492"/>
      <c r="M47" s="2485"/>
      <c r="N47" s="2485"/>
      <c r="O47" s="2485"/>
      <c r="P47" s="3493" t="str">
        <f>A47</f>
        <v>成交单价（元/平方米）</v>
      </c>
      <c r="Q47" s="3493"/>
      <c r="R47" s="3494">
        <f>E47</f>
        <v>51479</v>
      </c>
      <c r="S47" s="3494"/>
      <c r="T47" s="3494">
        <f>G47</f>
        <v>53238</v>
      </c>
      <c r="U47" s="3494"/>
      <c r="V47" s="3494">
        <f>I47</f>
        <v>55508</v>
      </c>
      <c r="W47" s="3494"/>
      <c r="X47" s="385"/>
      <c r="Y47" s="673"/>
      <c r="Z47" s="385"/>
      <c r="AA47" s="385"/>
      <c r="AB47" s="385"/>
      <c r="AC47" s="385"/>
    </row>
    <row r="48" spans="1:29" ht="15.75" thickBot="1">
      <c r="A48" s="423" t="s">
        <v>1707</v>
      </c>
      <c r="B48" s="424"/>
      <c r="C48" s="1082">
        <f>R49</f>
        <v>51806</v>
      </c>
      <c r="D48" s="2139" t="s">
        <v>2136</v>
      </c>
      <c r="E48" s="1083">
        <f>R48</f>
        <v>50122</v>
      </c>
      <c r="F48" s="2140"/>
      <c r="G48" s="1082">
        <f>T48</f>
        <v>52221</v>
      </c>
      <c r="H48" s="2140"/>
      <c r="I48" s="1083">
        <f>V48</f>
        <v>53075</v>
      </c>
      <c r="J48" s="2140"/>
      <c r="K48" s="2141">
        <f>F48+H48+J48</f>
        <v>0</v>
      </c>
      <c r="L48" s="2492"/>
      <c r="M48" s="2485"/>
      <c r="N48" s="2485"/>
      <c r="O48" s="2485"/>
      <c r="P48" s="3493" t="str">
        <f>A48</f>
        <v>比较价值（元/平方米）</v>
      </c>
      <c r="Q48" s="3493"/>
      <c r="R48" s="3494">
        <f>IF(F1="售价",ROUND(PRODUCT(R47,AA7:AA46),0),ROUND(PRODUCT(R47,AA7:AA46),1))</f>
        <v>50122</v>
      </c>
      <c r="S48" s="3494"/>
      <c r="T48" s="3494">
        <f>IF(F1="售价",ROUND(PRODUCT(T47,AB7:AB46),0),ROUND(PRODUCT(T47,AB7:AB46),1))</f>
        <v>52221</v>
      </c>
      <c r="U48" s="3494"/>
      <c r="V48" s="3494">
        <f>IF(F1="售价",ROUND(PRODUCT(V47,AC7:AC46),0),ROUND(PRODUCT(V47,AC7:AC46),1))</f>
        <v>53075</v>
      </c>
      <c r="W48" s="3494"/>
      <c r="X48" s="385"/>
      <c r="Y48" s="385"/>
      <c r="Z48" s="385"/>
      <c r="AA48" s="385"/>
      <c r="AB48" s="385"/>
      <c r="AC48" s="385"/>
    </row>
    <row r="49" spans="1:29" ht="15.75" thickBot="1">
      <c r="A49" s="427" t="s">
        <v>1708</v>
      </c>
      <c r="B49" s="428"/>
      <c r="C49" s="1084">
        <f>R49</f>
        <v>51806</v>
      </c>
      <c r="D49" s="351"/>
      <c r="E49" s="351"/>
      <c r="F49" s="351"/>
      <c r="G49" s="351"/>
      <c r="H49" s="351"/>
      <c r="I49" s="351"/>
      <c r="J49" s="351"/>
      <c r="K49" s="1766"/>
      <c r="L49" s="2492"/>
      <c r="M49" s="2485"/>
      <c r="N49" s="2485"/>
      <c r="O49" s="2485"/>
      <c r="P49" s="3495" t="str">
        <f>A49</f>
        <v>估价对象XX用房的比较价值（楼面单价，元/平方米）</v>
      </c>
      <c r="Q49" s="3496"/>
      <c r="R49" s="3497">
        <f>IF(F1="售价",ROUND(IF(D48="简单平均",AVERAGE(R48:V48),R48*F48+T48*H48+V48*J48),0),ROUND(IF(D48="简单平均",AVERAGE(R48:V48),R48*F48+T48*H48+V48*J48),1))</f>
        <v>51806</v>
      </c>
      <c r="S49" s="3497"/>
      <c r="T49" s="3497"/>
      <c r="U49" s="3497"/>
      <c r="V49" s="3497"/>
      <c r="W49" s="3497"/>
      <c r="X49" s="385"/>
      <c r="Y49" s="385"/>
      <c r="Z49" s="385"/>
      <c r="AA49" s="385"/>
      <c r="AB49" s="385"/>
      <c r="AC49" s="385"/>
    </row>
    <row r="50" spans="1:29">
      <c r="A50" s="2485"/>
      <c r="B50" s="2485"/>
      <c r="C50" s="2485"/>
      <c r="D50" s="2485"/>
      <c r="E50" s="2485"/>
      <c r="F50" s="2485"/>
      <c r="G50" s="2485"/>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2.707393958740667E-2</v>
      </c>
      <c r="F52" s="435" t="str">
        <f>IF(OR(E52&gt;=0.3,E52&lt;=-0.3),"超过30%","")</f>
        <v/>
      </c>
      <c r="G52" s="434">
        <f>IF(G47&lt;G48,G48/G47-1,G47/G48-1)</f>
        <v>1.9474923881197315E-2</v>
      </c>
      <c r="H52" s="435" t="str">
        <f>IF(OR(G52&gt;=0.3,G52&lt;=-0.3),"超过30%","")</f>
        <v/>
      </c>
      <c r="I52" s="434">
        <f>IF(I47&lt;I48,I48/I47-1,I47/I48-1)</f>
        <v>4.5840791333019215E-2</v>
      </c>
      <c r="J52" s="435" t="str">
        <f>IF(OR(I52&gt;=0.3,I52&lt;=-0.3),"超过30%","")</f>
        <v/>
      </c>
      <c r="K52" s="2497"/>
      <c r="L52" s="2493"/>
      <c r="M52" s="2485"/>
      <c r="N52" s="2485"/>
      <c r="O52" s="2485"/>
    </row>
    <row r="53" spans="1:29" ht="13.5" customHeight="1">
      <c r="A53" s="2485"/>
      <c r="B53" s="2485"/>
      <c r="C53" s="432" t="s">
        <v>1710</v>
      </c>
      <c r="D53" s="436"/>
      <c r="E53" s="434">
        <f>IF(E48&lt;G48,G48/E48-1,E48/G48-1)</f>
        <v>4.1877818123777999E-2</v>
      </c>
      <c r="F53" s="435" t="str">
        <f>IF(OR(E53&gt;=0.2,E53&lt;=-0.2),"超过20%","")</f>
        <v/>
      </c>
      <c r="G53" s="434">
        <f>IF(G48&lt;I48,I48/G48-1,G48/I48-1)</f>
        <v>1.635357423258843E-2</v>
      </c>
      <c r="H53" s="435" t="str">
        <f>IF(OR(G53&gt;=0.2,G53&lt;=-0.2),"超过20%","")</f>
        <v/>
      </c>
      <c r="I53" s="434">
        <f>IF(I48&lt;E48,E48/I48-1,I48/E48-1)</f>
        <v>5.8916244363752535E-2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3.416927290739924E-2</v>
      </c>
      <c r="F54" s="435" t="str">
        <f>IF(OR(E54&gt;=0.3,E54&lt;=-0.3),"超过30%","")</f>
        <v/>
      </c>
      <c r="G54" s="434">
        <f>IF(G47&lt;I47,I47/G47-1,G47/I47-1)</f>
        <v>4.263871670611219E-2</v>
      </c>
      <c r="H54" s="435" t="str">
        <f>IF(OR(G54&gt;=0.3,G54&lt;=-0.3),"超过30%","")</f>
        <v/>
      </c>
      <c r="I54" s="434">
        <f>IF(I47&lt;E47,E47/I47-1,I47/E47-1)</f>
        <v>7.8264923561063737E-2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1677</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99.206299999999999</v>
      </c>
      <c r="F59" s="445">
        <f>'比较法-住宅（标准房屋）'!F59</f>
        <v>98.614599999999996</v>
      </c>
      <c r="G59" s="445">
        <f>'比较法-住宅（标准房屋）'!G59</f>
        <v>99.309700000000007</v>
      </c>
      <c r="H59" s="445">
        <f>'比较法-住宅（标准房屋）'!H59</f>
        <v>100.11060000000001</v>
      </c>
      <c r="I59" s="445">
        <f>'比较法-住宅（标准房屋）'!I59</f>
        <v>100.9179</v>
      </c>
      <c r="J59" s="445">
        <f>'比较法-住宅（标准房屋）'!J59</f>
        <v>101.0189</v>
      </c>
      <c r="K59" s="445">
        <f>'比较法-住宅（标准房屋）'!K59</f>
        <v>100.3167</v>
      </c>
      <c r="L59" s="445">
        <f>'比较法-住宅（标准房屋）'!L59</f>
        <v>99.225200000000001</v>
      </c>
      <c r="M59" s="445">
        <f>'比较法-住宅（标准房屋）'!M59</f>
        <v>98.145600000000002</v>
      </c>
      <c r="N59" s="445">
        <f>'比较法-住宅（标准房屋）'!N59</f>
        <v>98.440899999999999</v>
      </c>
      <c r="O59" s="445">
        <f>'比较法-住宅（标准房屋）'!O59</f>
        <v>98.935599999999994</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1679</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tr">
        <f>'比较法-住宅（标准房屋）'!C88</f>
        <v>南北</v>
      </c>
      <c r="D88" s="3143" t="str">
        <f>'比较法-住宅（标准房屋）'!D88</f>
        <v>南</v>
      </c>
      <c r="E88" s="3143" t="str">
        <f>'比较法-住宅（标准房屋）'!E88</f>
        <v>东南</v>
      </c>
      <c r="F88" s="3143" t="str">
        <f>'比较法-住宅（标准房屋）'!F88</f>
        <v>西南</v>
      </c>
      <c r="G88" s="3143" t="str">
        <f>'比较法-住宅（标准房屋）'!G88</f>
        <v>东西</v>
      </c>
      <c r="H88" s="3143" t="str">
        <f>'比较法-住宅（标准房屋）'!H88</f>
        <v>东</v>
      </c>
      <c r="I88" s="3143" t="str">
        <f>'比较法-住宅（标准房屋）'!I88</f>
        <v>西</v>
      </c>
      <c r="J88" s="3143" t="str">
        <f>'比较法-住宅（标准房屋）'!J88</f>
        <v>东北</v>
      </c>
      <c r="K88" s="3143" t="str">
        <f>'比较法-住宅（标准房屋）'!K88</f>
        <v>西北</v>
      </c>
      <c r="L88" s="3143" t="str">
        <f>'比较法-住宅（标准房屋）'!L88</f>
        <v>北</v>
      </c>
      <c r="M88" s="3143">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1" t="str">
        <f>'比较法-住宅（标准房屋）'!C90</f>
        <v>底层</v>
      </c>
      <c r="D90" s="3171" t="str">
        <f>'比较法-住宅（标准房屋）'!D90</f>
        <v>低层</v>
      </c>
      <c r="E90" s="3171" t="str">
        <f>'比较法-住宅（标准房屋）'!E90</f>
        <v>中层</v>
      </c>
      <c r="F90" s="3171" t="str">
        <f>'比较法-住宅（标准房屋）'!F90</f>
        <v>高层</v>
      </c>
      <c r="G90" s="3171" t="str">
        <f>'比较法-住宅（标准房屋）'!G90</f>
        <v>顶层</v>
      </c>
      <c r="H90" s="3171" t="str">
        <f>'比较法-住宅（标准房屋）'!H90</f>
        <v>标准层</v>
      </c>
      <c r="I90" s="486"/>
      <c r="J90" s="486"/>
      <c r="K90" s="486"/>
      <c r="L90" s="487"/>
      <c r="M90" s="488"/>
      <c r="N90" s="881"/>
      <c r="O90" s="881"/>
      <c r="P90" s="1774"/>
      <c r="Q90" s="490"/>
    </row>
    <row r="91" spans="1:17" s="408" customFormat="1" ht="15.75" thickBot="1">
      <c r="A91" s="484"/>
      <c r="B91" s="474"/>
      <c r="C91" s="3172">
        <f>'比较法-住宅（建欣苑三里）'!C91</f>
        <v>99</v>
      </c>
      <c r="D91" s="3172">
        <f>'比较法-住宅（建欣苑三里）'!D91</f>
        <v>100</v>
      </c>
      <c r="E91" s="3172">
        <f>'比较法-住宅（建欣苑三里）'!E91</f>
        <v>101.5</v>
      </c>
      <c r="F91" s="3172">
        <f>'比较法-住宅（建欣苑三里）'!F91</f>
        <v>100</v>
      </c>
      <c r="G91" s="3172">
        <f>'比较法-住宅（建欣苑三里）'!G91</f>
        <v>97</v>
      </c>
      <c r="H91" s="3172">
        <f>'比较法-住宅（建欣苑三里）'!H91</f>
        <v>100</v>
      </c>
      <c r="I91" s="493"/>
      <c r="J91" s="493"/>
      <c r="K91" s="493"/>
      <c r="L91" s="493"/>
      <c r="M91" s="494"/>
      <c r="N91" s="881"/>
      <c r="O91" s="881"/>
      <c r="P91" s="1774"/>
      <c r="Q91" s="490"/>
    </row>
    <row r="92" spans="1:17" ht="15.75" thickTop="1">
      <c r="A92" s="367"/>
      <c r="B92" s="469">
        <f>B28</f>
        <v>0</v>
      </c>
      <c r="C92" s="3143" t="str">
        <f>'比较法-住宅（建欣苑三里）'!C92</f>
        <v>1F</v>
      </c>
      <c r="D92" s="3143" t="str">
        <f>'比较法-住宅（建欣苑三里）'!D92</f>
        <v>2F</v>
      </c>
      <c r="E92" s="3143" t="str">
        <f>'比较法-住宅（建欣苑三里）'!E92</f>
        <v>3F</v>
      </c>
      <c r="F92" s="3143" t="str">
        <f>'比较法-住宅（建欣苑三里）'!F92</f>
        <v>5F</v>
      </c>
      <c r="G92" s="3143" t="str">
        <f>'比较法-住宅（建欣苑三里）'!G92</f>
        <v>6F</v>
      </c>
      <c r="H92" s="314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1735</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R171"/>
  <sheetViews>
    <sheetView zoomScale="85" zoomScaleNormal="85" workbookViewId="0">
      <pane xSplit="2" ySplit="1" topLeftCell="C65" activePane="bottomRight" state="frozen"/>
      <selection pane="topRight" activeCell="C1" sqref="C1"/>
      <selection pane="bottomLeft" activeCell="A2" sqref="A2"/>
      <selection pane="bottomRight" activeCell="G41" sqref="G41"/>
    </sheetView>
  </sheetViews>
  <sheetFormatPr defaultColWidth="15.625" defaultRowHeight="18" customHeight="1" outlineLevelRow="2"/>
  <cols>
    <col min="1" max="1" width="15.625" style="3232"/>
    <col min="2" max="6" width="12.25" style="3232" customWidth="1"/>
    <col min="7" max="7" width="15.625" style="3233"/>
    <col min="8" max="8" width="5.875" style="3232" customWidth="1"/>
    <col min="9" max="9" width="24.375" style="3233" customWidth="1"/>
    <col min="10" max="10" width="15.625" style="3233"/>
    <col min="11" max="11" width="5.875" style="3232" customWidth="1"/>
    <col min="12" max="12" width="15.625" style="3233"/>
    <col min="13" max="13" width="5.875" style="3232" customWidth="1"/>
    <col min="14" max="14" width="15.625" style="3233"/>
    <col min="15" max="15" width="5.875" style="3232" customWidth="1"/>
    <col min="16" max="16384" width="15.625" style="3234"/>
  </cols>
  <sheetData>
    <row r="1" spans="1:18" s="3218" customFormat="1" ht="35.25" customHeight="1">
      <c r="A1" s="3217" t="s">
        <v>3373</v>
      </c>
      <c r="B1" s="3248" t="s">
        <v>3374</v>
      </c>
      <c r="C1" s="3217" t="s">
        <v>3375</v>
      </c>
      <c r="D1" s="3217" t="s">
        <v>3376</v>
      </c>
      <c r="E1" s="3248" t="s">
        <v>3377</v>
      </c>
      <c r="F1" s="3248" t="s">
        <v>3378</v>
      </c>
      <c r="G1" s="3216" t="s">
        <v>3379</v>
      </c>
      <c r="H1" s="3217"/>
      <c r="I1" s="3216" t="s">
        <v>3529</v>
      </c>
      <c r="J1" s="3216" t="s">
        <v>3481</v>
      </c>
      <c r="K1" s="3217"/>
      <c r="L1" s="3216" t="s">
        <v>3484</v>
      </c>
      <c r="M1" s="3217"/>
      <c r="N1" s="3216" t="s">
        <v>3482</v>
      </c>
      <c r="O1" s="3217"/>
      <c r="P1" s="3215" t="s">
        <v>3483</v>
      </c>
      <c r="Q1" s="3215" t="s">
        <v>3551</v>
      </c>
      <c r="R1" s="3215" t="s">
        <v>3564</v>
      </c>
    </row>
    <row r="2" spans="1:18" s="3219" customFormat="1" ht="18" customHeight="1">
      <c r="A2" s="3221" t="s">
        <v>3522</v>
      </c>
      <c r="B2" s="3221"/>
      <c r="C2" s="3221"/>
      <c r="D2" s="3221"/>
      <c r="E2" s="3221"/>
      <c r="F2" s="3221">
        <f>ROUND(SUM(E8:E17)/SUM(B8:B17)*10000,0)</f>
        <v>56234</v>
      </c>
      <c r="G2" s="3220" t="s">
        <v>3523</v>
      </c>
      <c r="H2" s="3221"/>
      <c r="I2" s="3220"/>
      <c r="J2" s="3220"/>
      <c r="K2" s="3221"/>
      <c r="L2" s="3220"/>
      <c r="M2" s="3221"/>
      <c r="N2" s="3220"/>
      <c r="O2" s="3221"/>
    </row>
    <row r="3" spans="1:18" s="3219" customFormat="1" ht="18" customHeight="1" outlineLevel="1">
      <c r="A3" s="3247" t="s">
        <v>3600</v>
      </c>
      <c r="B3" s="3222">
        <f>ROUND((C3-C4)/C4,4)</f>
        <v>-2.29E-2</v>
      </c>
      <c r="C3" s="3221">
        <f>'比较法-住宅（建欣苑一里）'!C49</f>
        <v>53472</v>
      </c>
      <c r="D3" s="3221" t="s">
        <v>3540</v>
      </c>
      <c r="E3" s="3222">
        <f>ROUND((F3-F4)/F4,4)</f>
        <v>-1.43E-2</v>
      </c>
      <c r="F3" s="3221">
        <v>53118</v>
      </c>
      <c r="G3" s="3220" t="s">
        <v>3538</v>
      </c>
      <c r="H3" s="3221"/>
      <c r="I3" s="3221"/>
      <c r="J3" s="3220"/>
      <c r="K3" s="3221"/>
      <c r="L3" s="3220"/>
      <c r="M3" s="3221"/>
      <c r="N3" s="3220"/>
      <c r="O3" s="3221"/>
    </row>
    <row r="4" spans="1:18" s="3258" customFormat="1" ht="18" customHeight="1" outlineLevel="2">
      <c r="A4" s="3255"/>
      <c r="B4" s="3255"/>
      <c r="C4" s="3255">
        <v>54727</v>
      </c>
      <c r="D4" s="3255" t="s">
        <v>3541</v>
      </c>
      <c r="E4" s="3255"/>
      <c r="F4" s="3255">
        <v>53887</v>
      </c>
      <c r="G4" s="3257" t="s">
        <v>3539</v>
      </c>
      <c r="H4" s="3255"/>
      <c r="I4" s="3255"/>
      <c r="J4" s="3257"/>
      <c r="K4" s="3255"/>
      <c r="L4" s="3257"/>
      <c r="M4" s="3255"/>
      <c r="N4" s="3257"/>
      <c r="O4" s="3255"/>
    </row>
    <row r="5" spans="1:18" s="3219" customFormat="1" ht="18" customHeight="1" outlineLevel="1">
      <c r="A5" s="3247" t="s">
        <v>3597</v>
      </c>
      <c r="B5" s="3221"/>
      <c r="C5" s="3222">
        <f>ROUND(C6*D6+C7*D7,3)</f>
        <v>0.79400000000000004</v>
      </c>
      <c r="D5" s="3221"/>
      <c r="E5" s="3221"/>
      <c r="F5" s="3221"/>
      <c r="G5" s="3220"/>
      <c r="H5" s="3221"/>
      <c r="I5" s="3221"/>
      <c r="J5" s="3220"/>
      <c r="K5" s="3221"/>
      <c r="L5" s="3220"/>
      <c r="M5" s="3221"/>
      <c r="N5" s="3220"/>
      <c r="O5" s="3221"/>
    </row>
    <row r="6" spans="1:18" s="3258" customFormat="1" ht="18" customHeight="1" outlineLevel="2">
      <c r="A6" s="3255"/>
      <c r="B6" s="3255" t="s">
        <v>3599</v>
      </c>
      <c r="C6" s="3256">
        <v>0.85</v>
      </c>
      <c r="D6" s="3255">
        <v>0.8</v>
      </c>
      <c r="E6" s="3255"/>
      <c r="F6" s="3255"/>
      <c r="G6" s="3257"/>
      <c r="H6" s="3255"/>
      <c r="I6" s="3255"/>
      <c r="J6" s="3257"/>
      <c r="K6" s="3255"/>
      <c r="L6" s="3257"/>
      <c r="M6" s="3255"/>
      <c r="N6" s="3257"/>
      <c r="O6" s="3255"/>
    </row>
    <row r="7" spans="1:18" s="3258" customFormat="1" ht="18" customHeight="1" outlineLevel="2">
      <c r="A7" s="3255"/>
      <c r="B7" s="3255" t="s">
        <v>3598</v>
      </c>
      <c r="C7" s="3256">
        <f>ROUND(1-(1-2%)/50*(2023-F7),3)</f>
        <v>0.56899999999999995</v>
      </c>
      <c r="D7" s="3255">
        <f>1-D6</f>
        <v>0.19999999999999996</v>
      </c>
      <c r="E7" s="3255" t="s">
        <v>3596</v>
      </c>
      <c r="F7" s="3255">
        <v>2001</v>
      </c>
      <c r="G7" s="3257"/>
      <c r="H7" s="3255"/>
      <c r="I7" s="3255"/>
      <c r="J7" s="3257"/>
      <c r="K7" s="3255"/>
      <c r="L7" s="3257"/>
      <c r="M7" s="3255"/>
      <c r="N7" s="3257"/>
      <c r="O7" s="3255"/>
    </row>
    <row r="8" spans="1:18" s="3226" customFormat="1" ht="18" customHeight="1" outlineLevel="1">
      <c r="A8" s="3249" t="s">
        <v>3521</v>
      </c>
      <c r="B8" s="3249">
        <v>127.08</v>
      </c>
      <c r="C8" s="3249" t="s">
        <v>3492</v>
      </c>
      <c r="D8" s="3249" t="s">
        <v>3493</v>
      </c>
      <c r="E8" s="3249">
        <v>622</v>
      </c>
      <c r="F8" s="3249">
        <f>ROUND(E8*10000/B8,0)</f>
        <v>48946</v>
      </c>
      <c r="G8" s="3223">
        <v>45144</v>
      </c>
      <c r="H8" s="3224"/>
      <c r="I8" s="3223" t="s">
        <v>3530</v>
      </c>
      <c r="J8" s="3225"/>
      <c r="K8" s="3224"/>
      <c r="L8" s="3225"/>
      <c r="M8" s="3224"/>
      <c r="N8" s="3225"/>
      <c r="O8" s="3224"/>
    </row>
    <row r="9" spans="1:18" s="3230" customFormat="1" ht="18" customHeight="1" outlineLevel="1">
      <c r="A9" s="3250" t="s">
        <v>3491</v>
      </c>
      <c r="B9" s="3250">
        <v>85.09</v>
      </c>
      <c r="C9" s="3250" t="s">
        <v>3494</v>
      </c>
      <c r="D9" s="3250" t="s">
        <v>3493</v>
      </c>
      <c r="E9" s="3250">
        <v>537</v>
      </c>
      <c r="F9" s="3250">
        <f>ROUND(E9*10000/B9,0)</f>
        <v>63110</v>
      </c>
      <c r="G9" s="3227">
        <v>45131</v>
      </c>
      <c r="H9" s="3228">
        <f>'比较法-住宅（标准房屋）'!C59/'比较法-住宅（标准房屋）'!F59</f>
        <v>1.0140486297160867</v>
      </c>
      <c r="I9" s="3227"/>
      <c r="J9" s="3229" t="s">
        <v>3544</v>
      </c>
      <c r="K9" s="3228">
        <f>100/99</f>
        <v>1.0101010101010102</v>
      </c>
      <c r="L9" s="3229" t="s">
        <v>3545</v>
      </c>
      <c r="M9" s="3228">
        <f>100/102</f>
        <v>0.98039215686274506</v>
      </c>
      <c r="N9" s="3229" t="s">
        <v>3546</v>
      </c>
      <c r="O9" s="3228">
        <v>1</v>
      </c>
      <c r="P9" s="3230">
        <v>2001</v>
      </c>
      <c r="Q9" s="3230" t="s">
        <v>3552</v>
      </c>
      <c r="R9" s="3230">
        <f t="shared" ref="R9:R17" si="0">ROUND(F9*H9*K9*M9*O9,0)</f>
        <v>63376</v>
      </c>
    </row>
    <row r="10" spans="1:18" s="3226" customFormat="1" ht="18" customHeight="1" outlineLevel="1">
      <c r="A10" s="3249" t="s">
        <v>3491</v>
      </c>
      <c r="B10" s="3249">
        <v>58.07</v>
      </c>
      <c r="C10" s="3249" t="s">
        <v>3492</v>
      </c>
      <c r="D10" s="3249" t="s">
        <v>3498</v>
      </c>
      <c r="E10" s="3249">
        <v>292</v>
      </c>
      <c r="F10" s="3249">
        <f>ROUND(E10*10000/B10,0)</f>
        <v>50284</v>
      </c>
      <c r="G10" s="3223">
        <v>45122</v>
      </c>
      <c r="H10" s="3224">
        <f>'比较法-住宅（标准房屋）'!C59/'比较法-住宅（标准房屋）'!F59</f>
        <v>1.0140486297160867</v>
      </c>
      <c r="I10" s="3223" t="s">
        <v>3554</v>
      </c>
      <c r="J10" s="3225" t="s">
        <v>3547</v>
      </c>
      <c r="K10" s="3224">
        <f>100/101.5</f>
        <v>0.98522167487684731</v>
      </c>
      <c r="L10" s="3225" t="s">
        <v>3548</v>
      </c>
      <c r="M10" s="3224">
        <f>100/99.5</f>
        <v>1.0050251256281406</v>
      </c>
      <c r="N10" s="3225" t="s">
        <v>3549</v>
      </c>
      <c r="O10" s="3224">
        <f>100/102</f>
        <v>0.98039215686274506</v>
      </c>
      <c r="P10" s="3226" t="s">
        <v>3550</v>
      </c>
      <c r="Q10" s="3226" t="s">
        <v>3553</v>
      </c>
      <c r="R10" s="3226">
        <f t="shared" si="0"/>
        <v>49499</v>
      </c>
    </row>
    <row r="11" spans="1:18" s="3226" customFormat="1" ht="18" customHeight="1" outlineLevel="1">
      <c r="A11" s="3249" t="s">
        <v>3491</v>
      </c>
      <c r="B11" s="3249">
        <v>88.62</v>
      </c>
      <c r="C11" s="3249" t="s">
        <v>3492</v>
      </c>
      <c r="D11" s="3249" t="s">
        <v>3493</v>
      </c>
      <c r="E11" s="3249">
        <v>501</v>
      </c>
      <c r="F11" s="3249">
        <f>ROUND(E11*10000/B11,0)</f>
        <v>56534</v>
      </c>
      <c r="G11" s="3223">
        <v>45115</v>
      </c>
      <c r="H11" s="3224">
        <f>'比较法-住宅（标准房屋）'!C59/'比较法-住宅（标准房屋）'!F59</f>
        <v>1.0140486297160867</v>
      </c>
      <c r="I11" s="3223" t="s">
        <v>3556</v>
      </c>
      <c r="J11" s="3225" t="s">
        <v>3547</v>
      </c>
      <c r="K11" s="3224">
        <f>100/101.5</f>
        <v>0.98522167487684731</v>
      </c>
      <c r="L11" s="3225" t="s">
        <v>3545</v>
      </c>
      <c r="M11" s="3224">
        <f>100/102</f>
        <v>0.98039215686274506</v>
      </c>
      <c r="N11" s="3225" t="s">
        <v>3546</v>
      </c>
      <c r="O11" s="3224">
        <v>1</v>
      </c>
      <c r="P11" s="3226">
        <v>2001</v>
      </c>
      <c r="Q11" s="3226" t="s">
        <v>3555</v>
      </c>
      <c r="R11" s="3226">
        <f t="shared" si="0"/>
        <v>55374</v>
      </c>
    </row>
    <row r="12" spans="1:18" ht="18" customHeight="1" outlineLevel="1">
      <c r="A12" s="3251" t="s">
        <v>3491</v>
      </c>
      <c r="B12" s="3251">
        <v>72.42</v>
      </c>
      <c r="C12" s="3251" t="s">
        <v>3492</v>
      </c>
      <c r="D12" s="3251" t="s">
        <v>3493</v>
      </c>
      <c r="E12" s="3251">
        <v>460</v>
      </c>
      <c r="F12" s="3251">
        <f t="shared" ref="F12:F21" si="1">ROUND(E12*10000/B12,0)</f>
        <v>63518</v>
      </c>
      <c r="G12" s="3231">
        <v>45005</v>
      </c>
      <c r="H12" s="3232">
        <f>'比较法-住宅（标准房屋）'!C59/'比较法-住宅（标准房屋）'!J59</f>
        <v>0.98991376861161617</v>
      </c>
      <c r="I12" s="3231"/>
      <c r="J12" s="3233" t="s">
        <v>3547</v>
      </c>
      <c r="K12" s="3232">
        <f>100/101.5</f>
        <v>0.98522167487684731</v>
      </c>
      <c r="L12" s="3233" t="s">
        <v>3545</v>
      </c>
      <c r="M12" s="3232">
        <f>100/102</f>
        <v>0.98039215686274506</v>
      </c>
      <c r="N12" s="3233" t="s">
        <v>3549</v>
      </c>
      <c r="O12" s="3232">
        <f>100/102</f>
        <v>0.98039215686274506</v>
      </c>
      <c r="P12" s="3234">
        <v>2001</v>
      </c>
      <c r="Q12" s="3230" t="s">
        <v>3552</v>
      </c>
      <c r="R12" s="3230">
        <f t="shared" si="0"/>
        <v>59543</v>
      </c>
    </row>
    <row r="13" spans="1:18" ht="18" customHeight="1" outlineLevel="1">
      <c r="A13" s="3251" t="s">
        <v>3491</v>
      </c>
      <c r="B13" s="3251">
        <v>72.27</v>
      </c>
      <c r="C13" s="3251" t="s">
        <v>3492</v>
      </c>
      <c r="D13" s="3251" t="s">
        <v>3493</v>
      </c>
      <c r="E13" s="3251">
        <v>462</v>
      </c>
      <c r="F13" s="3251">
        <f t="shared" si="1"/>
        <v>63927</v>
      </c>
      <c r="G13" s="3231">
        <v>44991</v>
      </c>
      <c r="H13" s="3232">
        <f>'比较法-住宅（标准房屋）'!C59/'比较法-住宅（标准房屋）'!J59</f>
        <v>0.98991376861161617</v>
      </c>
      <c r="I13" s="3231"/>
      <c r="J13" s="3233" t="s">
        <v>3547</v>
      </c>
      <c r="K13" s="3232">
        <f>100/101.5</f>
        <v>0.98522167487684731</v>
      </c>
      <c r="L13" s="3233" t="s">
        <v>3545</v>
      </c>
      <c r="M13" s="3232">
        <f>100/102</f>
        <v>0.98039215686274506</v>
      </c>
      <c r="N13" s="3233" t="s">
        <v>3549</v>
      </c>
      <c r="O13" s="3232">
        <f>100/102</f>
        <v>0.98039215686274506</v>
      </c>
      <c r="P13" s="3234">
        <v>2001</v>
      </c>
      <c r="Q13" s="3230" t="s">
        <v>3552</v>
      </c>
      <c r="R13" s="3230">
        <f t="shared" si="0"/>
        <v>59926</v>
      </c>
    </row>
    <row r="14" spans="1:18" s="3238" customFormat="1" ht="18" customHeight="1" outlineLevel="1">
      <c r="A14" s="3252" t="s">
        <v>3491</v>
      </c>
      <c r="B14" s="3252">
        <v>65.31</v>
      </c>
      <c r="C14" s="3252" t="s">
        <v>3494</v>
      </c>
      <c r="D14" s="3252" t="s">
        <v>3495</v>
      </c>
      <c r="E14" s="3252">
        <v>352</v>
      </c>
      <c r="F14" s="3252">
        <f t="shared" si="1"/>
        <v>53897</v>
      </c>
      <c r="G14" s="3235">
        <v>44969</v>
      </c>
      <c r="H14" s="3236">
        <f>'比较法-住宅（标准房屋）'!C59/'比较法-住宅（标准房屋）'!K59</f>
        <v>0.99684299822462263</v>
      </c>
      <c r="I14" s="3235"/>
      <c r="J14" s="3237" t="s">
        <v>3557</v>
      </c>
      <c r="K14" s="3236">
        <f>100/100</f>
        <v>1</v>
      </c>
      <c r="L14" s="3237" t="s">
        <v>3558</v>
      </c>
      <c r="M14" s="3236">
        <v>1</v>
      </c>
      <c r="N14" s="3237" t="s">
        <v>3546</v>
      </c>
      <c r="O14" s="3236">
        <v>1</v>
      </c>
      <c r="P14" s="3238">
        <v>2001</v>
      </c>
      <c r="Q14" s="3238" t="s">
        <v>3552</v>
      </c>
      <c r="R14" s="3238">
        <f t="shared" si="0"/>
        <v>53727</v>
      </c>
    </row>
    <row r="15" spans="1:18" s="3268" customFormat="1" ht="18" customHeight="1" outlineLevel="1">
      <c r="A15" s="3264" t="s">
        <v>3491</v>
      </c>
      <c r="B15" s="3264">
        <v>59.48</v>
      </c>
      <c r="C15" s="3264" t="s">
        <v>3492</v>
      </c>
      <c r="D15" s="3264" t="s">
        <v>3495</v>
      </c>
      <c r="E15" s="3264">
        <v>313.5</v>
      </c>
      <c r="F15" s="3264">
        <f t="shared" si="1"/>
        <v>52707</v>
      </c>
      <c r="G15" s="3265">
        <v>44966</v>
      </c>
      <c r="H15" s="3266">
        <f>'比较法-住宅（标准房屋）'!C59/'比较法-住宅（标准房屋）'!K59</f>
        <v>0.99684299822462263</v>
      </c>
      <c r="I15" s="3265"/>
      <c r="J15" s="3267" t="s">
        <v>3547</v>
      </c>
      <c r="K15" s="3266">
        <f>100/101.5</f>
        <v>0.98522167487684731</v>
      </c>
      <c r="L15" s="3267" t="s">
        <v>3558</v>
      </c>
      <c r="M15" s="3266">
        <v>1</v>
      </c>
      <c r="N15" s="3267" t="s">
        <v>3546</v>
      </c>
      <c r="O15" s="3266">
        <v>1</v>
      </c>
      <c r="P15" s="3268">
        <v>2001</v>
      </c>
      <c r="Q15" s="3268" t="s">
        <v>3552</v>
      </c>
      <c r="R15" s="3268">
        <f t="shared" si="0"/>
        <v>51764</v>
      </c>
    </row>
    <row r="16" spans="1:18" s="3263" customFormat="1" ht="18" customHeight="1" outlineLevel="1">
      <c r="A16" s="3259" t="s">
        <v>3491</v>
      </c>
      <c r="B16" s="3259">
        <v>88.22</v>
      </c>
      <c r="C16" s="3259" t="s">
        <v>3492</v>
      </c>
      <c r="D16" s="3259" t="s">
        <v>3493</v>
      </c>
      <c r="E16" s="3259">
        <v>507.5</v>
      </c>
      <c r="F16" s="3259">
        <f t="shared" si="1"/>
        <v>57527</v>
      </c>
      <c r="G16" s="3260">
        <v>44929</v>
      </c>
      <c r="H16" s="3261">
        <f>'比较法-住宅（标准房屋）'!C59/'比较法-住宅（标准房屋）'!L59</f>
        <v>1.0078085002600146</v>
      </c>
      <c r="I16" s="3260"/>
      <c r="J16" s="3262" t="s">
        <v>3547</v>
      </c>
      <c r="K16" s="3261">
        <f>100/101.5</f>
        <v>0.98522167487684731</v>
      </c>
      <c r="L16" s="3262" t="s">
        <v>3545</v>
      </c>
      <c r="M16" s="3261">
        <f>100/102</f>
        <v>0.98039215686274506</v>
      </c>
      <c r="N16" s="3262" t="s">
        <v>3546</v>
      </c>
      <c r="O16" s="3261">
        <v>1</v>
      </c>
      <c r="P16" s="3263">
        <v>2001</v>
      </c>
      <c r="Q16" s="3263" t="s">
        <v>3552</v>
      </c>
      <c r="R16" s="3263">
        <f t="shared" si="0"/>
        <v>55999</v>
      </c>
    </row>
    <row r="17" spans="1:18" s="3281" customFormat="1" ht="18" customHeight="1" outlineLevel="1">
      <c r="A17" s="3277" t="s">
        <v>3491</v>
      </c>
      <c r="B17" s="3277">
        <v>64.64</v>
      </c>
      <c r="C17" s="3277" t="s">
        <v>3494</v>
      </c>
      <c r="D17" s="3277" t="s">
        <v>3495</v>
      </c>
      <c r="E17" s="3277">
        <v>346</v>
      </c>
      <c r="F17" s="3277">
        <f t="shared" si="1"/>
        <v>53527</v>
      </c>
      <c r="G17" s="3278">
        <v>44880</v>
      </c>
      <c r="H17" s="3279">
        <f>'比较法-住宅（标准房屋）'!C59/'比较法-住宅（标准房屋）'!N59</f>
        <v>1.0158379291534312</v>
      </c>
      <c r="I17" s="3278"/>
      <c r="J17" s="3280" t="s">
        <v>3544</v>
      </c>
      <c r="K17" s="3279">
        <f>100/99</f>
        <v>1.0101010101010102</v>
      </c>
      <c r="L17" s="3280" t="s">
        <v>3558</v>
      </c>
      <c r="M17" s="3279">
        <v>1</v>
      </c>
      <c r="N17" s="3280" t="s">
        <v>3546</v>
      </c>
      <c r="O17" s="3279">
        <v>1</v>
      </c>
      <c r="P17" s="3281">
        <v>2001</v>
      </c>
      <c r="Q17" s="3281" t="s">
        <v>3552</v>
      </c>
      <c r="R17" s="3281">
        <f t="shared" si="0"/>
        <v>54924</v>
      </c>
    </row>
    <row r="18" spans="1:18" s="3226" customFormat="1" ht="18" customHeight="1" outlineLevel="1">
      <c r="A18" s="3249" t="s">
        <v>3491</v>
      </c>
      <c r="B18" s="3249">
        <v>72.53</v>
      </c>
      <c r="C18" s="3249" t="s">
        <v>3492</v>
      </c>
      <c r="D18" s="3249" t="s">
        <v>3493</v>
      </c>
      <c r="E18" s="3249">
        <v>471.5</v>
      </c>
      <c r="F18" s="3249">
        <f t="shared" si="1"/>
        <v>65008</v>
      </c>
      <c r="G18" s="3223">
        <v>44830</v>
      </c>
      <c r="H18" s="3224"/>
      <c r="I18" s="3223" t="s">
        <v>3565</v>
      </c>
      <c r="J18" s="3225"/>
      <c r="K18" s="3224"/>
      <c r="L18" s="3225"/>
      <c r="M18" s="3224"/>
      <c r="N18" s="3225"/>
      <c r="O18" s="3224"/>
    </row>
    <row r="19" spans="1:18" s="3226" customFormat="1" ht="18" customHeight="1" outlineLevel="1">
      <c r="A19" s="3249" t="s">
        <v>3491</v>
      </c>
      <c r="B19" s="3249">
        <v>64.64</v>
      </c>
      <c r="C19" s="3249" t="s">
        <v>3494</v>
      </c>
      <c r="D19" s="3249" t="s">
        <v>3495</v>
      </c>
      <c r="E19" s="3249">
        <v>333</v>
      </c>
      <c r="F19" s="3249">
        <f t="shared" si="1"/>
        <v>51516</v>
      </c>
      <c r="G19" s="3223">
        <v>44818</v>
      </c>
      <c r="H19" s="3224"/>
      <c r="I19" s="3223" t="s">
        <v>3565</v>
      </c>
      <c r="J19" s="3225"/>
      <c r="K19" s="3224"/>
      <c r="L19" s="3225"/>
      <c r="M19" s="3224"/>
      <c r="N19" s="3225"/>
      <c r="O19" s="3224"/>
    </row>
    <row r="20" spans="1:18" s="3226" customFormat="1" ht="18" customHeight="1" outlineLevel="1">
      <c r="A20" s="3249" t="s">
        <v>3491</v>
      </c>
      <c r="B20" s="3249">
        <v>85.7</v>
      </c>
      <c r="C20" s="3249" t="s">
        <v>3492</v>
      </c>
      <c r="D20" s="3249" t="s">
        <v>3493</v>
      </c>
      <c r="E20" s="3249">
        <v>519</v>
      </c>
      <c r="F20" s="3249">
        <f t="shared" si="1"/>
        <v>60560</v>
      </c>
      <c r="G20" s="3223">
        <v>44794</v>
      </c>
      <c r="H20" s="3224"/>
      <c r="I20" s="3223" t="s">
        <v>3565</v>
      </c>
      <c r="J20" s="3225"/>
      <c r="K20" s="3224"/>
      <c r="L20" s="3225"/>
      <c r="M20" s="3224"/>
      <c r="N20" s="3225"/>
      <c r="O20" s="3224"/>
    </row>
    <row r="21" spans="1:18" s="3226" customFormat="1" ht="18" customHeight="1" outlineLevel="1">
      <c r="A21" s="3249" t="s">
        <v>3491</v>
      </c>
      <c r="B21" s="3249">
        <v>62.71</v>
      </c>
      <c r="C21" s="3249" t="s">
        <v>3494</v>
      </c>
      <c r="D21" s="3249" t="s">
        <v>3495</v>
      </c>
      <c r="E21" s="3249">
        <v>357</v>
      </c>
      <c r="F21" s="3249">
        <f t="shared" si="1"/>
        <v>56929</v>
      </c>
      <c r="G21" s="3223">
        <v>44641</v>
      </c>
      <c r="H21" s="3224"/>
      <c r="I21" s="3223" t="s">
        <v>3565</v>
      </c>
      <c r="J21" s="3225"/>
      <c r="K21" s="3224"/>
      <c r="L21" s="3225"/>
      <c r="M21" s="3224"/>
      <c r="N21" s="3225"/>
      <c r="O21" s="3224"/>
    </row>
    <row r="22" spans="1:18" s="3226" customFormat="1" ht="18" customHeight="1" outlineLevel="1">
      <c r="A22" s="3249" t="s">
        <v>3496</v>
      </c>
      <c r="B22" s="3249">
        <v>64.33</v>
      </c>
      <c r="C22" s="3249" t="s">
        <v>3497</v>
      </c>
      <c r="D22" s="3249" t="s">
        <v>3394</v>
      </c>
      <c r="E22" s="3249">
        <v>356</v>
      </c>
      <c r="F22" s="3249">
        <v>55340</v>
      </c>
      <c r="G22" s="3223">
        <v>44640</v>
      </c>
      <c r="H22" s="3224"/>
      <c r="I22" s="3223" t="s">
        <v>3565</v>
      </c>
      <c r="J22" s="3225"/>
      <c r="K22" s="3224"/>
      <c r="L22" s="3225"/>
      <c r="M22" s="3224"/>
      <c r="N22" s="3225"/>
      <c r="O22" s="3224"/>
    </row>
    <row r="23" spans="1:18" s="3242" customFormat="1" ht="18" customHeight="1" outlineLevel="1" thickBot="1">
      <c r="A23" s="3253" t="s">
        <v>3491</v>
      </c>
      <c r="B23" s="3253">
        <v>64.33</v>
      </c>
      <c r="C23" s="3253" t="s">
        <v>3492</v>
      </c>
      <c r="D23" s="3253" t="s">
        <v>3495</v>
      </c>
      <c r="E23" s="3253">
        <v>356</v>
      </c>
      <c r="F23" s="3253">
        <f>ROUND(E23*10000/B23,0)</f>
        <v>55340</v>
      </c>
      <c r="G23" s="3239">
        <v>44640</v>
      </c>
      <c r="H23" s="3240"/>
      <c r="I23" s="3239" t="s">
        <v>3566</v>
      </c>
      <c r="J23" s="3241"/>
      <c r="K23" s="3240"/>
      <c r="L23" s="3241"/>
      <c r="M23" s="3240"/>
      <c r="N23" s="3241"/>
      <c r="O23" s="3240"/>
    </row>
    <row r="24" spans="1:18" s="3219" customFormat="1" ht="18" customHeight="1">
      <c r="A24" s="3221" t="s">
        <v>3524</v>
      </c>
      <c r="B24" s="3221"/>
      <c r="C24" s="3221"/>
      <c r="D24" s="3221"/>
      <c r="E24" s="3221"/>
      <c r="F24" s="3221">
        <f>ROUND(SUM(E34:E48)/SUM(B34:B48)*10000,0)</f>
        <v>52308</v>
      </c>
      <c r="G24" s="3220" t="s">
        <v>3523</v>
      </c>
      <c r="H24" s="3221"/>
      <c r="I24" s="3220"/>
      <c r="J24" s="3220"/>
      <c r="K24" s="3221"/>
      <c r="L24" s="3220"/>
      <c r="M24" s="3221"/>
      <c r="N24" s="3220"/>
      <c r="O24" s="3221"/>
    </row>
    <row r="25" spans="1:18" s="3219" customFormat="1" ht="18" customHeight="1" outlineLevel="1">
      <c r="A25" s="3247" t="s">
        <v>3600</v>
      </c>
      <c r="B25" s="3222">
        <f>ROUND((C25-C26)/C26,4)</f>
        <v>-3.78E-2</v>
      </c>
      <c r="C25" s="3221">
        <f>'比较法-住宅（建欣苑三里）'!C49</f>
        <v>52625</v>
      </c>
      <c r="D25" s="3221" t="s">
        <v>3540</v>
      </c>
      <c r="E25" s="3222">
        <f>ROUND((F25-F26)/F26,4)</f>
        <v>-1.0999999999999999E-2</v>
      </c>
      <c r="F25" s="3221">
        <v>53029</v>
      </c>
      <c r="G25" s="3220" t="s">
        <v>3538</v>
      </c>
      <c r="H25" s="3221"/>
      <c r="I25" s="3220"/>
      <c r="J25" s="3220"/>
      <c r="K25" s="3221"/>
      <c r="L25" s="3220"/>
      <c r="M25" s="3221"/>
      <c r="N25" s="3220"/>
      <c r="O25" s="3221"/>
    </row>
    <row r="26" spans="1:18" s="3258" customFormat="1" ht="18" customHeight="1" outlineLevel="2">
      <c r="A26" s="3255"/>
      <c r="B26" s="3255"/>
      <c r="C26" s="3255">
        <v>54690</v>
      </c>
      <c r="D26" s="3255" t="s">
        <v>3541</v>
      </c>
      <c r="E26" s="3255"/>
      <c r="F26" s="3255">
        <v>53620</v>
      </c>
      <c r="G26" s="3257" t="s">
        <v>3539</v>
      </c>
      <c r="H26" s="3255"/>
      <c r="I26" s="3257"/>
      <c r="J26" s="3257"/>
      <c r="K26" s="3255"/>
      <c r="L26" s="3257"/>
      <c r="M26" s="3255"/>
      <c r="N26" s="3257"/>
      <c r="O26" s="3255"/>
    </row>
    <row r="27" spans="1:18" s="3219" customFormat="1" ht="18" customHeight="1" outlineLevel="1">
      <c r="A27" s="3247" t="s">
        <v>3597</v>
      </c>
      <c r="B27" s="3221"/>
      <c r="C27" s="3222">
        <f>ROUND(C28*D28+C29*D29,3)</f>
        <v>0.77800000000000002</v>
      </c>
      <c r="D27" s="3221"/>
      <c r="E27" s="3221"/>
      <c r="F27" s="3221"/>
      <c r="G27" s="3220"/>
      <c r="H27" s="3221"/>
      <c r="I27" s="3221"/>
      <c r="J27" s="3220"/>
      <c r="K27" s="3221"/>
      <c r="L27" s="3220"/>
      <c r="M27" s="3221"/>
      <c r="N27" s="3220"/>
      <c r="O27" s="3221"/>
    </row>
    <row r="28" spans="1:18" s="3258" customFormat="1" ht="18" customHeight="1" outlineLevel="2">
      <c r="A28" s="3255"/>
      <c r="B28" s="3255" t="s">
        <v>3599</v>
      </c>
      <c r="C28" s="3256">
        <v>0.85</v>
      </c>
      <c r="D28" s="3255">
        <v>0.8</v>
      </c>
      <c r="E28" s="3255"/>
      <c r="F28" s="3255"/>
      <c r="G28" s="3257"/>
      <c r="H28" s="3255"/>
      <c r="I28" s="3255"/>
      <c r="J28" s="3257"/>
      <c r="K28" s="3255"/>
      <c r="L28" s="3257"/>
      <c r="M28" s="3255"/>
      <c r="N28" s="3257"/>
      <c r="O28" s="3255"/>
    </row>
    <row r="29" spans="1:18" s="3258" customFormat="1" ht="18" customHeight="1" outlineLevel="2">
      <c r="A29" s="3255"/>
      <c r="B29" s="3255" t="s">
        <v>3598</v>
      </c>
      <c r="C29" s="3256">
        <f>ROUND(1-(1-2%)/50*(2023-F29),3)</f>
        <v>0.49</v>
      </c>
      <c r="D29" s="3255">
        <f>1-D28</f>
        <v>0.19999999999999996</v>
      </c>
      <c r="E29" s="3255" t="s">
        <v>3596</v>
      </c>
      <c r="F29" s="3255">
        <v>1997</v>
      </c>
      <c r="G29" s="3257"/>
      <c r="H29" s="3255"/>
      <c r="I29" s="3255"/>
      <c r="J29" s="3257"/>
      <c r="K29" s="3255"/>
      <c r="L29" s="3257"/>
      <c r="M29" s="3255"/>
      <c r="N29" s="3257"/>
      <c r="O29" s="3255"/>
    </row>
    <row r="30" spans="1:18" s="3219" customFormat="1" ht="18" customHeight="1" outlineLevel="1">
      <c r="A30" s="3247" t="s">
        <v>3597</v>
      </c>
      <c r="B30" s="3221"/>
      <c r="C30" s="3222">
        <f>ROUND(C31*D31+C32*D32,3)</f>
        <v>0.79800000000000004</v>
      </c>
      <c r="D30" s="3221"/>
      <c r="E30" s="3221"/>
      <c r="F30" s="3221"/>
      <c r="G30" s="3220"/>
      <c r="H30" s="3221"/>
      <c r="I30" s="3221"/>
      <c r="J30" s="3220"/>
      <c r="K30" s="3221"/>
      <c r="L30" s="3220"/>
      <c r="M30" s="3221"/>
      <c r="N30" s="3220"/>
      <c r="O30" s="3221"/>
    </row>
    <row r="31" spans="1:18" s="3258" customFormat="1" ht="18" customHeight="1" outlineLevel="2">
      <c r="A31" s="3255"/>
      <c r="B31" s="3255" t="s">
        <v>3599</v>
      </c>
      <c r="C31" s="3256">
        <v>0.85</v>
      </c>
      <c r="D31" s="3255">
        <v>0.8</v>
      </c>
      <c r="E31" s="3255"/>
      <c r="F31" s="3255"/>
      <c r="G31" s="3257"/>
      <c r="H31" s="3255"/>
      <c r="I31" s="3255"/>
      <c r="J31" s="3257"/>
      <c r="K31" s="3255"/>
      <c r="L31" s="3257"/>
      <c r="M31" s="3255"/>
      <c r="N31" s="3257"/>
      <c r="O31" s="3255"/>
    </row>
    <row r="32" spans="1:18" s="3258" customFormat="1" ht="18" customHeight="1" outlineLevel="2">
      <c r="A32" s="3255"/>
      <c r="B32" s="3255" t="s">
        <v>3598</v>
      </c>
      <c r="C32" s="3256">
        <f>ROUND(1-(1-2%)/50*(2023-F32),3)</f>
        <v>0.58799999999999997</v>
      </c>
      <c r="D32" s="3255">
        <f>1-D31</f>
        <v>0.19999999999999996</v>
      </c>
      <c r="E32" s="3255" t="s">
        <v>3596</v>
      </c>
      <c r="F32" s="3255">
        <v>2002</v>
      </c>
      <c r="G32" s="3257"/>
      <c r="H32" s="3255"/>
      <c r="I32" s="3255"/>
      <c r="J32" s="3257"/>
      <c r="K32" s="3255"/>
      <c r="L32" s="3257"/>
      <c r="M32" s="3255"/>
      <c r="N32" s="3257"/>
      <c r="O32" s="3255"/>
    </row>
    <row r="33" spans="1:18" s="3226" customFormat="1" ht="18" customHeight="1" outlineLevel="1">
      <c r="A33" s="3249" t="s">
        <v>3610</v>
      </c>
      <c r="B33" s="3249">
        <v>97.35</v>
      </c>
      <c r="C33" s="3249" t="s">
        <v>3622</v>
      </c>
      <c r="D33" s="3249" t="s">
        <v>3623</v>
      </c>
      <c r="E33" s="3249">
        <v>488</v>
      </c>
      <c r="F33" s="3249">
        <f t="shared" ref="F33" si="2">ROUND(E33*10000/B33,0)</f>
        <v>50128</v>
      </c>
      <c r="G33" s="3223">
        <v>45170</v>
      </c>
      <c r="H33" s="3224"/>
      <c r="I33" s="3223" t="s">
        <v>3624</v>
      </c>
      <c r="J33" s="3225" t="s">
        <v>3618</v>
      </c>
      <c r="K33" s="3224">
        <f>100/100</f>
        <v>1</v>
      </c>
      <c r="L33" s="3225" t="s">
        <v>3619</v>
      </c>
      <c r="M33" s="3224">
        <f t="shared" ref="M33" si="3">100/102</f>
        <v>0.98039215686274506</v>
      </c>
      <c r="N33" s="3225" t="s">
        <v>3620</v>
      </c>
      <c r="O33" s="3224">
        <v>1</v>
      </c>
      <c r="P33" s="3226">
        <v>2002</v>
      </c>
      <c r="Q33" s="3226" t="s">
        <v>3621</v>
      </c>
    </row>
    <row r="34" spans="1:18" s="3226" customFormat="1" ht="18" customHeight="1" outlineLevel="1">
      <c r="A34" s="3249" t="s">
        <v>3610</v>
      </c>
      <c r="B34" s="3249">
        <v>118.91</v>
      </c>
      <c r="C34" s="3249" t="s">
        <v>3611</v>
      </c>
      <c r="D34" s="3249" t="s">
        <v>3612</v>
      </c>
      <c r="E34" s="3249">
        <v>587</v>
      </c>
      <c r="F34" s="3249">
        <f>ROUND(E34*10000/B34,0)</f>
        <v>49365</v>
      </c>
      <c r="G34" s="3223">
        <v>45136</v>
      </c>
      <c r="H34" s="3224"/>
      <c r="I34" s="3223" t="s">
        <v>3530</v>
      </c>
      <c r="J34" s="3225"/>
      <c r="K34" s="3224"/>
      <c r="L34" s="3225"/>
      <c r="M34" s="3224"/>
      <c r="N34" s="3225"/>
      <c r="O34" s="3224"/>
    </row>
    <row r="35" spans="1:18" s="3238" customFormat="1" ht="18" customHeight="1" outlineLevel="1">
      <c r="A35" s="3252" t="s">
        <v>3499</v>
      </c>
      <c r="B35" s="3252">
        <v>65.989999999999995</v>
      </c>
      <c r="C35" s="3252" t="s">
        <v>3501</v>
      </c>
      <c r="D35" s="3252" t="s">
        <v>3493</v>
      </c>
      <c r="E35" s="3252">
        <v>367.7</v>
      </c>
      <c r="F35" s="3252">
        <f>ROUND(E35*10000/B35,0)</f>
        <v>55721</v>
      </c>
      <c r="G35" s="3235">
        <v>45096</v>
      </c>
      <c r="H35" s="3236">
        <f>'比较法-住宅（标准房屋）'!C59/'比较法-住宅（标准房屋）'!G59</f>
        <v>1.0069509826331164</v>
      </c>
      <c r="I35" s="3235"/>
      <c r="J35" s="3237" t="s">
        <v>3582</v>
      </c>
      <c r="K35" s="3236">
        <f>100/101.5</f>
        <v>0.98522167487684731</v>
      </c>
      <c r="L35" s="3237" t="s">
        <v>3573</v>
      </c>
      <c r="M35" s="3236">
        <f>100/102</f>
        <v>0.98039215686274506</v>
      </c>
      <c r="N35" s="3237" t="s">
        <v>3577</v>
      </c>
      <c r="O35" s="3236">
        <v>1</v>
      </c>
      <c r="P35" s="3238">
        <v>1997</v>
      </c>
      <c r="Q35" s="3238" t="s">
        <v>3575</v>
      </c>
      <c r="R35" s="3238">
        <f t="shared" ref="R35:R38" si="4">ROUND(F35*H35*K35*M35*O35,0)</f>
        <v>54195</v>
      </c>
    </row>
    <row r="36" spans="1:18" s="3230" customFormat="1" ht="18" customHeight="1" outlineLevel="1">
      <c r="A36" s="3250" t="s">
        <v>3499</v>
      </c>
      <c r="B36" s="3250">
        <v>89.14</v>
      </c>
      <c r="C36" s="3250" t="s">
        <v>3500</v>
      </c>
      <c r="D36" s="3250" t="s">
        <v>3493</v>
      </c>
      <c r="E36" s="3250">
        <v>398</v>
      </c>
      <c r="F36" s="3250">
        <f>ROUND(E36*10000/B36,0)</f>
        <v>44649</v>
      </c>
      <c r="G36" s="3227">
        <v>45066</v>
      </c>
      <c r="H36" s="3228">
        <f>'比较法-住宅（标准房屋）'!C59/'比较法-住宅（标准房屋）'!H59</f>
        <v>0.99889522188459556</v>
      </c>
      <c r="I36" s="3227"/>
      <c r="J36" s="3229" t="s">
        <v>3572</v>
      </c>
      <c r="K36" s="3228">
        <f>100/97</f>
        <v>1.0309278350515463</v>
      </c>
      <c r="L36" s="3229" t="s">
        <v>3573</v>
      </c>
      <c r="M36" s="3228">
        <f t="shared" ref="M36:M37" si="5">100/102</f>
        <v>0.98039215686274506</v>
      </c>
      <c r="N36" s="3233" t="s">
        <v>3574</v>
      </c>
      <c r="O36" s="3228">
        <f>100/102</f>
        <v>0.98039215686274506</v>
      </c>
      <c r="P36" s="3230">
        <v>2002</v>
      </c>
      <c r="Q36" s="3234" t="s">
        <v>3575</v>
      </c>
      <c r="R36" s="3230">
        <f t="shared" si="4"/>
        <v>44194</v>
      </c>
    </row>
    <row r="37" spans="1:18" s="3276" customFormat="1" ht="18" customHeight="1" outlineLevel="1">
      <c r="A37" s="3272" t="s">
        <v>3499</v>
      </c>
      <c r="B37" s="3272">
        <v>61.56</v>
      </c>
      <c r="C37" s="3272" t="s">
        <v>3500</v>
      </c>
      <c r="D37" s="3272" t="s">
        <v>3493</v>
      </c>
      <c r="E37" s="3272">
        <v>325</v>
      </c>
      <c r="F37" s="3272">
        <f>ROUND(E37*10000/B37,0)</f>
        <v>52794</v>
      </c>
      <c r="G37" s="3273">
        <v>45003</v>
      </c>
      <c r="H37" s="3274">
        <f>'比较法-住宅（标准房屋）'!C59/'比较法-住宅（标准房屋）'!J59</f>
        <v>0.98991376861161617</v>
      </c>
      <c r="I37" s="3273"/>
      <c r="J37" s="3275" t="s">
        <v>3581</v>
      </c>
      <c r="K37" s="3274">
        <f>100/100</f>
        <v>1</v>
      </c>
      <c r="L37" s="3275" t="s">
        <v>3573</v>
      </c>
      <c r="M37" s="3274">
        <f t="shared" si="5"/>
        <v>0.98039215686274506</v>
      </c>
      <c r="N37" s="3275" t="s">
        <v>3577</v>
      </c>
      <c r="O37" s="3274">
        <v>1</v>
      </c>
      <c r="P37" s="3276">
        <v>1997</v>
      </c>
      <c r="Q37" s="3276" t="s">
        <v>3575</v>
      </c>
      <c r="R37" s="3276">
        <f t="shared" si="4"/>
        <v>51237</v>
      </c>
    </row>
    <row r="38" spans="1:18" s="3263" customFormat="1" ht="18" customHeight="1" outlineLevel="1">
      <c r="A38" s="3259" t="s">
        <v>3499</v>
      </c>
      <c r="B38" s="3259">
        <v>69.790000000000006</v>
      </c>
      <c r="C38" s="3259" t="s">
        <v>3501</v>
      </c>
      <c r="D38" s="3259" t="s">
        <v>3542</v>
      </c>
      <c r="E38" s="3259">
        <v>382</v>
      </c>
      <c r="F38" s="3259">
        <f t="shared" ref="F38:F114" si="6">ROUND(E38*10000/B38,0)</f>
        <v>54736</v>
      </c>
      <c r="G38" s="3260">
        <v>45003</v>
      </c>
      <c r="H38" s="3261">
        <f>'比较法-住宅（标准房屋）'!C59/'比较法-住宅（标准房屋）'!J59</f>
        <v>0.98991376861161617</v>
      </c>
      <c r="I38" s="3260"/>
      <c r="J38" s="3262" t="s">
        <v>3578</v>
      </c>
      <c r="K38" s="3261">
        <f>100/101.5</f>
        <v>0.98522167487684731</v>
      </c>
      <c r="L38" s="3262" t="s">
        <v>3576</v>
      </c>
      <c r="M38" s="3261">
        <v>1</v>
      </c>
      <c r="N38" s="3262" t="s">
        <v>3574</v>
      </c>
      <c r="O38" s="3261">
        <f>100/102</f>
        <v>0.98039215686274506</v>
      </c>
      <c r="P38" s="3263">
        <v>1997</v>
      </c>
      <c r="Q38" s="3263" t="s">
        <v>3575</v>
      </c>
      <c r="R38" s="3263">
        <f t="shared" si="4"/>
        <v>52336</v>
      </c>
    </row>
    <row r="39" spans="1:18" s="3226" customFormat="1" ht="18" customHeight="1" outlineLevel="1">
      <c r="A39" s="3249" t="s">
        <v>3499</v>
      </c>
      <c r="B39" s="3249">
        <v>119.83</v>
      </c>
      <c r="C39" s="3249" t="s">
        <v>3500</v>
      </c>
      <c r="D39" s="3249" t="s">
        <v>3493</v>
      </c>
      <c r="E39" s="3249">
        <v>530</v>
      </c>
      <c r="F39" s="3249">
        <f t="shared" si="6"/>
        <v>44229</v>
      </c>
      <c r="G39" s="3223">
        <v>44992</v>
      </c>
      <c r="H39" s="3224"/>
      <c r="I39" s="3223" t="s">
        <v>3530</v>
      </c>
      <c r="J39" s="3225"/>
      <c r="K39" s="3224"/>
      <c r="L39" s="3225"/>
      <c r="M39" s="3224"/>
      <c r="N39" s="3225"/>
      <c r="O39" s="3224"/>
    </row>
    <row r="40" spans="1:18" ht="18" customHeight="1" outlineLevel="1">
      <c r="A40" s="3251" t="s">
        <v>3499</v>
      </c>
      <c r="B40" s="3251">
        <v>86.9</v>
      </c>
      <c r="C40" s="3251" t="s">
        <v>3502</v>
      </c>
      <c r="D40" s="3251" t="s">
        <v>3493</v>
      </c>
      <c r="E40" s="3251">
        <v>519</v>
      </c>
      <c r="F40" s="3251">
        <f t="shared" si="6"/>
        <v>59724</v>
      </c>
      <c r="G40" s="3231">
        <v>44982</v>
      </c>
      <c r="H40" s="3232">
        <f>'比较法-住宅（标准房屋）'!$C$59/'比较法-住宅（标准房屋）'!K59</f>
        <v>0.99684299822462263</v>
      </c>
      <c r="I40" s="3231"/>
      <c r="J40" s="3233" t="s">
        <v>3580</v>
      </c>
      <c r="K40" s="3232">
        <f>100/100</f>
        <v>1</v>
      </c>
      <c r="L40" s="3233" t="s">
        <v>3573</v>
      </c>
      <c r="M40" s="3228">
        <f>100/102</f>
        <v>0.98039215686274506</v>
      </c>
      <c r="N40" s="3233" t="s">
        <v>3577</v>
      </c>
      <c r="O40" s="3232">
        <v>1</v>
      </c>
      <c r="P40" s="3234">
        <v>2002</v>
      </c>
      <c r="Q40" s="3234" t="s">
        <v>3575</v>
      </c>
      <c r="R40" s="3230">
        <f t="shared" ref="R40:R43" si="7">ROUND(F40*H40*K40*M40*O40,0)</f>
        <v>58368</v>
      </c>
    </row>
    <row r="41" spans="1:18" s="3263" customFormat="1" ht="18" customHeight="1" outlineLevel="1">
      <c r="A41" s="3259" t="s">
        <v>3499</v>
      </c>
      <c r="B41" s="3259">
        <v>87.45</v>
      </c>
      <c r="C41" s="3259" t="s">
        <v>3502</v>
      </c>
      <c r="D41" s="3259" t="s">
        <v>3493</v>
      </c>
      <c r="E41" s="3259">
        <v>512</v>
      </c>
      <c r="F41" s="3259">
        <f t="shared" si="6"/>
        <v>58548</v>
      </c>
      <c r="G41" s="3260">
        <v>44976</v>
      </c>
      <c r="H41" s="3261">
        <f>'比较法-住宅（标准房屋）'!C59/'比较法-住宅（标准房屋）'!K59</f>
        <v>0.99684299822462263</v>
      </c>
      <c r="I41" s="3260"/>
      <c r="J41" s="3262" t="s">
        <v>3579</v>
      </c>
      <c r="K41" s="3261">
        <f>100/99</f>
        <v>1.0101010101010102</v>
      </c>
      <c r="L41" s="3262" t="s">
        <v>3573</v>
      </c>
      <c r="M41" s="3261">
        <f>100/102</f>
        <v>0.98039215686274506</v>
      </c>
      <c r="N41" s="3262" t="s">
        <v>3577</v>
      </c>
      <c r="O41" s="3261">
        <v>1</v>
      </c>
      <c r="P41" s="3263">
        <v>2002</v>
      </c>
      <c r="Q41" s="3263" t="s">
        <v>3575</v>
      </c>
      <c r="R41" s="3263">
        <f t="shared" si="7"/>
        <v>57797</v>
      </c>
    </row>
    <row r="42" spans="1:18" s="3268" customFormat="1" ht="18" customHeight="1" outlineLevel="1">
      <c r="A42" s="3264" t="s">
        <v>3499</v>
      </c>
      <c r="B42" s="3264">
        <v>61.56</v>
      </c>
      <c r="C42" s="3264" t="s">
        <v>3501</v>
      </c>
      <c r="D42" s="3264" t="s">
        <v>3493</v>
      </c>
      <c r="E42" s="3264">
        <v>342</v>
      </c>
      <c r="F42" s="3264">
        <f t="shared" si="6"/>
        <v>55556</v>
      </c>
      <c r="G42" s="3265">
        <v>44975</v>
      </c>
      <c r="H42" s="3266">
        <f>'比较法-住宅（标准房屋）'!C59/'比较法-住宅（标准房屋）'!K59</f>
        <v>0.99684299822462263</v>
      </c>
      <c r="I42" s="3265"/>
      <c r="J42" s="3267" t="s">
        <v>3578</v>
      </c>
      <c r="K42" s="3266">
        <f>100/101.5</f>
        <v>0.98522167487684731</v>
      </c>
      <c r="L42" s="3267" t="s">
        <v>3573</v>
      </c>
      <c r="M42" s="3266">
        <f>100/102</f>
        <v>0.98039215686274506</v>
      </c>
      <c r="N42" s="3267" t="s">
        <v>3574</v>
      </c>
      <c r="O42" s="3266">
        <f>100/102</f>
        <v>0.98039215686274506</v>
      </c>
      <c r="P42" s="3268">
        <v>1997</v>
      </c>
      <c r="Q42" s="3268" t="s">
        <v>3575</v>
      </c>
      <c r="R42" s="3268">
        <f t="shared" si="7"/>
        <v>52443</v>
      </c>
    </row>
    <row r="43" spans="1:18" s="3230" customFormat="1" ht="18" customHeight="1" outlineLevel="1">
      <c r="A43" s="3250" t="s">
        <v>3499</v>
      </c>
      <c r="B43" s="3250">
        <v>84.19</v>
      </c>
      <c r="C43" s="3250" t="s">
        <v>3500</v>
      </c>
      <c r="D43" s="3250" t="s">
        <v>3493</v>
      </c>
      <c r="E43" s="3250">
        <v>439</v>
      </c>
      <c r="F43" s="3250">
        <f t="shared" si="6"/>
        <v>52144</v>
      </c>
      <c r="G43" s="3227">
        <v>44962</v>
      </c>
      <c r="H43" s="3228">
        <f>'比较法-住宅（标准房屋）'!C59/'比较法-住宅（标准房屋）'!K59</f>
        <v>0.99684299822462263</v>
      </c>
      <c r="I43" s="3227"/>
      <c r="J43" s="3229" t="s">
        <v>3572</v>
      </c>
      <c r="K43" s="3228">
        <f>100/97</f>
        <v>1.0309278350515463</v>
      </c>
      <c r="L43" s="3229" t="s">
        <v>3573</v>
      </c>
      <c r="M43" s="3228">
        <f>100/102</f>
        <v>0.98039215686274506</v>
      </c>
      <c r="N43" s="3229" t="s">
        <v>3577</v>
      </c>
      <c r="O43" s="3228">
        <v>1</v>
      </c>
      <c r="P43" s="3230">
        <v>2002</v>
      </c>
      <c r="Q43" s="3230" t="s">
        <v>3575</v>
      </c>
      <c r="R43" s="3230">
        <f t="shared" si="7"/>
        <v>52536</v>
      </c>
    </row>
    <row r="44" spans="1:18" s="3226" customFormat="1" ht="18" customHeight="1" outlineLevel="1">
      <c r="A44" s="3249" t="s">
        <v>3499</v>
      </c>
      <c r="B44" s="3249">
        <v>68.95</v>
      </c>
      <c r="C44" s="3249" t="s">
        <v>3503</v>
      </c>
      <c r="D44" s="3249" t="s">
        <v>3495</v>
      </c>
      <c r="E44" s="3249">
        <v>361</v>
      </c>
      <c r="F44" s="3249">
        <f t="shared" si="6"/>
        <v>52357</v>
      </c>
      <c r="G44" s="3223">
        <v>44943</v>
      </c>
      <c r="H44" s="3224"/>
      <c r="I44" s="3223" t="s">
        <v>3567</v>
      </c>
      <c r="J44" s="3225" t="s">
        <v>3572</v>
      </c>
      <c r="K44" s="3224">
        <f>100/97</f>
        <v>1.0309278350515463</v>
      </c>
      <c r="L44" s="3225" t="s">
        <v>3576</v>
      </c>
      <c r="M44" s="3224"/>
      <c r="N44" s="3225" t="s">
        <v>3574</v>
      </c>
      <c r="O44" s="3224"/>
      <c r="P44" s="3226">
        <v>2004</v>
      </c>
      <c r="Q44" s="3226" t="s">
        <v>3575</v>
      </c>
    </row>
    <row r="45" spans="1:18" ht="18" customHeight="1" outlineLevel="1">
      <c r="A45" s="3251" t="s">
        <v>3499</v>
      </c>
      <c r="B45" s="3251">
        <v>65.5</v>
      </c>
      <c r="C45" s="3251" t="s">
        <v>3500</v>
      </c>
      <c r="D45" s="3251" t="s">
        <v>3495</v>
      </c>
      <c r="E45" s="3251">
        <v>285</v>
      </c>
      <c r="F45" s="3251">
        <f t="shared" si="6"/>
        <v>43511</v>
      </c>
      <c r="G45" s="3231">
        <v>44930</v>
      </c>
      <c r="H45" s="3232">
        <f>'比较法-住宅（标准房屋）'!C59/'比较法-住宅（标准房屋）'!L59</f>
        <v>1.0078085002600146</v>
      </c>
      <c r="I45" s="3231"/>
      <c r="J45" s="3233" t="s">
        <v>3572</v>
      </c>
      <c r="K45" s="3232">
        <f>100/97</f>
        <v>1.0309278350515463</v>
      </c>
      <c r="L45" s="3233" t="s">
        <v>3576</v>
      </c>
      <c r="M45" s="3232">
        <v>1</v>
      </c>
      <c r="N45" s="3233" t="s">
        <v>3574</v>
      </c>
      <c r="O45" s="3232">
        <f>100/102</f>
        <v>0.98039215686274506</v>
      </c>
      <c r="P45" s="3234">
        <v>1997</v>
      </c>
      <c r="Q45" s="3234" t="s">
        <v>3575</v>
      </c>
      <c r="R45" s="3230">
        <f t="shared" ref="R45:R46" si="8">ROUND(F45*H45*K45*M45*O45,0)</f>
        <v>44321</v>
      </c>
    </row>
    <row r="46" spans="1:18" s="3230" customFormat="1" ht="18" customHeight="1" outlineLevel="1">
      <c r="A46" s="3250" t="s">
        <v>3499</v>
      </c>
      <c r="B46" s="3250">
        <v>51.15</v>
      </c>
      <c r="C46" s="3250" t="s">
        <v>3500</v>
      </c>
      <c r="D46" s="3250" t="s">
        <v>3493</v>
      </c>
      <c r="E46" s="3250">
        <v>271</v>
      </c>
      <c r="F46" s="3250">
        <f t="shared" si="6"/>
        <v>52981</v>
      </c>
      <c r="G46" s="3227">
        <v>44870</v>
      </c>
      <c r="H46" s="3228">
        <f>'比较法-住宅（标准房屋）'!C59/'比较法-住宅（标准房屋）'!N59</f>
        <v>1.0158379291534312</v>
      </c>
      <c r="I46" s="3227"/>
      <c r="J46" s="3229" t="s">
        <v>3572</v>
      </c>
      <c r="K46" s="3228">
        <f>100/97</f>
        <v>1.0309278350515463</v>
      </c>
      <c r="L46" s="3229" t="s">
        <v>3573</v>
      </c>
      <c r="M46" s="3228">
        <f>100/102</f>
        <v>0.98039215686274506</v>
      </c>
      <c r="N46" s="3229" t="s">
        <v>3574</v>
      </c>
      <c r="O46" s="3228">
        <f>100/102</f>
        <v>0.98039215686274506</v>
      </c>
      <c r="P46" s="3230">
        <v>1997</v>
      </c>
      <c r="Q46" s="3230" t="s">
        <v>3575</v>
      </c>
      <c r="R46" s="3230">
        <f t="shared" si="8"/>
        <v>53330</v>
      </c>
    </row>
    <row r="47" spans="1:18" s="3226" customFormat="1" ht="18" customHeight="1" outlineLevel="1">
      <c r="A47" s="3249" t="s">
        <v>3568</v>
      </c>
      <c r="B47" s="3249">
        <v>88.7</v>
      </c>
      <c r="C47" s="3249" t="s">
        <v>3569</v>
      </c>
      <c r="D47" s="3249" t="s">
        <v>3570</v>
      </c>
      <c r="E47" s="3249">
        <v>497</v>
      </c>
      <c r="F47" s="3249">
        <f t="shared" si="6"/>
        <v>56032</v>
      </c>
      <c r="G47" s="3223">
        <v>44841</v>
      </c>
      <c r="H47" s="3224"/>
      <c r="I47" s="3223" t="s">
        <v>3565</v>
      </c>
      <c r="J47" s="3225"/>
      <c r="K47" s="3224"/>
      <c r="L47" s="3225"/>
      <c r="M47" s="3224"/>
      <c r="N47" s="3225"/>
      <c r="O47" s="3224"/>
    </row>
    <row r="48" spans="1:18" s="3226" customFormat="1" ht="18" customHeight="1" outlineLevel="1">
      <c r="A48" s="3249" t="s">
        <v>3568</v>
      </c>
      <c r="B48" s="3249">
        <v>65.989999999999995</v>
      </c>
      <c r="C48" s="3249" t="s">
        <v>3571</v>
      </c>
      <c r="D48" s="3249" t="s">
        <v>3570</v>
      </c>
      <c r="E48" s="3249">
        <v>386</v>
      </c>
      <c r="F48" s="3249">
        <f t="shared" si="6"/>
        <v>58494</v>
      </c>
      <c r="G48" s="3223">
        <v>44839</v>
      </c>
      <c r="H48" s="3224"/>
      <c r="I48" s="3223" t="s">
        <v>3565</v>
      </c>
      <c r="J48" s="3225"/>
      <c r="K48" s="3224"/>
      <c r="L48" s="3225"/>
      <c r="M48" s="3224"/>
      <c r="N48" s="3225"/>
      <c r="O48" s="3224"/>
    </row>
    <row r="49" spans="1:15" s="3226" customFormat="1" ht="18" customHeight="1" outlineLevel="1">
      <c r="A49" s="3249" t="s">
        <v>3499</v>
      </c>
      <c r="B49" s="3249">
        <v>51.15</v>
      </c>
      <c r="C49" s="3249" t="s">
        <v>3500</v>
      </c>
      <c r="D49" s="3249" t="s">
        <v>3493</v>
      </c>
      <c r="E49" s="3249">
        <v>287</v>
      </c>
      <c r="F49" s="3249">
        <f t="shared" si="6"/>
        <v>56109</v>
      </c>
      <c r="G49" s="3223">
        <v>44824</v>
      </c>
      <c r="H49" s="3224"/>
      <c r="I49" s="3223" t="s">
        <v>3565</v>
      </c>
      <c r="J49" s="3225"/>
      <c r="K49" s="3224"/>
      <c r="L49" s="3225"/>
      <c r="M49" s="3224"/>
      <c r="N49" s="3225"/>
      <c r="O49" s="3224"/>
    </row>
    <row r="50" spans="1:15" s="3226" customFormat="1" ht="18" customHeight="1" outlineLevel="1">
      <c r="A50" s="3249" t="s">
        <v>3499</v>
      </c>
      <c r="B50" s="3249">
        <v>51.15</v>
      </c>
      <c r="C50" s="3249" t="s">
        <v>3501</v>
      </c>
      <c r="D50" s="3249" t="s">
        <v>3493</v>
      </c>
      <c r="E50" s="3249">
        <v>295</v>
      </c>
      <c r="F50" s="3249">
        <f t="shared" si="6"/>
        <v>57674</v>
      </c>
      <c r="G50" s="3223">
        <v>44807</v>
      </c>
      <c r="H50" s="3224"/>
      <c r="I50" s="3223" t="s">
        <v>3565</v>
      </c>
      <c r="J50" s="3225"/>
      <c r="K50" s="3224"/>
      <c r="L50" s="3225"/>
      <c r="M50" s="3224"/>
      <c r="N50" s="3225"/>
      <c r="O50" s="3224"/>
    </row>
    <row r="51" spans="1:15" s="3226" customFormat="1" ht="18" customHeight="1" outlineLevel="1">
      <c r="A51" s="3249" t="s">
        <v>3499</v>
      </c>
      <c r="B51" s="3249">
        <v>97.35</v>
      </c>
      <c r="C51" s="3249" t="s">
        <v>3501</v>
      </c>
      <c r="D51" s="3249" t="s">
        <v>3493</v>
      </c>
      <c r="E51" s="3249">
        <v>568</v>
      </c>
      <c r="F51" s="3249">
        <f t="shared" si="6"/>
        <v>58346</v>
      </c>
      <c r="G51" s="3223">
        <v>44805</v>
      </c>
      <c r="H51" s="3224"/>
      <c r="I51" s="3223" t="s">
        <v>3565</v>
      </c>
      <c r="J51" s="3225"/>
      <c r="K51" s="3224"/>
      <c r="L51" s="3225"/>
      <c r="M51" s="3224"/>
      <c r="N51" s="3225"/>
      <c r="O51" s="3224"/>
    </row>
    <row r="52" spans="1:15" s="3226" customFormat="1" ht="18" customHeight="1" outlineLevel="1">
      <c r="A52" s="3249" t="s">
        <v>3499</v>
      </c>
      <c r="B52" s="3249">
        <v>65.989999999999995</v>
      </c>
      <c r="C52" s="3249" t="s">
        <v>3501</v>
      </c>
      <c r="D52" s="3249" t="s">
        <v>3504</v>
      </c>
      <c r="E52" s="3249">
        <v>389</v>
      </c>
      <c r="F52" s="3249">
        <f t="shared" si="6"/>
        <v>58948</v>
      </c>
      <c r="G52" s="3223">
        <v>44779</v>
      </c>
      <c r="H52" s="3224"/>
      <c r="I52" s="3223" t="s">
        <v>3565</v>
      </c>
      <c r="J52" s="3225"/>
      <c r="K52" s="3224"/>
      <c r="L52" s="3225"/>
      <c r="M52" s="3224"/>
      <c r="N52" s="3225"/>
      <c r="O52" s="3224"/>
    </row>
    <row r="53" spans="1:15" s="3226" customFormat="1" ht="18" customHeight="1" outlineLevel="1">
      <c r="A53" s="3249" t="s">
        <v>3499</v>
      </c>
      <c r="B53" s="3249">
        <v>67.11</v>
      </c>
      <c r="C53" s="3249" t="s">
        <v>3500</v>
      </c>
      <c r="D53" s="3249" t="s">
        <v>3495</v>
      </c>
      <c r="E53" s="3249">
        <v>321</v>
      </c>
      <c r="F53" s="3249">
        <f t="shared" si="6"/>
        <v>47832</v>
      </c>
      <c r="G53" s="3223">
        <v>44741</v>
      </c>
      <c r="H53" s="3224"/>
      <c r="I53" s="3223" t="s">
        <v>3565</v>
      </c>
      <c r="J53" s="3225"/>
      <c r="K53" s="3224"/>
      <c r="L53" s="3225"/>
      <c r="M53" s="3224"/>
      <c r="N53" s="3225"/>
      <c r="O53" s="3224"/>
    </row>
    <row r="54" spans="1:15" s="3226" customFormat="1" ht="18" customHeight="1" outlineLevel="1">
      <c r="A54" s="3249" t="s">
        <v>3499</v>
      </c>
      <c r="B54" s="3249">
        <v>65.989999999999995</v>
      </c>
      <c r="C54" s="3249" t="s">
        <v>3502</v>
      </c>
      <c r="D54" s="3249" t="s">
        <v>3493</v>
      </c>
      <c r="E54" s="3249">
        <v>387.8</v>
      </c>
      <c r="F54" s="3249">
        <f t="shared" si="6"/>
        <v>58766</v>
      </c>
      <c r="G54" s="3223">
        <v>44740</v>
      </c>
      <c r="H54" s="3224"/>
      <c r="I54" s="3223" t="s">
        <v>3565</v>
      </c>
      <c r="J54" s="3225"/>
      <c r="K54" s="3224"/>
      <c r="L54" s="3225"/>
      <c r="M54" s="3224"/>
      <c r="N54" s="3225"/>
      <c r="O54" s="3224"/>
    </row>
    <row r="55" spans="1:15" s="3226" customFormat="1" ht="18" customHeight="1" outlineLevel="1">
      <c r="A55" s="3249" t="s">
        <v>3499</v>
      </c>
      <c r="B55" s="3249">
        <v>76</v>
      </c>
      <c r="C55" s="3249" t="s">
        <v>3502</v>
      </c>
      <c r="D55" s="3249" t="s">
        <v>3495</v>
      </c>
      <c r="E55" s="3249">
        <v>373</v>
      </c>
      <c r="F55" s="3249">
        <f t="shared" si="6"/>
        <v>49079</v>
      </c>
      <c r="G55" s="3223">
        <v>44737</v>
      </c>
      <c r="H55" s="3224"/>
      <c r="I55" s="3223" t="s">
        <v>3565</v>
      </c>
      <c r="J55" s="3225"/>
      <c r="K55" s="3224"/>
      <c r="L55" s="3225"/>
      <c r="M55" s="3224"/>
      <c r="N55" s="3225"/>
      <c r="O55" s="3224"/>
    </row>
    <row r="56" spans="1:15" s="3226" customFormat="1" ht="18" customHeight="1" outlineLevel="1">
      <c r="A56" s="3249" t="s">
        <v>3499</v>
      </c>
      <c r="B56" s="3249">
        <v>65.989999999999995</v>
      </c>
      <c r="C56" s="3249" t="s">
        <v>3500</v>
      </c>
      <c r="D56" s="3249" t="s">
        <v>3493</v>
      </c>
      <c r="E56" s="3249">
        <v>318</v>
      </c>
      <c r="F56" s="3249">
        <f t="shared" si="6"/>
        <v>48189</v>
      </c>
      <c r="G56" s="3223">
        <v>44694</v>
      </c>
      <c r="H56" s="3224"/>
      <c r="I56" s="3223" t="s">
        <v>3565</v>
      </c>
      <c r="J56" s="3225"/>
      <c r="K56" s="3224"/>
      <c r="L56" s="3225"/>
      <c r="M56" s="3224"/>
      <c r="N56" s="3225"/>
      <c r="O56" s="3224"/>
    </row>
    <row r="57" spans="1:15" s="3226" customFormat="1" ht="18" customHeight="1" outlineLevel="1">
      <c r="A57" s="3249" t="s">
        <v>3499</v>
      </c>
      <c r="B57" s="3249">
        <v>61.56</v>
      </c>
      <c r="C57" s="3249" t="s">
        <v>3500</v>
      </c>
      <c r="D57" s="3249" t="s">
        <v>3493</v>
      </c>
      <c r="E57" s="3249">
        <v>355</v>
      </c>
      <c r="F57" s="3249">
        <f t="shared" si="6"/>
        <v>57667</v>
      </c>
      <c r="G57" s="3223">
        <v>44687</v>
      </c>
      <c r="H57" s="3224"/>
      <c r="I57" s="3223" t="s">
        <v>3565</v>
      </c>
      <c r="J57" s="3225"/>
      <c r="K57" s="3224"/>
      <c r="L57" s="3225"/>
      <c r="M57" s="3224"/>
      <c r="N57" s="3225"/>
      <c r="O57" s="3224"/>
    </row>
    <row r="58" spans="1:15" s="3242" customFormat="1" ht="18" customHeight="1" outlineLevel="1" thickBot="1">
      <c r="A58" s="3253" t="s">
        <v>3499</v>
      </c>
      <c r="B58" s="3253">
        <v>65.989999999999995</v>
      </c>
      <c r="C58" s="3253" t="s">
        <v>3500</v>
      </c>
      <c r="D58" s="3253" t="s">
        <v>3493</v>
      </c>
      <c r="E58" s="3253">
        <v>367</v>
      </c>
      <c r="F58" s="3253">
        <f t="shared" si="6"/>
        <v>55614</v>
      </c>
      <c r="G58" s="3239">
        <v>44674</v>
      </c>
      <c r="H58" s="3240"/>
      <c r="I58" s="3239" t="s">
        <v>3566</v>
      </c>
      <c r="J58" s="3241"/>
      <c r="K58" s="3240"/>
      <c r="L58" s="3241"/>
      <c r="M58" s="3240"/>
      <c r="N58" s="3241"/>
      <c r="O58" s="3240"/>
    </row>
    <row r="59" spans="1:15" s="3219" customFormat="1" ht="18" customHeight="1">
      <c r="A59" s="3221" t="s">
        <v>3525</v>
      </c>
      <c r="B59" s="3221"/>
      <c r="C59" s="3221"/>
      <c r="D59" s="3221"/>
      <c r="E59" s="3221"/>
      <c r="F59" s="3221">
        <f>ROUND(SUM(E75:E95)/SUM(B75:B95)*10000,0)</f>
        <v>52404</v>
      </c>
      <c r="G59" s="3220" t="s">
        <v>3523</v>
      </c>
      <c r="H59" s="3221"/>
      <c r="I59" s="3220"/>
      <c r="J59" s="3220"/>
      <c r="K59" s="3221"/>
      <c r="L59" s="3220"/>
      <c r="M59" s="3221"/>
      <c r="N59" s="3220"/>
      <c r="O59" s="3221"/>
    </row>
    <row r="60" spans="1:15" s="3219" customFormat="1" ht="18" customHeight="1" outlineLevel="1">
      <c r="A60" s="3247" t="s">
        <v>3600</v>
      </c>
      <c r="B60" s="3222" t="e">
        <f>ROUND((C60-C62)/C62,4)</f>
        <v>#VALUE!</v>
      </c>
      <c r="C60" s="3221">
        <f>'比较法-住宅（建欣苑四里）'!C49</f>
        <v>51806</v>
      </c>
      <c r="D60" s="3221" t="s">
        <v>3540</v>
      </c>
      <c r="E60" s="3222">
        <f>ROUND((F60-F62)/F62,4)</f>
        <v>-4.2999999999999997E-2</v>
      </c>
      <c r="F60" s="3221">
        <v>51486</v>
      </c>
      <c r="G60" s="3220" t="s">
        <v>3609</v>
      </c>
      <c r="H60" s="3221"/>
      <c r="I60" s="3220"/>
      <c r="J60" s="3220"/>
      <c r="K60" s="3221"/>
      <c r="L60" s="3220"/>
      <c r="M60" s="3221"/>
      <c r="N60" s="3220"/>
      <c r="O60" s="3221"/>
    </row>
    <row r="61" spans="1:15" s="3219" customFormat="1" ht="18" customHeight="1" outlineLevel="2">
      <c r="A61" s="3247"/>
      <c r="B61" s="3222"/>
      <c r="C61" s="3221"/>
      <c r="D61" s="3221"/>
      <c r="E61" s="3222"/>
      <c r="F61" s="3255">
        <v>52286</v>
      </c>
      <c r="G61" s="3257" t="s">
        <v>3608</v>
      </c>
      <c r="H61" s="3221"/>
      <c r="I61" s="3220"/>
      <c r="J61" s="3220"/>
      <c r="K61" s="3221"/>
      <c r="L61" s="3220"/>
      <c r="M61" s="3221"/>
      <c r="N61" s="3220"/>
      <c r="O61" s="3221"/>
    </row>
    <row r="62" spans="1:15" s="3258" customFormat="1" ht="18" customHeight="1" outlineLevel="2">
      <c r="A62" s="3255"/>
      <c r="B62" s="3255"/>
      <c r="C62" s="3255" t="s">
        <v>3601</v>
      </c>
      <c r="D62" s="3255" t="s">
        <v>3541</v>
      </c>
      <c r="E62" s="3255"/>
      <c r="F62" s="3255">
        <v>53802</v>
      </c>
      <c r="G62" s="3257" t="s">
        <v>3543</v>
      </c>
      <c r="H62" s="3255"/>
      <c r="I62" s="3257"/>
      <c r="J62" s="3257"/>
      <c r="K62" s="3255"/>
      <c r="L62" s="3257"/>
      <c r="M62" s="3255"/>
      <c r="N62" s="3257"/>
      <c r="O62" s="3255"/>
    </row>
    <row r="63" spans="1:15" s="3219" customFormat="1" ht="18" customHeight="1" outlineLevel="1">
      <c r="A63" s="3247" t="s">
        <v>3597</v>
      </c>
      <c r="B63" s="3221"/>
      <c r="C63" s="3222">
        <f>ROUND(C64*D64+C65*D65,3)</f>
        <v>0.78200000000000003</v>
      </c>
      <c r="D63" s="3221"/>
      <c r="E63" s="3221"/>
      <c r="F63" s="3221"/>
      <c r="G63" s="3220"/>
      <c r="H63" s="3221"/>
      <c r="I63" s="3221"/>
      <c r="J63" s="3220"/>
      <c r="K63" s="3221"/>
      <c r="L63" s="3220"/>
      <c r="M63" s="3221"/>
      <c r="N63" s="3220"/>
      <c r="O63" s="3221"/>
    </row>
    <row r="64" spans="1:15" s="3258" customFormat="1" ht="18" customHeight="1" outlineLevel="2">
      <c r="A64" s="3255"/>
      <c r="B64" s="3255" t="s">
        <v>3599</v>
      </c>
      <c r="C64" s="3256">
        <v>0.85</v>
      </c>
      <c r="D64" s="3255">
        <v>0.8</v>
      </c>
      <c r="E64" s="3255"/>
      <c r="F64" s="3255"/>
      <c r="G64" s="3257"/>
      <c r="H64" s="3255"/>
      <c r="I64" s="3255"/>
      <c r="J64" s="3257"/>
      <c r="K64" s="3255"/>
      <c r="L64" s="3257"/>
      <c r="M64" s="3255"/>
      <c r="N64" s="3257"/>
      <c r="O64" s="3255"/>
    </row>
    <row r="65" spans="1:18" s="3258" customFormat="1" ht="18" customHeight="1" outlineLevel="2">
      <c r="A65" s="3255"/>
      <c r="B65" s="3255" t="s">
        <v>3598</v>
      </c>
      <c r="C65" s="3256">
        <f>ROUND(1-(1-2%)/50*(2023-F65),3)</f>
        <v>0.51</v>
      </c>
      <c r="D65" s="3255">
        <f>1-D64</f>
        <v>0.19999999999999996</v>
      </c>
      <c r="E65" s="3255" t="s">
        <v>3596</v>
      </c>
      <c r="F65" s="3255">
        <v>1998</v>
      </c>
      <c r="G65" s="3257"/>
      <c r="H65" s="3255"/>
      <c r="I65" s="3255"/>
      <c r="J65" s="3257"/>
      <c r="K65" s="3255"/>
      <c r="L65" s="3257"/>
      <c r="M65" s="3255"/>
      <c r="N65" s="3257"/>
      <c r="O65" s="3255"/>
    </row>
    <row r="66" spans="1:18" s="3219" customFormat="1" ht="18" customHeight="1" outlineLevel="1">
      <c r="A66" s="3247" t="s">
        <v>3597</v>
      </c>
      <c r="B66" s="3221"/>
      <c r="C66" s="3222">
        <f>ROUND(C67*D67+C68*D68,3)</f>
        <v>0.78600000000000003</v>
      </c>
      <c r="D66" s="3221"/>
      <c r="E66" s="3221"/>
      <c r="F66" s="3221"/>
      <c r="G66" s="3220"/>
      <c r="H66" s="3221"/>
      <c r="I66" s="3221"/>
      <c r="J66" s="3220"/>
      <c r="K66" s="3221"/>
      <c r="L66" s="3220"/>
      <c r="M66" s="3221"/>
      <c r="N66" s="3220"/>
      <c r="O66" s="3221"/>
    </row>
    <row r="67" spans="1:18" s="3258" customFormat="1" ht="18" customHeight="1" outlineLevel="2">
      <c r="A67" s="3255"/>
      <c r="B67" s="3255" t="s">
        <v>3599</v>
      </c>
      <c r="C67" s="3256">
        <v>0.85</v>
      </c>
      <c r="D67" s="3255">
        <v>0.8</v>
      </c>
      <c r="E67" s="3255"/>
      <c r="F67" s="3255"/>
      <c r="G67" s="3257"/>
      <c r="H67" s="3255"/>
      <c r="I67" s="3255"/>
      <c r="J67" s="3257"/>
      <c r="K67" s="3255"/>
      <c r="L67" s="3257"/>
      <c r="M67" s="3255"/>
      <c r="N67" s="3257"/>
      <c r="O67" s="3255"/>
    </row>
    <row r="68" spans="1:18" s="3258" customFormat="1" ht="18" customHeight="1" outlineLevel="2">
      <c r="A68" s="3255"/>
      <c r="B68" s="3255" t="s">
        <v>3598</v>
      </c>
      <c r="C68" s="3256">
        <f>ROUND(1-(1-2%)/50*(2023-F68),3)</f>
        <v>0.53</v>
      </c>
      <c r="D68" s="3255">
        <f>1-D67</f>
        <v>0.19999999999999996</v>
      </c>
      <c r="E68" s="3255" t="s">
        <v>3596</v>
      </c>
      <c r="F68" s="3255">
        <v>1999</v>
      </c>
      <c r="G68" s="3257"/>
      <c r="H68" s="3255"/>
      <c r="I68" s="3255"/>
      <c r="J68" s="3257"/>
      <c r="K68" s="3255"/>
      <c r="L68" s="3257"/>
      <c r="M68" s="3255"/>
      <c r="N68" s="3257"/>
      <c r="O68" s="3255"/>
    </row>
    <row r="69" spans="1:18" s="3226" customFormat="1" ht="18" customHeight="1" outlineLevel="1">
      <c r="A69" s="3249" t="s">
        <v>3628</v>
      </c>
      <c r="B69" s="3249">
        <v>67.63</v>
      </c>
      <c r="C69" s="3249" t="s">
        <v>3629</v>
      </c>
      <c r="D69" s="3249" t="s">
        <v>3630</v>
      </c>
      <c r="E69" s="3249">
        <v>343</v>
      </c>
      <c r="F69" s="3249">
        <f t="shared" ref="F69:F74" si="9">ROUND(E69*10000/B69,0)</f>
        <v>50717</v>
      </c>
      <c r="G69" s="3223">
        <v>45214</v>
      </c>
      <c r="H69" s="3224"/>
      <c r="I69" s="3223" t="s">
        <v>3631</v>
      </c>
      <c r="J69" s="3225"/>
      <c r="K69" s="3224"/>
      <c r="L69" s="3225"/>
      <c r="M69" s="3224"/>
      <c r="N69" s="3225"/>
      <c r="O69" s="3224"/>
    </row>
    <row r="70" spans="1:18" s="3226" customFormat="1" ht="18" customHeight="1" outlineLevel="1">
      <c r="A70" s="3249" t="s">
        <v>3628</v>
      </c>
      <c r="B70" s="3249">
        <v>70.010000000000005</v>
      </c>
      <c r="C70" s="3249" t="s">
        <v>3632</v>
      </c>
      <c r="D70" s="3249" t="s">
        <v>3633</v>
      </c>
      <c r="E70" s="3249">
        <v>326</v>
      </c>
      <c r="F70" s="3249">
        <f t="shared" si="9"/>
        <v>46565</v>
      </c>
      <c r="G70" s="3223">
        <v>45208</v>
      </c>
      <c r="H70" s="3224"/>
      <c r="I70" s="3223" t="s">
        <v>3631</v>
      </c>
      <c r="J70" s="3225"/>
      <c r="K70" s="3224"/>
      <c r="L70" s="3225"/>
      <c r="M70" s="3224"/>
      <c r="N70" s="3225"/>
      <c r="O70" s="3224"/>
    </row>
    <row r="71" spans="1:18" ht="18" customHeight="1" outlineLevel="1">
      <c r="A71" s="3250" t="s">
        <v>3615</v>
      </c>
      <c r="B71" s="3250">
        <v>65.91</v>
      </c>
      <c r="C71" s="3250" t="s">
        <v>3616</v>
      </c>
      <c r="D71" s="3250" t="s">
        <v>3614</v>
      </c>
      <c r="E71" s="3250">
        <v>335</v>
      </c>
      <c r="F71" s="3250">
        <f t="shared" si="9"/>
        <v>50827</v>
      </c>
      <c r="G71" s="3227">
        <v>45190</v>
      </c>
      <c r="H71" s="3232">
        <f>'比较法-住宅（标准房屋）'!$C$59/'比较法-住宅（标准房屋）'!D59</f>
        <v>1</v>
      </c>
      <c r="I71" s="3227"/>
      <c r="J71" s="3229" t="s">
        <v>3579</v>
      </c>
      <c r="K71" s="3228">
        <f>100/99</f>
        <v>1.0101010101010102</v>
      </c>
      <c r="L71" s="3229" t="s">
        <v>3573</v>
      </c>
      <c r="M71" s="3228">
        <f>100/102</f>
        <v>0.98039215686274506</v>
      </c>
      <c r="N71" s="3229" t="s">
        <v>3577</v>
      </c>
      <c r="O71" s="3228">
        <v>1</v>
      </c>
      <c r="P71" s="3234">
        <v>1997</v>
      </c>
      <c r="Q71" s="3234" t="s">
        <v>3625</v>
      </c>
      <c r="R71" s="3230">
        <f t="shared" ref="R71:R73" si="10">ROUND(F71*H71*K71*M71*O71,0)</f>
        <v>50334</v>
      </c>
    </row>
    <row r="72" spans="1:18" ht="18" customHeight="1" outlineLevel="1">
      <c r="A72" s="3250" t="s">
        <v>3615</v>
      </c>
      <c r="B72" s="3250">
        <v>67.13</v>
      </c>
      <c r="C72" s="3250" t="s">
        <v>3613</v>
      </c>
      <c r="D72" s="3250" t="s">
        <v>3614</v>
      </c>
      <c r="E72" s="3250">
        <v>305.2</v>
      </c>
      <c r="F72" s="3250">
        <f t="shared" si="9"/>
        <v>45464</v>
      </c>
      <c r="G72" s="3227">
        <v>45186</v>
      </c>
      <c r="H72" s="3232">
        <f>'比较法-住宅（标准房屋）'!$C$59/'比较法-住宅（标准房屋）'!D59</f>
        <v>1</v>
      </c>
      <c r="I72" s="3227"/>
      <c r="J72" s="3233" t="s">
        <v>3572</v>
      </c>
      <c r="K72" s="3232">
        <f>100/97</f>
        <v>1.0309278350515463</v>
      </c>
      <c r="L72" s="3233" t="s">
        <v>3573</v>
      </c>
      <c r="M72" s="3232">
        <f t="shared" ref="M72:M74" si="11">100/102</f>
        <v>0.98039215686274506</v>
      </c>
      <c r="N72" s="3233" t="s">
        <v>3574</v>
      </c>
      <c r="O72" s="3232">
        <f t="shared" ref="O72:O74" si="12">100/102</f>
        <v>0.98039215686274506</v>
      </c>
      <c r="P72" s="3234">
        <v>1998</v>
      </c>
      <c r="Q72" s="3234" t="s">
        <v>3575</v>
      </c>
      <c r="R72" s="3230">
        <f t="shared" si="10"/>
        <v>45050</v>
      </c>
    </row>
    <row r="73" spans="1:18" ht="18" customHeight="1" outlineLevel="1">
      <c r="A73" s="3250" t="s">
        <v>3615</v>
      </c>
      <c r="B73" s="3250">
        <v>65.91</v>
      </c>
      <c r="C73" s="3250" t="s">
        <v>3613</v>
      </c>
      <c r="D73" s="3250" t="s">
        <v>3614</v>
      </c>
      <c r="E73" s="3250">
        <v>321.2</v>
      </c>
      <c r="F73" s="3250">
        <f t="shared" si="9"/>
        <v>48733</v>
      </c>
      <c r="G73" s="3227">
        <v>45177</v>
      </c>
      <c r="H73" s="3232">
        <f>'比较法-住宅（标准房屋）'!$C$59/'比较法-住宅（标准房屋）'!D59</f>
        <v>1</v>
      </c>
      <c r="I73" s="3227"/>
      <c r="J73" s="3233" t="s">
        <v>3572</v>
      </c>
      <c r="K73" s="3232">
        <f>100/97</f>
        <v>1.0309278350515463</v>
      </c>
      <c r="L73" s="3233" t="s">
        <v>3573</v>
      </c>
      <c r="M73" s="3232">
        <f t="shared" si="11"/>
        <v>0.98039215686274506</v>
      </c>
      <c r="N73" s="3233" t="s">
        <v>3574</v>
      </c>
      <c r="O73" s="3232">
        <f t="shared" si="12"/>
        <v>0.98039215686274506</v>
      </c>
      <c r="P73" s="3234">
        <v>1998</v>
      </c>
      <c r="Q73" s="3234" t="s">
        <v>3575</v>
      </c>
      <c r="R73" s="3230">
        <f t="shared" si="10"/>
        <v>48289</v>
      </c>
    </row>
    <row r="74" spans="1:18" ht="18" customHeight="1" outlineLevel="1">
      <c r="A74" s="3250" t="s">
        <v>3615</v>
      </c>
      <c r="B74" s="3250">
        <v>67.63</v>
      </c>
      <c r="C74" s="3250" t="s">
        <v>3613</v>
      </c>
      <c r="D74" s="3250" t="s">
        <v>3614</v>
      </c>
      <c r="E74" s="3250">
        <v>305</v>
      </c>
      <c r="F74" s="3250">
        <f t="shared" si="9"/>
        <v>45098</v>
      </c>
      <c r="G74" s="3227">
        <v>45172</v>
      </c>
      <c r="H74" s="3232">
        <f>'比较法-住宅（标准房屋）'!$C$59/'比较法-住宅（标准房屋）'!D59</f>
        <v>1</v>
      </c>
      <c r="I74" s="3227"/>
      <c r="J74" s="3233" t="s">
        <v>3572</v>
      </c>
      <c r="K74" s="3232">
        <f>100/97</f>
        <v>1.0309278350515463</v>
      </c>
      <c r="L74" s="3233" t="s">
        <v>3573</v>
      </c>
      <c r="M74" s="3232">
        <f t="shared" si="11"/>
        <v>0.98039215686274506</v>
      </c>
      <c r="N74" s="3233" t="s">
        <v>3574</v>
      </c>
      <c r="O74" s="3232">
        <f t="shared" si="12"/>
        <v>0.98039215686274506</v>
      </c>
      <c r="P74" s="3234">
        <v>1999</v>
      </c>
      <c r="Q74" s="3234" t="s">
        <v>3575</v>
      </c>
      <c r="R74" s="3230">
        <f t="shared" ref="R74" si="13">ROUND(F74*H74*K74*M74*O74,0)</f>
        <v>44687</v>
      </c>
    </row>
    <row r="75" spans="1:18" s="3226" customFormat="1" ht="18" customHeight="1" outlineLevel="1">
      <c r="A75" s="3249" t="s">
        <v>3505</v>
      </c>
      <c r="B75" s="3249">
        <v>69.47</v>
      </c>
      <c r="C75" s="3249" t="s">
        <v>3500</v>
      </c>
      <c r="D75" s="3249" t="s">
        <v>3495</v>
      </c>
      <c r="E75" s="3249">
        <v>312</v>
      </c>
      <c r="F75" s="3249">
        <f>ROUND(E75*10000/B75,0)</f>
        <v>44911</v>
      </c>
      <c r="G75" s="3223">
        <v>45158</v>
      </c>
      <c r="H75" s="3224"/>
      <c r="I75" s="3223" t="s">
        <v>3595</v>
      </c>
      <c r="J75" s="3225" t="s">
        <v>3581</v>
      </c>
      <c r="K75" s="3224"/>
      <c r="L75" s="3225" t="s">
        <v>3576</v>
      </c>
      <c r="M75" s="3224"/>
      <c r="N75" s="3225" t="s">
        <v>3577</v>
      </c>
      <c r="O75" s="3224"/>
      <c r="Q75" s="3226" t="s">
        <v>3575</v>
      </c>
    </row>
    <row r="76" spans="1:18" s="3238" customFormat="1" ht="18" customHeight="1" outlineLevel="1">
      <c r="A76" s="3252" t="s">
        <v>3505</v>
      </c>
      <c r="B76" s="3252">
        <v>59.15</v>
      </c>
      <c r="C76" s="3252" t="s">
        <v>3501</v>
      </c>
      <c r="D76" s="3252" t="s">
        <v>3493</v>
      </c>
      <c r="E76" s="3252">
        <v>304.5</v>
      </c>
      <c r="F76" s="3252">
        <f t="shared" si="6"/>
        <v>51479</v>
      </c>
      <c r="G76" s="3235">
        <v>45150</v>
      </c>
      <c r="H76" s="3236">
        <f>'比较法-住宅（标准房屋）'!$C$59/'比较法-住宅（标准房屋）'!E59</f>
        <v>1.0080004999682479</v>
      </c>
      <c r="I76" s="3235"/>
      <c r="J76" s="3237" t="s">
        <v>3578</v>
      </c>
      <c r="K76" s="3236">
        <f>100/101.5</f>
        <v>0.98522167487684731</v>
      </c>
      <c r="L76" s="3237" t="s">
        <v>3573</v>
      </c>
      <c r="M76" s="3236">
        <f>100/102</f>
        <v>0.98039215686274506</v>
      </c>
      <c r="N76" s="3237" t="s">
        <v>3577</v>
      </c>
      <c r="O76" s="3236">
        <v>1</v>
      </c>
      <c r="P76" s="3238">
        <v>1999</v>
      </c>
      <c r="Q76" s="3238" t="s">
        <v>3626</v>
      </c>
      <c r="R76" s="3238">
        <f t="shared" ref="R76:R93" si="14">ROUND(F76*H76*K76*M76*O76,0)</f>
        <v>50122</v>
      </c>
    </row>
    <row r="77" spans="1:18" ht="18" customHeight="1" outlineLevel="1">
      <c r="A77" s="3250" t="s">
        <v>3505</v>
      </c>
      <c r="B77" s="3250">
        <v>58.84</v>
      </c>
      <c r="C77" s="3250" t="s">
        <v>3500</v>
      </c>
      <c r="D77" s="3250" t="s">
        <v>3493</v>
      </c>
      <c r="E77" s="3250">
        <v>270</v>
      </c>
      <c r="F77" s="3250">
        <f t="shared" si="6"/>
        <v>45887</v>
      </c>
      <c r="G77" s="3227">
        <v>45127</v>
      </c>
      <c r="H77" s="3232">
        <f>'比较法-住宅（标准房屋）'!$C$59/'比较法-住宅（标准房屋）'!F59</f>
        <v>1.0140486297160867</v>
      </c>
      <c r="I77" s="3227"/>
      <c r="J77" s="3233" t="s">
        <v>3572</v>
      </c>
      <c r="K77" s="3232">
        <f>100/97</f>
        <v>1.0309278350515463</v>
      </c>
      <c r="L77" s="3233" t="s">
        <v>3573</v>
      </c>
      <c r="M77" s="3232">
        <f t="shared" ref="M77:M80" si="15">100/102</f>
        <v>0.98039215686274506</v>
      </c>
      <c r="N77" s="3233" t="s">
        <v>3574</v>
      </c>
      <c r="O77" s="3232">
        <f t="shared" ref="O77:O78" si="16">100/102</f>
        <v>0.98039215686274506</v>
      </c>
      <c r="P77" s="3234">
        <v>1999</v>
      </c>
      <c r="Q77" s="3234" t="s">
        <v>3575</v>
      </c>
      <c r="R77" s="3230">
        <f t="shared" si="14"/>
        <v>46108</v>
      </c>
    </row>
    <row r="78" spans="1:18" s="3230" customFormat="1" ht="18" customHeight="1" outlineLevel="1">
      <c r="A78" s="3250" t="s">
        <v>3505</v>
      </c>
      <c r="B78" s="3250">
        <v>67.63</v>
      </c>
      <c r="C78" s="3250" t="s">
        <v>3501</v>
      </c>
      <c r="D78" s="3250" t="s">
        <v>3493</v>
      </c>
      <c r="E78" s="3250">
        <v>405</v>
      </c>
      <c r="F78" s="3250">
        <f t="shared" si="6"/>
        <v>59885</v>
      </c>
      <c r="G78" s="3227">
        <v>45080</v>
      </c>
      <c r="H78" s="3228">
        <f>'比较法-住宅（标准房屋）'!$C$59/'比较法-住宅（标准房屋）'!G59</f>
        <v>1.0069509826331164</v>
      </c>
      <c r="I78" s="3227"/>
      <c r="J78" s="3229" t="s">
        <v>3578</v>
      </c>
      <c r="K78" s="3228">
        <f>100/101.5</f>
        <v>0.98522167487684731</v>
      </c>
      <c r="L78" s="3229" t="s">
        <v>3573</v>
      </c>
      <c r="M78" s="3228">
        <f t="shared" si="15"/>
        <v>0.98039215686274506</v>
      </c>
      <c r="N78" s="3229" t="s">
        <v>3574</v>
      </c>
      <c r="O78" s="3228">
        <f t="shared" si="16"/>
        <v>0.98039215686274506</v>
      </c>
      <c r="P78" s="3230">
        <v>1999</v>
      </c>
      <c r="Q78" s="3230" t="s">
        <v>3575</v>
      </c>
      <c r="R78" s="3230">
        <f t="shared" si="14"/>
        <v>57103</v>
      </c>
    </row>
    <row r="79" spans="1:18" s="3230" customFormat="1" ht="18" customHeight="1" outlineLevel="1">
      <c r="A79" s="3250" t="s">
        <v>3505</v>
      </c>
      <c r="B79" s="3250">
        <v>69.72</v>
      </c>
      <c r="C79" s="3250" t="s">
        <v>3500</v>
      </c>
      <c r="D79" s="3250" t="s">
        <v>3493</v>
      </c>
      <c r="E79" s="3250">
        <v>360</v>
      </c>
      <c r="F79" s="3250">
        <f t="shared" si="6"/>
        <v>51635</v>
      </c>
      <c r="G79" s="3227">
        <v>45080</v>
      </c>
      <c r="H79" s="3228">
        <f>'比较法-住宅（标准房屋）'!$C$59/'比较法-住宅（标准房屋）'!G59</f>
        <v>1.0069509826331164</v>
      </c>
      <c r="I79" s="3227"/>
      <c r="J79" s="3229" t="s">
        <v>3581</v>
      </c>
      <c r="K79" s="3228">
        <v>1</v>
      </c>
      <c r="L79" s="3229" t="s">
        <v>3573</v>
      </c>
      <c r="M79" s="3228">
        <f t="shared" si="15"/>
        <v>0.98039215686274506</v>
      </c>
      <c r="N79" s="3229" t="s">
        <v>3577</v>
      </c>
      <c r="O79" s="3228">
        <v>1</v>
      </c>
      <c r="P79" s="3230">
        <v>1999</v>
      </c>
      <c r="Q79" s="3230" t="s">
        <v>3575</v>
      </c>
      <c r="R79" s="3230">
        <f t="shared" si="14"/>
        <v>50974</v>
      </c>
    </row>
    <row r="80" spans="1:18" ht="18" customHeight="1" outlineLevel="1">
      <c r="A80" s="3250" t="s">
        <v>3505</v>
      </c>
      <c r="B80" s="3250">
        <v>67.13</v>
      </c>
      <c r="C80" s="3250" t="s">
        <v>3500</v>
      </c>
      <c r="D80" s="3250" t="s">
        <v>3493</v>
      </c>
      <c r="E80" s="3250">
        <v>306</v>
      </c>
      <c r="F80" s="3250">
        <f t="shared" si="6"/>
        <v>45583</v>
      </c>
      <c r="G80" s="3227">
        <v>45070</v>
      </c>
      <c r="H80" s="3232">
        <f>'比较法-住宅（标准房屋）'!$C$59/'比较法-住宅（标准房屋）'!H59</f>
        <v>0.99889522188459556</v>
      </c>
      <c r="I80" s="3227"/>
      <c r="J80" s="3233" t="s">
        <v>3572</v>
      </c>
      <c r="K80" s="3232">
        <f>100/97</f>
        <v>1.0309278350515463</v>
      </c>
      <c r="L80" s="3233" t="s">
        <v>3573</v>
      </c>
      <c r="M80" s="3232">
        <f t="shared" si="15"/>
        <v>0.98039215686274506</v>
      </c>
      <c r="N80" s="3233" t="s">
        <v>3577</v>
      </c>
      <c r="O80" s="3232">
        <v>1</v>
      </c>
      <c r="P80" s="3234">
        <v>1998</v>
      </c>
      <c r="Q80" s="3234" t="s">
        <v>3575</v>
      </c>
      <c r="R80" s="3230">
        <f t="shared" si="14"/>
        <v>46020</v>
      </c>
    </row>
    <row r="81" spans="1:18" ht="18" customHeight="1" outlineLevel="1">
      <c r="A81" s="3250" t="s">
        <v>3505</v>
      </c>
      <c r="B81" s="3250">
        <v>68.739999999999995</v>
      </c>
      <c r="C81" s="3250" t="s">
        <v>3500</v>
      </c>
      <c r="D81" s="3250" t="s">
        <v>3495</v>
      </c>
      <c r="E81" s="3250">
        <v>343.8</v>
      </c>
      <c r="F81" s="3250">
        <f t="shared" si="6"/>
        <v>50015</v>
      </c>
      <c r="G81" s="3227">
        <v>45051</v>
      </c>
      <c r="H81" s="3232">
        <f>'比较法-住宅（标准房屋）'!$C$59/'比较法-住宅（标准房屋）'!H59</f>
        <v>0.99889522188459556</v>
      </c>
      <c r="I81" s="3227"/>
      <c r="J81" s="3233" t="s">
        <v>3581</v>
      </c>
      <c r="K81" s="3232">
        <v>1</v>
      </c>
      <c r="L81" s="3233" t="s">
        <v>3576</v>
      </c>
      <c r="M81" s="3232">
        <v>1</v>
      </c>
      <c r="N81" s="3233" t="s">
        <v>3574</v>
      </c>
      <c r="O81" s="3232">
        <f>100/102</f>
        <v>0.98039215686274506</v>
      </c>
      <c r="P81" s="3234">
        <v>2000</v>
      </c>
      <c r="Q81" s="3234" t="s">
        <v>3575</v>
      </c>
      <c r="R81" s="3230">
        <f t="shared" si="14"/>
        <v>48980</v>
      </c>
    </row>
    <row r="82" spans="1:18" s="3226" customFormat="1" ht="18" customHeight="1" outlineLevel="1">
      <c r="A82" s="3249" t="s">
        <v>3505</v>
      </c>
      <c r="B82" s="3249">
        <v>68.36</v>
      </c>
      <c r="C82" s="3249" t="s">
        <v>3500</v>
      </c>
      <c r="D82" s="3249" t="s">
        <v>3506</v>
      </c>
      <c r="E82" s="3249">
        <v>318</v>
      </c>
      <c r="F82" s="3249">
        <f t="shared" si="6"/>
        <v>46518</v>
      </c>
      <c r="G82" s="3223">
        <v>45031</v>
      </c>
      <c r="H82" s="3224"/>
      <c r="I82" s="3223" t="s">
        <v>3594</v>
      </c>
      <c r="J82" s="3225" t="s">
        <v>3581</v>
      </c>
      <c r="K82" s="3224">
        <v>1</v>
      </c>
      <c r="L82" s="3225" t="s">
        <v>3593</v>
      </c>
      <c r="M82" s="3224">
        <f>100/98</f>
        <v>1.0204081632653061</v>
      </c>
      <c r="N82" s="3225"/>
      <c r="O82" s="3224"/>
      <c r="P82" s="3226">
        <v>1999</v>
      </c>
      <c r="Q82" s="3226" t="s">
        <v>3575</v>
      </c>
    </row>
    <row r="83" spans="1:18" s="3230" customFormat="1" ht="18" customHeight="1" outlineLevel="1">
      <c r="A83" s="3250" t="s">
        <v>3505</v>
      </c>
      <c r="B83" s="3250">
        <v>44.71</v>
      </c>
      <c r="C83" s="3250" t="s">
        <v>3502</v>
      </c>
      <c r="D83" s="3250" t="s">
        <v>3506</v>
      </c>
      <c r="E83" s="3250">
        <v>245</v>
      </c>
      <c r="F83" s="3250">
        <f t="shared" si="6"/>
        <v>54798</v>
      </c>
      <c r="G83" s="3227">
        <v>45026</v>
      </c>
      <c r="H83" s="3228">
        <f>'比较法-住宅（标准房屋）'!$C$59/'比较法-住宅（标准房屋）'!I59</f>
        <v>0.9909044877073343</v>
      </c>
      <c r="I83" s="3227"/>
      <c r="J83" s="3229" t="s">
        <v>3579</v>
      </c>
      <c r="K83" s="3228">
        <f>100/99</f>
        <v>1.0101010101010102</v>
      </c>
      <c r="L83" s="3229" t="s">
        <v>3593</v>
      </c>
      <c r="M83" s="3228">
        <f>100/98</f>
        <v>1.0204081632653061</v>
      </c>
      <c r="N83" s="3229" t="s">
        <v>3577</v>
      </c>
      <c r="O83" s="3228">
        <v>1</v>
      </c>
      <c r="P83" s="3230">
        <v>1999</v>
      </c>
      <c r="Q83" s="3230" t="s">
        <v>3575</v>
      </c>
      <c r="R83" s="3230">
        <f t="shared" si="14"/>
        <v>55967</v>
      </c>
    </row>
    <row r="84" spans="1:18" s="3238" customFormat="1" ht="18" customHeight="1" outlineLevel="1">
      <c r="A84" s="3252" t="s">
        <v>3505</v>
      </c>
      <c r="B84" s="3252">
        <v>63.77</v>
      </c>
      <c r="C84" s="3252" t="s">
        <v>3500</v>
      </c>
      <c r="D84" s="3252" t="s">
        <v>3493</v>
      </c>
      <c r="E84" s="3252">
        <v>339.5</v>
      </c>
      <c r="F84" s="3252">
        <f t="shared" si="6"/>
        <v>53238</v>
      </c>
      <c r="G84" s="3235">
        <v>45010</v>
      </c>
      <c r="H84" s="3236">
        <f>'比较法-住宅（标准房屋）'!$C$59/'比较法-住宅（标准房屋）'!J59</f>
        <v>0.98991376861161617</v>
      </c>
      <c r="I84" s="3235"/>
      <c r="J84" s="3237" t="s">
        <v>3572</v>
      </c>
      <c r="K84" s="3236">
        <f>100/97</f>
        <v>1.0309278350515463</v>
      </c>
      <c r="L84" s="3237" t="s">
        <v>3573</v>
      </c>
      <c r="M84" s="3236">
        <f>100/102</f>
        <v>0.98039215686274506</v>
      </c>
      <c r="N84" s="3237" t="s">
        <v>3574</v>
      </c>
      <c r="O84" s="3236">
        <f t="shared" ref="O84:O85" si="17">100/102</f>
        <v>0.98039215686274506</v>
      </c>
      <c r="P84" s="3238">
        <v>1999</v>
      </c>
      <c r="Q84" s="3238" t="s">
        <v>3575</v>
      </c>
      <c r="R84" s="3238">
        <f t="shared" si="14"/>
        <v>52221</v>
      </c>
    </row>
    <row r="85" spans="1:18" s="3238" customFormat="1" ht="18" customHeight="1" outlineLevel="1">
      <c r="A85" s="3252" t="s">
        <v>3505</v>
      </c>
      <c r="B85" s="3252">
        <v>47.2</v>
      </c>
      <c r="C85" s="3252" t="s">
        <v>3501</v>
      </c>
      <c r="D85" s="3252" t="s">
        <v>3495</v>
      </c>
      <c r="E85" s="3252">
        <v>262</v>
      </c>
      <c r="F85" s="3252">
        <f t="shared" si="6"/>
        <v>55508</v>
      </c>
      <c r="G85" s="3235">
        <v>45001</v>
      </c>
      <c r="H85" s="3236">
        <f>'比较法-住宅（标准房屋）'!$C$59/'比较法-住宅（标准房屋）'!J59</f>
        <v>0.98991376861161617</v>
      </c>
      <c r="I85" s="3235"/>
      <c r="J85" s="3237" t="s">
        <v>3578</v>
      </c>
      <c r="K85" s="3236">
        <f>100/101.5</f>
        <v>0.98522167487684731</v>
      </c>
      <c r="L85" s="3237" t="s">
        <v>3576</v>
      </c>
      <c r="M85" s="3236">
        <v>1</v>
      </c>
      <c r="N85" s="3237" t="s">
        <v>3574</v>
      </c>
      <c r="O85" s="3236">
        <f t="shared" si="17"/>
        <v>0.98039215686274506</v>
      </c>
      <c r="P85" s="3238">
        <v>1998</v>
      </c>
      <c r="Q85" s="3238" t="s">
        <v>3575</v>
      </c>
      <c r="R85" s="3238">
        <f t="shared" si="14"/>
        <v>53075</v>
      </c>
    </row>
    <row r="86" spans="1:18" ht="18" customHeight="1" outlineLevel="1">
      <c r="A86" s="3250" t="s">
        <v>3505</v>
      </c>
      <c r="B86" s="3250">
        <v>65.91</v>
      </c>
      <c r="C86" s="3250" t="s">
        <v>3500</v>
      </c>
      <c r="D86" s="3250" t="s">
        <v>3493</v>
      </c>
      <c r="E86" s="3250">
        <v>316</v>
      </c>
      <c r="F86" s="3250">
        <f t="shared" si="6"/>
        <v>47944</v>
      </c>
      <c r="G86" s="3227">
        <v>44993</v>
      </c>
      <c r="H86" s="3232">
        <f>'比较法-住宅（标准房屋）'!$C$59/'比较法-住宅（标准房屋）'!J59</f>
        <v>0.98991376861161617</v>
      </c>
      <c r="I86" s="3227"/>
      <c r="J86" s="3233" t="s">
        <v>3572</v>
      </c>
      <c r="K86" s="3232">
        <f>100/97</f>
        <v>1.0309278350515463</v>
      </c>
      <c r="L86" s="3233" t="s">
        <v>3573</v>
      </c>
      <c r="M86" s="3232">
        <f t="shared" ref="M86:M90" si="18">100/102</f>
        <v>0.98039215686274506</v>
      </c>
      <c r="N86" s="3233" t="s">
        <v>3577</v>
      </c>
      <c r="O86" s="3232">
        <v>1</v>
      </c>
      <c r="P86" s="3234">
        <v>1998</v>
      </c>
      <c r="Q86" s="3234" t="s">
        <v>3575</v>
      </c>
      <c r="R86" s="3230">
        <f t="shared" si="14"/>
        <v>47969</v>
      </c>
    </row>
    <row r="87" spans="1:18" ht="18" customHeight="1" outlineLevel="1">
      <c r="A87" s="3250" t="s">
        <v>3505</v>
      </c>
      <c r="B87" s="3250">
        <v>63.54</v>
      </c>
      <c r="C87" s="3250" t="s">
        <v>3501</v>
      </c>
      <c r="D87" s="3250" t="s">
        <v>3493</v>
      </c>
      <c r="E87" s="3250">
        <v>383.5</v>
      </c>
      <c r="F87" s="3250">
        <f t="shared" si="6"/>
        <v>60356</v>
      </c>
      <c r="G87" s="3227">
        <v>44989</v>
      </c>
      <c r="H87" s="3232">
        <f>'比较法-住宅（标准房屋）'!$C$59/'比较法-住宅（标准房屋）'!J59</f>
        <v>0.98991376861161617</v>
      </c>
      <c r="I87" s="3227"/>
      <c r="J87" s="3233" t="s">
        <v>3578</v>
      </c>
      <c r="K87" s="3232">
        <f t="shared" ref="K87:K88" si="19">100/101.5</f>
        <v>0.98522167487684731</v>
      </c>
      <c r="L87" s="3233" t="s">
        <v>3573</v>
      </c>
      <c r="M87" s="3232">
        <f t="shared" si="18"/>
        <v>0.98039215686274506</v>
      </c>
      <c r="N87" s="3233" t="s">
        <v>3574</v>
      </c>
      <c r="O87" s="3232">
        <f t="shared" ref="O87:O89" si="20">100/102</f>
        <v>0.98039215686274506</v>
      </c>
      <c r="P87" s="3234">
        <v>1998</v>
      </c>
      <c r="Q87" s="3234" t="s">
        <v>3575</v>
      </c>
      <c r="R87" s="3230">
        <f t="shared" si="14"/>
        <v>56578</v>
      </c>
    </row>
    <row r="88" spans="1:18" ht="18" customHeight="1" outlineLevel="1">
      <c r="A88" s="3250" t="s">
        <v>3505</v>
      </c>
      <c r="B88" s="3250">
        <v>65.91</v>
      </c>
      <c r="C88" s="3250" t="s">
        <v>3501</v>
      </c>
      <c r="D88" s="3250" t="s">
        <v>3493</v>
      </c>
      <c r="E88" s="3250">
        <v>387</v>
      </c>
      <c r="F88" s="3250">
        <f t="shared" si="6"/>
        <v>58716</v>
      </c>
      <c r="G88" s="3227">
        <v>44961</v>
      </c>
      <c r="H88" s="3232">
        <f>'比较法-住宅（标准房屋）'!$C$59/'比较法-住宅（标准房屋）'!K59</f>
        <v>0.99684299822462263</v>
      </c>
      <c r="I88" s="3227"/>
      <c r="J88" s="3233" t="s">
        <v>3578</v>
      </c>
      <c r="K88" s="3232">
        <f t="shared" si="19"/>
        <v>0.98522167487684731</v>
      </c>
      <c r="L88" s="3233" t="s">
        <v>3573</v>
      </c>
      <c r="M88" s="3232">
        <f t="shared" si="18"/>
        <v>0.98039215686274506</v>
      </c>
      <c r="N88" s="3233" t="s">
        <v>3574</v>
      </c>
      <c r="O88" s="3232">
        <f t="shared" si="20"/>
        <v>0.98039215686274506</v>
      </c>
      <c r="P88" s="3234">
        <v>1997</v>
      </c>
      <c r="Q88" s="3234" t="s">
        <v>3575</v>
      </c>
      <c r="R88" s="3230">
        <f t="shared" si="14"/>
        <v>55426</v>
      </c>
    </row>
    <row r="89" spans="1:18" ht="18" customHeight="1" outlineLevel="1">
      <c r="A89" s="3250" t="s">
        <v>3505</v>
      </c>
      <c r="B89" s="3250">
        <v>67.63</v>
      </c>
      <c r="C89" s="3250" t="s">
        <v>3500</v>
      </c>
      <c r="D89" s="3250" t="s">
        <v>3493</v>
      </c>
      <c r="E89" s="3250">
        <v>401</v>
      </c>
      <c r="F89" s="3250">
        <f t="shared" si="6"/>
        <v>59293</v>
      </c>
      <c r="G89" s="3227">
        <v>44939</v>
      </c>
      <c r="H89" s="3232">
        <f>'比较法-住宅（标准房屋）'!$C$59/'比较法-住宅（标准房屋）'!L59</f>
        <v>1.0078085002600146</v>
      </c>
      <c r="I89" s="3227"/>
      <c r="J89" s="3233" t="s">
        <v>3581</v>
      </c>
      <c r="K89" s="3232">
        <v>1</v>
      </c>
      <c r="L89" s="3233" t="s">
        <v>3573</v>
      </c>
      <c r="M89" s="3232">
        <f t="shared" si="18"/>
        <v>0.98039215686274506</v>
      </c>
      <c r="N89" s="3233" t="s">
        <v>3574</v>
      </c>
      <c r="O89" s="3232">
        <f t="shared" si="20"/>
        <v>0.98039215686274506</v>
      </c>
      <c r="P89" s="3234">
        <v>1999</v>
      </c>
      <c r="Q89" s="3234" t="s">
        <v>3575</v>
      </c>
      <c r="R89" s="3230">
        <f t="shared" si="14"/>
        <v>57436</v>
      </c>
    </row>
    <row r="90" spans="1:18" ht="18" customHeight="1" outlineLevel="1">
      <c r="A90" s="3250" t="s">
        <v>3505</v>
      </c>
      <c r="B90" s="3250">
        <v>63.54</v>
      </c>
      <c r="C90" s="3250" t="s">
        <v>3501</v>
      </c>
      <c r="D90" s="3250" t="s">
        <v>3493</v>
      </c>
      <c r="E90" s="3250">
        <v>360.5</v>
      </c>
      <c r="F90" s="3250">
        <f t="shared" si="6"/>
        <v>56736</v>
      </c>
      <c r="G90" s="3227">
        <v>44927</v>
      </c>
      <c r="H90" s="3232">
        <f>'比较法-住宅（标准房屋）'!$C$59/'比较法-住宅（标准房屋）'!L59</f>
        <v>1.0078085002600146</v>
      </c>
      <c r="I90" s="3227"/>
      <c r="J90" s="3233" t="s">
        <v>3578</v>
      </c>
      <c r="K90" s="3232">
        <f t="shared" ref="K90:K91" si="21">100/101.5</f>
        <v>0.98522167487684731</v>
      </c>
      <c r="L90" s="3233" t="s">
        <v>3573</v>
      </c>
      <c r="M90" s="3232">
        <f t="shared" si="18"/>
        <v>0.98039215686274506</v>
      </c>
      <c r="N90" s="3233" t="s">
        <v>3577</v>
      </c>
      <c r="O90" s="3232">
        <v>1</v>
      </c>
      <c r="P90" s="3234">
        <v>1998</v>
      </c>
      <c r="Q90" s="3234" t="s">
        <v>3575</v>
      </c>
      <c r="R90" s="3230">
        <f t="shared" si="14"/>
        <v>55229</v>
      </c>
    </row>
    <row r="91" spans="1:18" ht="18" customHeight="1" outlineLevel="1">
      <c r="A91" s="3250" t="s">
        <v>3505</v>
      </c>
      <c r="B91" s="3250">
        <v>68.040000000000006</v>
      </c>
      <c r="C91" s="3250" t="s">
        <v>3501</v>
      </c>
      <c r="D91" s="3250" t="s">
        <v>3495</v>
      </c>
      <c r="E91" s="3250">
        <v>358</v>
      </c>
      <c r="F91" s="3250">
        <f t="shared" si="6"/>
        <v>52616</v>
      </c>
      <c r="G91" s="3227">
        <v>44920</v>
      </c>
      <c r="H91" s="3232">
        <f>'比较法-住宅（标准房屋）'!$C$59/'比较法-住宅（标准房屋）'!M59</f>
        <v>1.0188943773332682</v>
      </c>
      <c r="I91" s="3227"/>
      <c r="J91" s="3233" t="s">
        <v>3578</v>
      </c>
      <c r="K91" s="3232">
        <f t="shared" si="21"/>
        <v>0.98522167487684731</v>
      </c>
      <c r="L91" s="3233" t="s">
        <v>3576</v>
      </c>
      <c r="M91" s="3232">
        <v>1</v>
      </c>
      <c r="N91" s="3233" t="s">
        <v>3577</v>
      </c>
      <c r="O91" s="3232">
        <v>1</v>
      </c>
      <c r="P91" s="3234">
        <v>1999</v>
      </c>
      <c r="Q91" s="3234" t="s">
        <v>3575</v>
      </c>
      <c r="R91" s="3230">
        <f t="shared" si="14"/>
        <v>52818</v>
      </c>
    </row>
    <row r="92" spans="1:18" ht="18" customHeight="1" outlineLevel="1">
      <c r="A92" s="3250" t="s">
        <v>3505</v>
      </c>
      <c r="B92" s="3250">
        <v>47.42</v>
      </c>
      <c r="C92" s="3250" t="s">
        <v>3500</v>
      </c>
      <c r="D92" s="3250" t="s">
        <v>3493</v>
      </c>
      <c r="E92" s="3250">
        <v>275</v>
      </c>
      <c r="F92" s="3250">
        <f t="shared" si="6"/>
        <v>57992</v>
      </c>
      <c r="G92" s="3227">
        <v>44871</v>
      </c>
      <c r="H92" s="3232">
        <f>'比较法-住宅（标准房屋）'!$C$59/'比较法-住宅（标准房屋）'!N59</f>
        <v>1.0158379291534312</v>
      </c>
      <c r="I92" s="3227"/>
      <c r="J92" s="3233" t="s">
        <v>3581</v>
      </c>
      <c r="K92" s="3232">
        <v>1</v>
      </c>
      <c r="L92" s="3233" t="s">
        <v>3573</v>
      </c>
      <c r="M92" s="3232">
        <f t="shared" ref="M92:M93" si="22">100/102</f>
        <v>0.98039215686274506</v>
      </c>
      <c r="N92" s="3233" t="s">
        <v>3574</v>
      </c>
      <c r="O92" s="3232">
        <f>100/102</f>
        <v>0.98039215686274506</v>
      </c>
      <c r="P92" s="3234">
        <v>1999</v>
      </c>
      <c r="Q92" s="3234" t="s">
        <v>3575</v>
      </c>
      <c r="R92" s="3230">
        <f t="shared" si="14"/>
        <v>56623</v>
      </c>
    </row>
    <row r="93" spans="1:18" ht="18" customHeight="1" outlineLevel="1">
      <c r="A93" s="3250" t="s">
        <v>3505</v>
      </c>
      <c r="B93" s="3250">
        <v>70.010000000000005</v>
      </c>
      <c r="C93" s="3250" t="s">
        <v>3500</v>
      </c>
      <c r="D93" s="3250" t="s">
        <v>3493</v>
      </c>
      <c r="E93" s="3250">
        <v>350</v>
      </c>
      <c r="F93" s="3250">
        <f t="shared" si="6"/>
        <v>49993</v>
      </c>
      <c r="G93" s="3227">
        <v>44854</v>
      </c>
      <c r="H93" s="3232">
        <f>'比较法-住宅（标准房屋）'!$C$59/'比较法-住宅（标准房屋）'!O59</f>
        <v>1.0107585136189603</v>
      </c>
      <c r="I93" s="3227"/>
      <c r="J93" s="3233" t="s">
        <v>3572</v>
      </c>
      <c r="K93" s="3232">
        <f>100/97</f>
        <v>1.0309278350515463</v>
      </c>
      <c r="L93" s="3233" t="s">
        <v>3573</v>
      </c>
      <c r="M93" s="3232">
        <f t="shared" si="22"/>
        <v>0.98039215686274506</v>
      </c>
      <c r="N93" s="3233" t="s">
        <v>3577</v>
      </c>
      <c r="O93" s="3232">
        <v>1</v>
      </c>
      <c r="P93" s="3234">
        <v>1998</v>
      </c>
      <c r="Q93" s="3234" t="s">
        <v>3575</v>
      </c>
      <c r="R93" s="3230">
        <f t="shared" si="14"/>
        <v>51072</v>
      </c>
    </row>
    <row r="94" spans="1:18" s="3226" customFormat="1" ht="18" customHeight="1" outlineLevel="1">
      <c r="A94" s="3249" t="s">
        <v>3505</v>
      </c>
      <c r="B94" s="3249">
        <v>68.8</v>
      </c>
      <c r="C94" s="3249" t="s">
        <v>3500</v>
      </c>
      <c r="D94" s="3249" t="s">
        <v>3493</v>
      </c>
      <c r="E94" s="3249">
        <v>346.4</v>
      </c>
      <c r="F94" s="3249">
        <f t="shared" si="6"/>
        <v>50349</v>
      </c>
      <c r="G94" s="3223">
        <v>44850</v>
      </c>
      <c r="H94" s="3224"/>
      <c r="I94" s="3223" t="s">
        <v>3565</v>
      </c>
      <c r="J94" s="3225"/>
      <c r="K94" s="3224"/>
      <c r="L94" s="3225"/>
      <c r="M94" s="3224"/>
      <c r="N94" s="3225"/>
      <c r="O94" s="3224"/>
    </row>
    <row r="95" spans="1:18" s="3226" customFormat="1" ht="18" customHeight="1" outlineLevel="1">
      <c r="A95" s="3249" t="s">
        <v>3505</v>
      </c>
      <c r="B95" s="3249">
        <v>67.14</v>
      </c>
      <c r="C95" s="3249" t="s">
        <v>3500</v>
      </c>
      <c r="D95" s="3249" t="s">
        <v>3493</v>
      </c>
      <c r="E95" s="3249">
        <v>340.5</v>
      </c>
      <c r="F95" s="3249">
        <f t="shared" si="6"/>
        <v>50715</v>
      </c>
      <c r="G95" s="3223">
        <v>44845</v>
      </c>
      <c r="H95" s="3224"/>
      <c r="I95" s="3223" t="s">
        <v>3565</v>
      </c>
      <c r="J95" s="3225"/>
      <c r="K95" s="3224"/>
      <c r="L95" s="3225"/>
      <c r="M95" s="3224"/>
      <c r="N95" s="3225"/>
      <c r="O95" s="3224"/>
    </row>
    <row r="96" spans="1:18" s="3226" customFormat="1" ht="18" customHeight="1" outlineLevel="1">
      <c r="A96" s="3249" t="s">
        <v>3505</v>
      </c>
      <c r="B96" s="3249">
        <v>55.2</v>
      </c>
      <c r="C96" s="3249" t="s">
        <v>3502</v>
      </c>
      <c r="D96" s="3249" t="s">
        <v>3493</v>
      </c>
      <c r="E96" s="3249">
        <v>298</v>
      </c>
      <c r="F96" s="3249">
        <f t="shared" si="6"/>
        <v>53986</v>
      </c>
      <c r="G96" s="3223">
        <v>44829</v>
      </c>
      <c r="H96" s="3224"/>
      <c r="I96" s="3223" t="s">
        <v>3565</v>
      </c>
      <c r="J96" s="3225"/>
      <c r="K96" s="3224"/>
      <c r="L96" s="3225"/>
      <c r="M96" s="3224"/>
      <c r="N96" s="3225"/>
      <c r="O96" s="3224"/>
    </row>
    <row r="97" spans="1:15" s="3226" customFormat="1" ht="18" customHeight="1" outlineLevel="1">
      <c r="A97" s="3249" t="s">
        <v>3505</v>
      </c>
      <c r="B97" s="3249">
        <v>66.5</v>
      </c>
      <c r="C97" s="3249" t="s">
        <v>3501</v>
      </c>
      <c r="D97" s="3249" t="s">
        <v>3493</v>
      </c>
      <c r="E97" s="3249">
        <v>377</v>
      </c>
      <c r="F97" s="3249">
        <f t="shared" si="6"/>
        <v>56692</v>
      </c>
      <c r="G97" s="3223">
        <v>44821</v>
      </c>
      <c r="H97" s="3224"/>
      <c r="I97" s="3223" t="s">
        <v>3565</v>
      </c>
      <c r="J97" s="3225"/>
      <c r="K97" s="3224"/>
      <c r="L97" s="3225"/>
      <c r="M97" s="3224"/>
      <c r="N97" s="3225"/>
      <c r="O97" s="3224"/>
    </row>
    <row r="98" spans="1:15" s="3226" customFormat="1" ht="18" customHeight="1" outlineLevel="1">
      <c r="A98" s="3249" t="s">
        <v>3505</v>
      </c>
      <c r="B98" s="3249">
        <v>65.34</v>
      </c>
      <c r="C98" s="3249" t="s">
        <v>3502</v>
      </c>
      <c r="D98" s="3249" t="s">
        <v>3493</v>
      </c>
      <c r="E98" s="3249">
        <v>380</v>
      </c>
      <c r="F98" s="3249">
        <f t="shared" si="6"/>
        <v>58157</v>
      </c>
      <c r="G98" s="3223">
        <v>44808</v>
      </c>
      <c r="H98" s="3224"/>
      <c r="I98" s="3223" t="s">
        <v>3565</v>
      </c>
      <c r="J98" s="3225"/>
      <c r="K98" s="3224"/>
      <c r="L98" s="3225"/>
      <c r="M98" s="3224"/>
      <c r="N98" s="3225"/>
      <c r="O98" s="3224"/>
    </row>
    <row r="99" spans="1:15" s="3226" customFormat="1" ht="18" customHeight="1" outlineLevel="1">
      <c r="A99" s="3249" t="s">
        <v>3505</v>
      </c>
      <c r="B99" s="3249">
        <v>67.760000000000005</v>
      </c>
      <c r="C99" s="3249" t="s">
        <v>3502</v>
      </c>
      <c r="D99" s="3249" t="s">
        <v>3493</v>
      </c>
      <c r="E99" s="3249">
        <v>410</v>
      </c>
      <c r="F99" s="3249">
        <f t="shared" si="6"/>
        <v>60508</v>
      </c>
      <c r="G99" s="3223">
        <v>44793</v>
      </c>
      <c r="H99" s="3224"/>
      <c r="I99" s="3223" t="s">
        <v>3565</v>
      </c>
      <c r="J99" s="3225"/>
      <c r="K99" s="3224"/>
      <c r="L99" s="3225"/>
      <c r="M99" s="3224"/>
      <c r="N99" s="3225"/>
      <c r="O99" s="3224"/>
    </row>
    <row r="100" spans="1:15" s="3226" customFormat="1" ht="18" customHeight="1" outlineLevel="1">
      <c r="A100" s="3249" t="s">
        <v>3505</v>
      </c>
      <c r="B100" s="3249">
        <v>67.63</v>
      </c>
      <c r="C100" s="3249" t="s">
        <v>3501</v>
      </c>
      <c r="D100" s="3249" t="s">
        <v>3493</v>
      </c>
      <c r="E100" s="3249">
        <v>408</v>
      </c>
      <c r="F100" s="3249">
        <f t="shared" si="6"/>
        <v>60328</v>
      </c>
      <c r="G100" s="3223">
        <v>44793</v>
      </c>
      <c r="H100" s="3224"/>
      <c r="I100" s="3223" t="s">
        <v>3565</v>
      </c>
      <c r="J100" s="3225"/>
      <c r="K100" s="3224"/>
      <c r="L100" s="3225"/>
      <c r="M100" s="3224"/>
      <c r="N100" s="3225"/>
      <c r="O100" s="3224"/>
    </row>
    <row r="101" spans="1:15" s="3226" customFormat="1" ht="18" customHeight="1" outlineLevel="1">
      <c r="A101" s="3249" t="s">
        <v>3505</v>
      </c>
      <c r="B101" s="3249">
        <v>69.47</v>
      </c>
      <c r="C101" s="3249" t="s">
        <v>3502</v>
      </c>
      <c r="D101" s="3249" t="s">
        <v>3495</v>
      </c>
      <c r="E101" s="3249">
        <v>324</v>
      </c>
      <c r="F101" s="3249">
        <f t="shared" si="6"/>
        <v>46639</v>
      </c>
      <c r="G101" s="3223">
        <v>44783</v>
      </c>
      <c r="H101" s="3224"/>
      <c r="I101" s="3223" t="s">
        <v>3565</v>
      </c>
      <c r="J101" s="3225"/>
      <c r="K101" s="3224"/>
      <c r="L101" s="3225"/>
      <c r="M101" s="3224"/>
      <c r="N101" s="3225"/>
      <c r="O101" s="3224"/>
    </row>
    <row r="102" spans="1:15" s="3226" customFormat="1" ht="18" customHeight="1" outlineLevel="1">
      <c r="A102" s="3249" t="s">
        <v>3505</v>
      </c>
      <c r="B102" s="3249">
        <v>68.8</v>
      </c>
      <c r="C102" s="3249" t="s">
        <v>3500</v>
      </c>
      <c r="D102" s="3249" t="s">
        <v>3493</v>
      </c>
      <c r="E102" s="3249">
        <v>332</v>
      </c>
      <c r="F102" s="3249">
        <f t="shared" si="6"/>
        <v>48256</v>
      </c>
      <c r="G102" s="3223">
        <v>44746</v>
      </c>
      <c r="H102" s="3224"/>
      <c r="I102" s="3223" t="s">
        <v>3565</v>
      </c>
      <c r="J102" s="3225"/>
      <c r="K102" s="3224"/>
      <c r="L102" s="3225"/>
      <c r="M102" s="3224"/>
      <c r="N102" s="3225"/>
      <c r="O102" s="3224"/>
    </row>
    <row r="103" spans="1:15" s="3226" customFormat="1" ht="18" customHeight="1" outlineLevel="1">
      <c r="A103" s="3249" t="s">
        <v>3505</v>
      </c>
      <c r="B103" s="3249">
        <v>67.63</v>
      </c>
      <c r="C103" s="3249" t="s">
        <v>3501</v>
      </c>
      <c r="D103" s="3249" t="s">
        <v>3493</v>
      </c>
      <c r="E103" s="3249">
        <v>408</v>
      </c>
      <c r="F103" s="3249">
        <f t="shared" si="6"/>
        <v>60328</v>
      </c>
      <c r="G103" s="3223">
        <v>44745</v>
      </c>
      <c r="H103" s="3224"/>
      <c r="I103" s="3223" t="s">
        <v>3565</v>
      </c>
      <c r="J103" s="3225"/>
      <c r="K103" s="3224"/>
      <c r="L103" s="3225"/>
      <c r="M103" s="3224"/>
      <c r="N103" s="3225"/>
      <c r="O103" s="3224"/>
    </row>
    <row r="104" spans="1:15" s="3226" customFormat="1" ht="18" customHeight="1" outlineLevel="1">
      <c r="A104" s="3249" t="s">
        <v>3505</v>
      </c>
      <c r="B104" s="3249">
        <v>66.5</v>
      </c>
      <c r="C104" s="3249" t="s">
        <v>3501</v>
      </c>
      <c r="D104" s="3249" t="s">
        <v>3493</v>
      </c>
      <c r="E104" s="3249">
        <v>368</v>
      </c>
      <c r="F104" s="3249">
        <f t="shared" si="6"/>
        <v>55338</v>
      </c>
      <c r="G104" s="3223">
        <v>44735</v>
      </c>
      <c r="H104" s="3224"/>
      <c r="I104" s="3223" t="s">
        <v>3565</v>
      </c>
      <c r="J104" s="3225"/>
      <c r="K104" s="3224"/>
      <c r="L104" s="3225"/>
      <c r="M104" s="3224"/>
      <c r="N104" s="3225"/>
      <c r="O104" s="3224"/>
    </row>
    <row r="105" spans="1:15" s="3226" customFormat="1" ht="18" customHeight="1" outlineLevel="1">
      <c r="A105" s="3249" t="s">
        <v>3505</v>
      </c>
      <c r="B105" s="3249">
        <v>68.36</v>
      </c>
      <c r="C105" s="3249" t="s">
        <v>3502</v>
      </c>
      <c r="D105" s="3249" t="s">
        <v>3506</v>
      </c>
      <c r="E105" s="3249">
        <v>325</v>
      </c>
      <c r="F105" s="3249">
        <f t="shared" si="6"/>
        <v>47542</v>
      </c>
      <c r="G105" s="3223">
        <v>44709</v>
      </c>
      <c r="H105" s="3224"/>
      <c r="I105" s="3223" t="s">
        <v>3565</v>
      </c>
      <c r="J105" s="3225"/>
      <c r="K105" s="3224"/>
      <c r="L105" s="3225"/>
      <c r="M105" s="3224"/>
      <c r="N105" s="3225"/>
      <c r="O105" s="3224"/>
    </row>
    <row r="106" spans="1:15" s="3226" customFormat="1" ht="18" customHeight="1" outlineLevel="1">
      <c r="A106" s="3249" t="s">
        <v>3505</v>
      </c>
      <c r="B106" s="3249">
        <v>68.8</v>
      </c>
      <c r="C106" s="3249" t="s">
        <v>3500</v>
      </c>
      <c r="D106" s="3249" t="s">
        <v>3493</v>
      </c>
      <c r="E106" s="3249">
        <v>318</v>
      </c>
      <c r="F106" s="3249">
        <f t="shared" si="6"/>
        <v>46221</v>
      </c>
      <c r="G106" s="3223">
        <v>44692</v>
      </c>
      <c r="H106" s="3224"/>
      <c r="I106" s="3223" t="s">
        <v>3565</v>
      </c>
      <c r="J106" s="3225"/>
      <c r="K106" s="3224"/>
      <c r="L106" s="3225"/>
      <c r="M106" s="3224"/>
      <c r="N106" s="3225"/>
      <c r="O106" s="3224"/>
    </row>
    <row r="107" spans="1:15" s="3226" customFormat="1" ht="18" customHeight="1" outlineLevel="1">
      <c r="A107" s="3249" t="s">
        <v>3505</v>
      </c>
      <c r="B107" s="3249">
        <v>47.2</v>
      </c>
      <c r="C107" s="3249" t="s">
        <v>3501</v>
      </c>
      <c r="D107" s="3249" t="s">
        <v>3495</v>
      </c>
      <c r="E107" s="3249">
        <v>233</v>
      </c>
      <c r="F107" s="3249">
        <f t="shared" si="6"/>
        <v>49364</v>
      </c>
      <c r="G107" s="3223">
        <v>44683</v>
      </c>
      <c r="H107" s="3224"/>
      <c r="I107" s="3223" t="s">
        <v>3565</v>
      </c>
      <c r="J107" s="3225"/>
      <c r="K107" s="3224"/>
      <c r="L107" s="3225"/>
      <c r="M107" s="3224"/>
      <c r="N107" s="3225"/>
      <c r="O107" s="3224"/>
    </row>
    <row r="108" spans="1:15" s="3226" customFormat="1" ht="18" customHeight="1" outlineLevel="1">
      <c r="A108" s="3249" t="s">
        <v>3505</v>
      </c>
      <c r="B108" s="3249">
        <v>47.42</v>
      </c>
      <c r="C108" s="3249" t="s">
        <v>3501</v>
      </c>
      <c r="D108" s="3249" t="s">
        <v>3493</v>
      </c>
      <c r="E108" s="3249">
        <v>279</v>
      </c>
      <c r="F108" s="3249">
        <f t="shared" si="6"/>
        <v>58836</v>
      </c>
      <c r="G108" s="3223">
        <v>44675</v>
      </c>
      <c r="H108" s="3224"/>
      <c r="I108" s="3223" t="s">
        <v>3565</v>
      </c>
      <c r="J108" s="3225"/>
      <c r="K108" s="3224"/>
      <c r="L108" s="3225"/>
      <c r="M108" s="3224"/>
      <c r="N108" s="3225"/>
      <c r="O108" s="3224"/>
    </row>
    <row r="109" spans="1:15" s="3226" customFormat="1" ht="18" customHeight="1" outlineLevel="1">
      <c r="A109" s="3249" t="s">
        <v>3505</v>
      </c>
      <c r="B109" s="3249">
        <v>69.72</v>
      </c>
      <c r="C109" s="3249" t="s">
        <v>3501</v>
      </c>
      <c r="D109" s="3249" t="s">
        <v>3493</v>
      </c>
      <c r="E109" s="3249">
        <v>405</v>
      </c>
      <c r="F109" s="3249">
        <f t="shared" si="6"/>
        <v>58090</v>
      </c>
      <c r="G109" s="3223">
        <v>44674</v>
      </c>
      <c r="H109" s="3224"/>
      <c r="I109" s="3223" t="s">
        <v>3565</v>
      </c>
      <c r="J109" s="3225"/>
      <c r="K109" s="3224"/>
      <c r="L109" s="3225"/>
      <c r="M109" s="3224"/>
      <c r="N109" s="3225"/>
      <c r="O109" s="3224"/>
    </row>
    <row r="110" spans="1:15" s="3226" customFormat="1" ht="18" customHeight="1" outlineLevel="1">
      <c r="A110" s="3249" t="s">
        <v>3505</v>
      </c>
      <c r="B110" s="3249">
        <v>68.8</v>
      </c>
      <c r="C110" s="3249" t="s">
        <v>3500</v>
      </c>
      <c r="D110" s="3249" t="s">
        <v>3493</v>
      </c>
      <c r="E110" s="3249">
        <v>340</v>
      </c>
      <c r="F110" s="3249">
        <f t="shared" si="6"/>
        <v>49419</v>
      </c>
      <c r="G110" s="3223">
        <v>44674</v>
      </c>
      <c r="H110" s="3224"/>
      <c r="I110" s="3223" t="s">
        <v>3565</v>
      </c>
      <c r="J110" s="3225"/>
      <c r="K110" s="3224"/>
      <c r="L110" s="3225"/>
      <c r="M110" s="3224"/>
      <c r="N110" s="3225"/>
      <c r="O110" s="3224"/>
    </row>
    <row r="111" spans="1:15" s="3226" customFormat="1" ht="18" customHeight="1" outlineLevel="1">
      <c r="A111" s="3249" t="s">
        <v>3505</v>
      </c>
      <c r="B111" s="3249">
        <v>57.71</v>
      </c>
      <c r="C111" s="3249" t="s">
        <v>3500</v>
      </c>
      <c r="D111" s="3249" t="s">
        <v>3493</v>
      </c>
      <c r="E111" s="3249">
        <v>275</v>
      </c>
      <c r="F111" s="3249">
        <f t="shared" si="6"/>
        <v>47652</v>
      </c>
      <c r="G111" s="3223">
        <v>44657</v>
      </c>
      <c r="H111" s="3224"/>
      <c r="I111" s="3223" t="s">
        <v>3565</v>
      </c>
      <c r="J111" s="3225"/>
      <c r="K111" s="3224"/>
      <c r="L111" s="3225"/>
      <c r="M111" s="3224"/>
      <c r="N111" s="3225"/>
      <c r="O111" s="3224"/>
    </row>
    <row r="112" spans="1:15" s="3226" customFormat="1" ht="18" customHeight="1" outlineLevel="1">
      <c r="A112" s="3249" t="s">
        <v>3505</v>
      </c>
      <c r="B112" s="3249">
        <v>56.34</v>
      </c>
      <c r="C112" s="3249" t="s">
        <v>3502</v>
      </c>
      <c r="D112" s="3249" t="s">
        <v>3495</v>
      </c>
      <c r="E112" s="3249">
        <v>266</v>
      </c>
      <c r="F112" s="3249">
        <f t="shared" si="6"/>
        <v>47213</v>
      </c>
      <c r="G112" s="3223">
        <v>44651</v>
      </c>
      <c r="H112" s="3224"/>
      <c r="I112" s="3223" t="s">
        <v>3565</v>
      </c>
      <c r="J112" s="3225"/>
      <c r="K112" s="3224"/>
      <c r="L112" s="3225"/>
      <c r="M112" s="3224"/>
      <c r="N112" s="3225"/>
      <c r="O112" s="3224"/>
    </row>
    <row r="113" spans="1:15" s="3226" customFormat="1" ht="18" customHeight="1" outlineLevel="1">
      <c r="A113" s="3249" t="s">
        <v>3505</v>
      </c>
      <c r="B113" s="3249">
        <v>67.89</v>
      </c>
      <c r="C113" s="3249" t="s">
        <v>3500</v>
      </c>
      <c r="D113" s="3249" t="s">
        <v>3493</v>
      </c>
      <c r="E113" s="3249">
        <v>407</v>
      </c>
      <c r="F113" s="3249">
        <f t="shared" si="6"/>
        <v>59950</v>
      </c>
      <c r="G113" s="3223">
        <v>44649</v>
      </c>
      <c r="H113" s="3224"/>
      <c r="I113" s="3223" t="s">
        <v>3565</v>
      </c>
      <c r="J113" s="3225"/>
      <c r="K113" s="3224"/>
      <c r="L113" s="3225"/>
      <c r="M113" s="3224"/>
      <c r="N113" s="3225"/>
      <c r="O113" s="3224"/>
    </row>
    <row r="114" spans="1:15" s="3226" customFormat="1" ht="18" customHeight="1" outlineLevel="1">
      <c r="A114" s="3249" t="s">
        <v>3505</v>
      </c>
      <c r="B114" s="3249">
        <v>57.71</v>
      </c>
      <c r="C114" s="3249" t="s">
        <v>3500</v>
      </c>
      <c r="D114" s="3249" t="s">
        <v>3493</v>
      </c>
      <c r="E114" s="3249">
        <v>259</v>
      </c>
      <c r="F114" s="3249">
        <f t="shared" si="6"/>
        <v>44880</v>
      </c>
      <c r="G114" s="3223">
        <v>44646</v>
      </c>
      <c r="H114" s="3224"/>
      <c r="I114" s="3223" t="s">
        <v>3565</v>
      </c>
      <c r="J114" s="3225"/>
      <c r="K114" s="3224"/>
      <c r="L114" s="3225"/>
      <c r="M114" s="3224"/>
      <c r="N114" s="3225"/>
      <c r="O114" s="3224"/>
    </row>
    <row r="115" spans="1:15" s="3226" customFormat="1" ht="18" customHeight="1" outlineLevel="1">
      <c r="A115" s="3249" t="s">
        <v>3505</v>
      </c>
      <c r="B115" s="3249">
        <v>67.63</v>
      </c>
      <c r="C115" s="3249" t="s">
        <v>3500</v>
      </c>
      <c r="D115" s="3249" t="s">
        <v>3493</v>
      </c>
      <c r="E115" s="3249">
        <v>332.5</v>
      </c>
      <c r="F115" s="3249">
        <f t="shared" ref="F115:F162" si="23">ROUND(E115*10000/B115,0)</f>
        <v>49165</v>
      </c>
      <c r="G115" s="3223">
        <v>44643</v>
      </c>
      <c r="H115" s="3224"/>
      <c r="I115" s="3223" t="s">
        <v>3565</v>
      </c>
      <c r="J115" s="3225"/>
      <c r="K115" s="3224"/>
      <c r="L115" s="3225"/>
      <c r="M115" s="3224"/>
      <c r="N115" s="3225"/>
      <c r="O115" s="3224"/>
    </row>
    <row r="116" spans="1:15" s="3226" customFormat="1" ht="18" customHeight="1" outlineLevel="1">
      <c r="A116" s="3249" t="s">
        <v>3505</v>
      </c>
      <c r="B116" s="3249">
        <v>66.5</v>
      </c>
      <c r="C116" s="3249" t="s">
        <v>3501</v>
      </c>
      <c r="D116" s="3249" t="s">
        <v>3493</v>
      </c>
      <c r="E116" s="3249">
        <v>361</v>
      </c>
      <c r="F116" s="3249">
        <f t="shared" si="23"/>
        <v>54286</v>
      </c>
      <c r="G116" s="3223">
        <v>44641</v>
      </c>
      <c r="H116" s="3224"/>
      <c r="I116" s="3223" t="s">
        <v>3565</v>
      </c>
      <c r="J116" s="3225"/>
      <c r="K116" s="3224"/>
      <c r="L116" s="3225"/>
      <c r="M116" s="3224"/>
      <c r="N116" s="3225"/>
      <c r="O116" s="3224"/>
    </row>
    <row r="117" spans="1:15" s="3226" customFormat="1" ht="18" customHeight="1" outlineLevel="1">
      <c r="A117" s="3249" t="s">
        <v>3505</v>
      </c>
      <c r="B117" s="3249">
        <v>68.040000000000006</v>
      </c>
      <c r="C117" s="3249" t="s">
        <v>3500</v>
      </c>
      <c r="D117" s="3249" t="s">
        <v>3495</v>
      </c>
      <c r="E117" s="3249">
        <v>340</v>
      </c>
      <c r="F117" s="3249">
        <f t="shared" si="23"/>
        <v>49971</v>
      </c>
      <c r="G117" s="3223">
        <v>44639</v>
      </c>
      <c r="H117" s="3224"/>
      <c r="I117" s="3223" t="s">
        <v>3565</v>
      </c>
      <c r="J117" s="3225"/>
      <c r="K117" s="3224"/>
      <c r="L117" s="3225"/>
      <c r="M117" s="3224"/>
      <c r="N117" s="3225"/>
      <c r="O117" s="3224"/>
    </row>
    <row r="118" spans="1:15" s="3226" customFormat="1" ht="18" customHeight="1" outlineLevel="1">
      <c r="A118" s="3249" t="s">
        <v>3505</v>
      </c>
      <c r="B118" s="3249">
        <v>65.91</v>
      </c>
      <c r="C118" s="3249" t="s">
        <v>3501</v>
      </c>
      <c r="D118" s="3249" t="s">
        <v>3493</v>
      </c>
      <c r="E118" s="3249">
        <v>376</v>
      </c>
      <c r="F118" s="3249">
        <f t="shared" si="23"/>
        <v>57047</v>
      </c>
      <c r="G118" s="3223">
        <v>44639</v>
      </c>
      <c r="H118" s="3224"/>
      <c r="I118" s="3223" t="s">
        <v>3565</v>
      </c>
      <c r="J118" s="3225"/>
      <c r="K118" s="3224"/>
      <c r="L118" s="3225"/>
      <c r="M118" s="3224"/>
      <c r="N118" s="3225"/>
      <c r="O118" s="3224"/>
    </row>
    <row r="119" spans="1:15" s="3226" customFormat="1" ht="18" customHeight="1" outlineLevel="1">
      <c r="A119" s="3249" t="s">
        <v>3505</v>
      </c>
      <c r="B119" s="3249">
        <v>66.5</v>
      </c>
      <c r="C119" s="3249" t="s">
        <v>3501</v>
      </c>
      <c r="D119" s="3249" t="s">
        <v>3493</v>
      </c>
      <c r="E119" s="3249">
        <v>360</v>
      </c>
      <c r="F119" s="3249">
        <f t="shared" si="23"/>
        <v>54135</v>
      </c>
      <c r="G119" s="3223">
        <v>44629</v>
      </c>
      <c r="H119" s="3224"/>
      <c r="I119" s="3223" t="s">
        <v>3565</v>
      </c>
      <c r="J119" s="3225"/>
      <c r="K119" s="3224"/>
      <c r="L119" s="3225"/>
      <c r="M119" s="3224"/>
      <c r="N119" s="3225"/>
      <c r="O119" s="3224"/>
    </row>
    <row r="120" spans="1:15" s="3226" customFormat="1" ht="18" customHeight="1" outlineLevel="1">
      <c r="A120" s="3249" t="s">
        <v>3505</v>
      </c>
      <c r="B120" s="3249">
        <v>65.91</v>
      </c>
      <c r="C120" s="3249" t="s">
        <v>3502</v>
      </c>
      <c r="D120" s="3249" t="s">
        <v>3493</v>
      </c>
      <c r="E120" s="3249">
        <v>352</v>
      </c>
      <c r="F120" s="3249">
        <f t="shared" si="23"/>
        <v>53406</v>
      </c>
      <c r="G120" s="3223">
        <v>44625</v>
      </c>
      <c r="H120" s="3224"/>
      <c r="I120" s="3223" t="s">
        <v>3565</v>
      </c>
      <c r="J120" s="3225"/>
      <c r="K120" s="3224"/>
      <c r="L120" s="3225"/>
      <c r="M120" s="3224"/>
      <c r="N120" s="3225"/>
      <c r="O120" s="3224"/>
    </row>
    <row r="121" spans="1:15" s="3226" customFormat="1" ht="18" customHeight="1" outlineLevel="1">
      <c r="A121" s="3249" t="s">
        <v>3505</v>
      </c>
      <c r="B121" s="3249">
        <v>73.45</v>
      </c>
      <c r="C121" s="3249" t="s">
        <v>3501</v>
      </c>
      <c r="D121" s="3249" t="s">
        <v>3493</v>
      </c>
      <c r="E121" s="3249">
        <v>395</v>
      </c>
      <c r="F121" s="3249">
        <f t="shared" si="23"/>
        <v>53778</v>
      </c>
      <c r="G121" s="3223">
        <v>44622</v>
      </c>
      <c r="H121" s="3224"/>
      <c r="I121" s="3223" t="s">
        <v>3565</v>
      </c>
      <c r="J121" s="3225"/>
      <c r="K121" s="3224"/>
      <c r="L121" s="3225"/>
      <c r="M121" s="3224"/>
      <c r="N121" s="3225"/>
      <c r="O121" s="3224"/>
    </row>
    <row r="122" spans="1:15" s="3226" customFormat="1" ht="18" customHeight="1" outlineLevel="1">
      <c r="A122" s="3249" t="s">
        <v>3505</v>
      </c>
      <c r="B122" s="3249">
        <v>67.63</v>
      </c>
      <c r="C122" s="3249" t="s">
        <v>3501</v>
      </c>
      <c r="D122" s="3249" t="s">
        <v>3493</v>
      </c>
      <c r="E122" s="3249">
        <v>391.6</v>
      </c>
      <c r="F122" s="3249">
        <f t="shared" si="23"/>
        <v>57903</v>
      </c>
      <c r="G122" s="3223">
        <v>44590</v>
      </c>
      <c r="H122" s="3224"/>
      <c r="I122" s="3223" t="s">
        <v>3565</v>
      </c>
      <c r="J122" s="3225"/>
      <c r="K122" s="3224"/>
      <c r="L122" s="3225"/>
      <c r="M122" s="3224"/>
      <c r="N122" s="3225"/>
      <c r="O122" s="3224"/>
    </row>
    <row r="123" spans="1:15" s="3226" customFormat="1" ht="18" customHeight="1" outlineLevel="1">
      <c r="A123" s="3249" t="s">
        <v>3505</v>
      </c>
      <c r="B123" s="3249">
        <v>66.5</v>
      </c>
      <c r="C123" s="3249" t="s">
        <v>3502</v>
      </c>
      <c r="D123" s="3249" t="s">
        <v>3493</v>
      </c>
      <c r="E123" s="3249">
        <v>358</v>
      </c>
      <c r="F123" s="3249">
        <f t="shared" si="23"/>
        <v>53835</v>
      </c>
      <c r="G123" s="3223">
        <v>44570</v>
      </c>
      <c r="H123" s="3224"/>
      <c r="I123" s="3223" t="s">
        <v>3565</v>
      </c>
      <c r="J123" s="3225"/>
      <c r="K123" s="3224"/>
      <c r="L123" s="3225"/>
      <c r="M123" s="3224"/>
      <c r="N123" s="3225"/>
      <c r="O123" s="3224"/>
    </row>
    <row r="124" spans="1:15" s="3226" customFormat="1" ht="18" customHeight="1" outlineLevel="1">
      <c r="A124" s="3249" t="s">
        <v>3505</v>
      </c>
      <c r="B124" s="3249">
        <v>57.71</v>
      </c>
      <c r="C124" s="3249" t="s">
        <v>3500</v>
      </c>
      <c r="D124" s="3249" t="s">
        <v>3493</v>
      </c>
      <c r="E124" s="3249">
        <v>306</v>
      </c>
      <c r="F124" s="3249">
        <f t="shared" si="23"/>
        <v>53024</v>
      </c>
      <c r="G124" s="3223">
        <v>44565</v>
      </c>
      <c r="H124" s="3224"/>
      <c r="I124" s="3223" t="s">
        <v>3565</v>
      </c>
      <c r="J124" s="3225"/>
      <c r="K124" s="3224"/>
      <c r="L124" s="3225"/>
      <c r="M124" s="3224"/>
      <c r="N124" s="3225"/>
      <c r="O124" s="3224"/>
    </row>
    <row r="125" spans="1:15" s="3242" customFormat="1" ht="18" customHeight="1" outlineLevel="1" thickBot="1">
      <c r="A125" s="3253" t="s">
        <v>3505</v>
      </c>
      <c r="B125" s="3253">
        <v>68.8</v>
      </c>
      <c r="C125" s="3253" t="s">
        <v>3502</v>
      </c>
      <c r="D125" s="3253" t="s">
        <v>3504</v>
      </c>
      <c r="E125" s="3253">
        <v>355</v>
      </c>
      <c r="F125" s="3253">
        <f t="shared" si="23"/>
        <v>51599</v>
      </c>
      <c r="G125" s="3239">
        <v>44564</v>
      </c>
      <c r="H125" s="3240"/>
      <c r="I125" s="3239" t="s">
        <v>3566</v>
      </c>
      <c r="J125" s="3241"/>
      <c r="K125" s="3240"/>
      <c r="L125" s="3241"/>
      <c r="M125" s="3240"/>
      <c r="N125" s="3241"/>
      <c r="O125" s="3240"/>
    </row>
    <row r="126" spans="1:15" s="3219" customFormat="1" ht="18" customHeight="1" collapsed="1">
      <c r="A126" s="3221" t="s">
        <v>3527</v>
      </c>
      <c r="B126" s="3221"/>
      <c r="C126" s="3221"/>
      <c r="D126" s="3221"/>
      <c r="E126" s="3221"/>
      <c r="F126" s="3221">
        <f>ROUND(SUM(E131:E154)/SUM(B131:B154)*10000,0)</f>
        <v>51399</v>
      </c>
      <c r="G126" s="3220" t="s">
        <v>3523</v>
      </c>
      <c r="H126" s="3221"/>
      <c r="I126" s="3220"/>
      <c r="J126" s="3220"/>
      <c r="K126" s="3221"/>
      <c r="L126" s="3220"/>
      <c r="M126" s="3221"/>
      <c r="N126" s="3220"/>
      <c r="O126" s="3221"/>
    </row>
    <row r="127" spans="1:15" s="3219" customFormat="1" ht="18" hidden="1" customHeight="1" outlineLevel="1">
      <c r="A127" s="3221"/>
      <c r="B127" s="3221">
        <f>ROUND((C127-C128)/C128,4)</f>
        <v>-1</v>
      </c>
      <c r="C127" s="3221"/>
      <c r="D127" s="3221" t="s">
        <v>3540</v>
      </c>
      <c r="E127" s="3221">
        <f>ROUND((F127-F128)/F128,4)</f>
        <v>-3.3500000000000002E-2</v>
      </c>
      <c r="F127" s="3221">
        <v>52010</v>
      </c>
      <c r="G127" s="3220" t="s">
        <v>3538</v>
      </c>
      <c r="H127" s="3221"/>
      <c r="I127" s="3220"/>
      <c r="J127" s="3220"/>
      <c r="K127" s="3221"/>
      <c r="L127" s="3220"/>
      <c r="M127" s="3221"/>
      <c r="N127" s="3220"/>
      <c r="O127" s="3221"/>
    </row>
    <row r="128" spans="1:15" s="3219" customFormat="1" ht="18" hidden="1" customHeight="1" outlineLevel="1">
      <c r="A128" s="3221"/>
      <c r="B128" s="3221"/>
      <c r="C128" s="3221">
        <v>53251</v>
      </c>
      <c r="D128" s="3221" t="s">
        <v>3541</v>
      </c>
      <c r="E128" s="3221"/>
      <c r="F128" s="3221">
        <v>53811</v>
      </c>
      <c r="G128" s="3220" t="s">
        <v>3543</v>
      </c>
      <c r="H128" s="3221"/>
      <c r="I128" s="3220"/>
      <c r="J128" s="3220"/>
      <c r="K128" s="3221"/>
      <c r="L128" s="3220"/>
      <c r="M128" s="3221"/>
      <c r="N128" s="3220"/>
      <c r="O128" s="3221"/>
    </row>
    <row r="129" spans="1:15" s="3230" customFormat="1" ht="18" hidden="1" customHeight="1" outlineLevel="1">
      <c r="A129" s="3250" t="s">
        <v>3617</v>
      </c>
      <c r="B129" s="3250">
        <v>57.8</v>
      </c>
      <c r="C129" s="3250" t="s">
        <v>3616</v>
      </c>
      <c r="D129" s="3250" t="s">
        <v>3614</v>
      </c>
      <c r="E129" s="3250">
        <v>287</v>
      </c>
      <c r="F129" s="3250">
        <f t="shared" ref="F129:F130" si="24">ROUND(E129*10000/B129,0)</f>
        <v>49654</v>
      </c>
      <c r="G129" s="3227">
        <v>45179</v>
      </c>
      <c r="H129" s="3228"/>
      <c r="I129" s="3227"/>
      <c r="J129" s="3229"/>
      <c r="K129" s="3228"/>
      <c r="L129" s="3229"/>
      <c r="M129" s="3228"/>
      <c r="N129" s="3229"/>
      <c r="O129" s="3228"/>
    </row>
    <row r="130" spans="1:15" s="3230" customFormat="1" ht="18" hidden="1" customHeight="1" outlineLevel="1">
      <c r="A130" s="3250" t="s">
        <v>3617</v>
      </c>
      <c r="B130" s="3250">
        <v>70.099999999999994</v>
      </c>
      <c r="C130" s="3250" t="s">
        <v>3613</v>
      </c>
      <c r="D130" s="3250" t="s">
        <v>3614</v>
      </c>
      <c r="E130" s="3250">
        <v>350</v>
      </c>
      <c r="F130" s="3250">
        <f t="shared" si="24"/>
        <v>49929</v>
      </c>
      <c r="G130" s="3227">
        <v>45178</v>
      </c>
      <c r="H130" s="3228"/>
      <c r="I130" s="3227"/>
      <c r="J130" s="3229"/>
      <c r="K130" s="3228"/>
      <c r="L130" s="3229"/>
      <c r="M130" s="3228"/>
      <c r="N130" s="3229"/>
      <c r="O130" s="3228"/>
    </row>
    <row r="131" spans="1:15" s="3230" customFormat="1" ht="18" hidden="1" customHeight="1" outlineLevel="1">
      <c r="A131" s="3250" t="s">
        <v>3526</v>
      </c>
      <c r="B131" s="3250">
        <v>69.099999999999994</v>
      </c>
      <c r="C131" s="3250" t="s">
        <v>3502</v>
      </c>
      <c r="D131" s="3250" t="s">
        <v>3493</v>
      </c>
      <c r="E131" s="3250">
        <v>367</v>
      </c>
      <c r="F131" s="3250">
        <f t="shared" ref="F131:F139" si="25">ROUND(E131*10000/B131,0)</f>
        <v>53111</v>
      </c>
      <c r="G131" s="3227">
        <v>45157</v>
      </c>
      <c r="H131" s="3228"/>
      <c r="I131" s="3227"/>
      <c r="J131" s="3229"/>
      <c r="K131" s="3228"/>
      <c r="L131" s="3229"/>
      <c r="M131" s="3228"/>
      <c r="N131" s="3229"/>
      <c r="O131" s="3228"/>
    </row>
    <row r="132" spans="1:15" s="3230" customFormat="1" ht="18" hidden="1" customHeight="1" outlineLevel="1">
      <c r="A132" s="3250" t="s">
        <v>3507</v>
      </c>
      <c r="B132" s="3250">
        <v>36.299999999999997</v>
      </c>
      <c r="C132" s="3250" t="s">
        <v>3511</v>
      </c>
      <c r="D132" s="3250" t="s">
        <v>3508</v>
      </c>
      <c r="E132" s="3250">
        <v>192</v>
      </c>
      <c r="F132" s="3250">
        <f t="shared" si="25"/>
        <v>52893</v>
      </c>
      <c r="G132" s="3227">
        <v>45152</v>
      </c>
      <c r="H132" s="3228"/>
      <c r="I132" s="3227"/>
      <c r="J132" s="3229"/>
      <c r="K132" s="3228"/>
      <c r="L132" s="3229"/>
      <c r="M132" s="3228"/>
      <c r="N132" s="3229"/>
      <c r="O132" s="3228"/>
    </row>
    <row r="133" spans="1:15" s="3230" customFormat="1" ht="18" hidden="1" customHeight="1" outlineLevel="1">
      <c r="A133" s="3250" t="s">
        <v>3507</v>
      </c>
      <c r="B133" s="3250">
        <v>46.5</v>
      </c>
      <c r="C133" s="3250" t="s">
        <v>3501</v>
      </c>
      <c r="D133" s="3250" t="s">
        <v>3508</v>
      </c>
      <c r="E133" s="3250">
        <v>225</v>
      </c>
      <c r="F133" s="3250">
        <f t="shared" si="25"/>
        <v>48387</v>
      </c>
      <c r="G133" s="3227">
        <v>45144</v>
      </c>
      <c r="H133" s="3228"/>
      <c r="I133" s="3227"/>
      <c r="J133" s="3229"/>
      <c r="K133" s="3228"/>
      <c r="L133" s="3229"/>
      <c r="M133" s="3228"/>
      <c r="N133" s="3229"/>
      <c r="O133" s="3228"/>
    </row>
    <row r="134" spans="1:15" s="3230" customFormat="1" ht="18" hidden="1" customHeight="1" outlineLevel="1">
      <c r="A134" s="3250" t="s">
        <v>3507</v>
      </c>
      <c r="B134" s="3250">
        <v>57</v>
      </c>
      <c r="C134" s="3250" t="s">
        <v>3512</v>
      </c>
      <c r="D134" s="3250" t="s">
        <v>3493</v>
      </c>
      <c r="E134" s="3250">
        <v>282</v>
      </c>
      <c r="F134" s="3250">
        <f t="shared" si="25"/>
        <v>49474</v>
      </c>
      <c r="G134" s="3227">
        <v>45115</v>
      </c>
      <c r="H134" s="3228"/>
      <c r="I134" s="3227"/>
      <c r="J134" s="3229"/>
      <c r="K134" s="3228"/>
      <c r="L134" s="3229"/>
      <c r="M134" s="3228"/>
      <c r="N134" s="3229"/>
      <c r="O134" s="3228"/>
    </row>
    <row r="135" spans="1:15" s="3230" customFormat="1" ht="18" hidden="1" customHeight="1" outlineLevel="1">
      <c r="A135" s="3250" t="s">
        <v>3507</v>
      </c>
      <c r="B135" s="3250">
        <v>69.7</v>
      </c>
      <c r="C135" s="3250" t="s">
        <v>3500</v>
      </c>
      <c r="D135" s="3250" t="s">
        <v>3493</v>
      </c>
      <c r="E135" s="3250">
        <v>305</v>
      </c>
      <c r="F135" s="3250">
        <f t="shared" si="25"/>
        <v>43759</v>
      </c>
      <c r="G135" s="3227">
        <v>45109</v>
      </c>
      <c r="H135" s="3228"/>
      <c r="I135" s="3227"/>
      <c r="J135" s="3229"/>
      <c r="K135" s="3228"/>
      <c r="L135" s="3229"/>
      <c r="M135" s="3228"/>
      <c r="N135" s="3229"/>
      <c r="O135" s="3228"/>
    </row>
    <row r="136" spans="1:15" s="3230" customFormat="1" ht="18" hidden="1" customHeight="1" outlineLevel="1">
      <c r="A136" s="3250" t="s">
        <v>3507</v>
      </c>
      <c r="B136" s="3250">
        <v>53.9</v>
      </c>
      <c r="C136" s="3250" t="s">
        <v>3502</v>
      </c>
      <c r="D136" s="3250" t="s">
        <v>3493</v>
      </c>
      <c r="E136" s="3250">
        <v>279</v>
      </c>
      <c r="F136" s="3250">
        <f t="shared" si="25"/>
        <v>51763</v>
      </c>
      <c r="G136" s="3227">
        <v>45109</v>
      </c>
      <c r="H136" s="3228"/>
      <c r="I136" s="3227"/>
      <c r="J136" s="3229"/>
      <c r="K136" s="3228"/>
      <c r="L136" s="3229"/>
      <c r="M136" s="3228"/>
      <c r="N136" s="3229"/>
      <c r="O136" s="3228"/>
    </row>
    <row r="137" spans="1:15" s="3230" customFormat="1" ht="18" hidden="1" customHeight="1" outlineLevel="1">
      <c r="A137" s="3250" t="s">
        <v>3507</v>
      </c>
      <c r="B137" s="3250">
        <v>59.17</v>
      </c>
      <c r="C137" s="3250" t="s">
        <v>3501</v>
      </c>
      <c r="D137" s="3250" t="s">
        <v>3493</v>
      </c>
      <c r="E137" s="3250">
        <v>335.1</v>
      </c>
      <c r="F137" s="3250">
        <f t="shared" si="25"/>
        <v>56633</v>
      </c>
      <c r="G137" s="3227">
        <v>45098</v>
      </c>
      <c r="H137" s="3228"/>
      <c r="I137" s="3227"/>
      <c r="J137" s="3229"/>
      <c r="K137" s="3228"/>
      <c r="L137" s="3229"/>
      <c r="M137" s="3228"/>
      <c r="N137" s="3229"/>
      <c r="O137" s="3228"/>
    </row>
    <row r="138" spans="1:15" s="3230" customFormat="1" ht="18" hidden="1" customHeight="1" outlineLevel="1">
      <c r="A138" s="3250" t="s">
        <v>3507</v>
      </c>
      <c r="B138" s="3250">
        <v>46</v>
      </c>
      <c r="C138" s="3250" t="s">
        <v>3502</v>
      </c>
      <c r="D138" s="3250" t="s">
        <v>3508</v>
      </c>
      <c r="E138" s="3250">
        <v>237</v>
      </c>
      <c r="F138" s="3250">
        <f t="shared" si="25"/>
        <v>51522</v>
      </c>
      <c r="G138" s="3227">
        <v>45087</v>
      </c>
      <c r="H138" s="3228"/>
      <c r="I138" s="3227"/>
      <c r="J138" s="3229"/>
      <c r="K138" s="3228"/>
      <c r="L138" s="3229"/>
      <c r="M138" s="3228"/>
      <c r="N138" s="3229"/>
      <c r="O138" s="3228"/>
    </row>
    <row r="139" spans="1:15" s="3230" customFormat="1" ht="18" hidden="1" customHeight="1" outlineLevel="1">
      <c r="A139" s="3250" t="s">
        <v>3507</v>
      </c>
      <c r="B139" s="3250">
        <v>54.8</v>
      </c>
      <c r="C139" s="3250" t="s">
        <v>3501</v>
      </c>
      <c r="D139" s="3250" t="s">
        <v>3493</v>
      </c>
      <c r="E139" s="3250">
        <v>300</v>
      </c>
      <c r="F139" s="3250">
        <f t="shared" si="25"/>
        <v>54745</v>
      </c>
      <c r="G139" s="3227">
        <v>45064</v>
      </c>
      <c r="H139" s="3228"/>
      <c r="I139" s="3227"/>
      <c r="J139" s="3229"/>
      <c r="K139" s="3228"/>
      <c r="L139" s="3229"/>
      <c r="M139" s="3228"/>
      <c r="N139" s="3229"/>
      <c r="O139" s="3228"/>
    </row>
    <row r="140" spans="1:15" ht="18" hidden="1" customHeight="1" outlineLevel="1">
      <c r="A140" s="3251" t="s">
        <v>3507</v>
      </c>
      <c r="B140" s="3251">
        <v>45.3</v>
      </c>
      <c r="C140" s="3251" t="s">
        <v>3501</v>
      </c>
      <c r="D140" s="3251" t="s">
        <v>3508</v>
      </c>
      <c r="E140" s="3251">
        <v>263</v>
      </c>
      <c r="F140" s="3251">
        <f t="shared" si="23"/>
        <v>58057</v>
      </c>
      <c r="G140" s="3231">
        <v>45041</v>
      </c>
      <c r="I140" s="3231"/>
    </row>
    <row r="141" spans="1:15" ht="18" hidden="1" customHeight="1" outlineLevel="1">
      <c r="A141" s="3251" t="s">
        <v>3507</v>
      </c>
      <c r="B141" s="3251">
        <v>55.9</v>
      </c>
      <c r="C141" s="3251" t="s">
        <v>3500</v>
      </c>
      <c r="D141" s="3251" t="s">
        <v>3509</v>
      </c>
      <c r="E141" s="3251">
        <v>263</v>
      </c>
      <c r="F141" s="3251">
        <f t="shared" si="23"/>
        <v>47048</v>
      </c>
      <c r="G141" s="3231">
        <v>45025</v>
      </c>
      <c r="I141" s="3231"/>
    </row>
    <row r="142" spans="1:15" ht="18" hidden="1" customHeight="1" outlineLevel="1">
      <c r="A142" s="3251" t="s">
        <v>3507</v>
      </c>
      <c r="B142" s="3251">
        <v>68.900000000000006</v>
      </c>
      <c r="C142" s="3251" t="s">
        <v>3510</v>
      </c>
      <c r="D142" s="3251" t="s">
        <v>3493</v>
      </c>
      <c r="E142" s="3251">
        <v>319.5</v>
      </c>
      <c r="F142" s="3251">
        <f t="shared" si="23"/>
        <v>46372</v>
      </c>
      <c r="G142" s="3231">
        <v>44990</v>
      </c>
      <c r="I142" s="3231"/>
    </row>
    <row r="143" spans="1:15" ht="18" hidden="1" customHeight="1" outlineLevel="1">
      <c r="A143" s="3251" t="s">
        <v>3507</v>
      </c>
      <c r="B143" s="3251">
        <v>56.8</v>
      </c>
      <c r="C143" s="3251" t="s">
        <v>3511</v>
      </c>
      <c r="D143" s="3251" t="s">
        <v>3493</v>
      </c>
      <c r="E143" s="3251">
        <v>305</v>
      </c>
      <c r="F143" s="3251">
        <f t="shared" si="23"/>
        <v>53697</v>
      </c>
      <c r="G143" s="3231">
        <v>44983</v>
      </c>
      <c r="I143" s="3231"/>
    </row>
    <row r="144" spans="1:15" ht="18" hidden="1" customHeight="1" outlineLevel="1">
      <c r="A144" s="3251" t="s">
        <v>3507</v>
      </c>
      <c r="B144" s="3251">
        <v>56.5</v>
      </c>
      <c r="C144" s="3251" t="s">
        <v>3512</v>
      </c>
      <c r="D144" s="3251" t="s">
        <v>3493</v>
      </c>
      <c r="E144" s="3251">
        <v>298</v>
      </c>
      <c r="F144" s="3251">
        <f t="shared" si="23"/>
        <v>52743</v>
      </c>
      <c r="G144" s="3231">
        <v>44980</v>
      </c>
      <c r="I144" s="3231"/>
    </row>
    <row r="145" spans="1:15" ht="18" hidden="1" customHeight="1" outlineLevel="1">
      <c r="A145" s="3251" t="s">
        <v>3507</v>
      </c>
      <c r="B145" s="3251">
        <v>57.4</v>
      </c>
      <c r="C145" s="3251" t="s">
        <v>3502</v>
      </c>
      <c r="D145" s="3251" t="s">
        <v>3493</v>
      </c>
      <c r="E145" s="3251">
        <v>314</v>
      </c>
      <c r="F145" s="3251">
        <f t="shared" si="23"/>
        <v>54704</v>
      </c>
      <c r="G145" s="3231">
        <v>44976</v>
      </c>
      <c r="I145" s="3231"/>
    </row>
    <row r="146" spans="1:15" ht="18" hidden="1" customHeight="1" outlineLevel="1">
      <c r="A146" s="3251" t="s">
        <v>3507</v>
      </c>
      <c r="B146" s="3251">
        <v>57.3</v>
      </c>
      <c r="C146" s="3251" t="s">
        <v>3502</v>
      </c>
      <c r="D146" s="3251" t="s">
        <v>3493</v>
      </c>
      <c r="E146" s="3251">
        <v>320</v>
      </c>
      <c r="F146" s="3251">
        <f t="shared" si="23"/>
        <v>55846</v>
      </c>
      <c r="G146" s="3231">
        <v>44975</v>
      </c>
      <c r="I146" s="3231"/>
    </row>
    <row r="147" spans="1:15" ht="18" hidden="1" customHeight="1" outlineLevel="1">
      <c r="A147" s="3251" t="s">
        <v>3507</v>
      </c>
      <c r="B147" s="3251">
        <v>36.200000000000003</v>
      </c>
      <c r="C147" s="3251" t="s">
        <v>3512</v>
      </c>
      <c r="D147" s="3251" t="s">
        <v>3508</v>
      </c>
      <c r="E147" s="3251">
        <v>200</v>
      </c>
      <c r="F147" s="3251">
        <f t="shared" si="23"/>
        <v>55249</v>
      </c>
      <c r="G147" s="3231">
        <v>44963</v>
      </c>
      <c r="I147" s="3231"/>
    </row>
    <row r="148" spans="1:15" ht="18" hidden="1" customHeight="1" outlineLevel="1">
      <c r="A148" s="3251" t="s">
        <v>3507</v>
      </c>
      <c r="B148" s="3251">
        <v>54.8</v>
      </c>
      <c r="C148" s="3251" t="s">
        <v>3500</v>
      </c>
      <c r="D148" s="3251" t="s">
        <v>3493</v>
      </c>
      <c r="E148" s="3251">
        <v>273</v>
      </c>
      <c r="F148" s="3251">
        <f t="shared" si="23"/>
        <v>49818</v>
      </c>
      <c r="G148" s="3231">
        <v>44955</v>
      </c>
      <c r="I148" s="3231"/>
    </row>
    <row r="149" spans="1:15" ht="18" hidden="1" customHeight="1" outlineLevel="1">
      <c r="A149" s="3251" t="s">
        <v>3507</v>
      </c>
      <c r="B149" s="3251">
        <v>57.4</v>
      </c>
      <c r="C149" s="3251" t="s">
        <v>3502</v>
      </c>
      <c r="D149" s="3251" t="s">
        <v>3493</v>
      </c>
      <c r="E149" s="3251">
        <v>295</v>
      </c>
      <c r="F149" s="3251">
        <f t="shared" si="23"/>
        <v>51394</v>
      </c>
      <c r="G149" s="3231">
        <v>44941</v>
      </c>
      <c r="I149" s="3231"/>
    </row>
    <row r="150" spans="1:15" ht="18" hidden="1" customHeight="1" outlineLevel="1">
      <c r="A150" s="3251" t="s">
        <v>3507</v>
      </c>
      <c r="B150" s="3251">
        <v>42.5</v>
      </c>
      <c r="C150" s="3251" t="s">
        <v>3501</v>
      </c>
      <c r="D150" s="3251" t="s">
        <v>3508</v>
      </c>
      <c r="E150" s="3251">
        <v>230</v>
      </c>
      <c r="F150" s="3251">
        <f t="shared" si="23"/>
        <v>54118</v>
      </c>
      <c r="G150" s="3231">
        <v>44940</v>
      </c>
      <c r="I150" s="3231"/>
    </row>
    <row r="151" spans="1:15" ht="18" hidden="1" customHeight="1" outlineLevel="1">
      <c r="A151" s="3251" t="s">
        <v>3507</v>
      </c>
      <c r="B151" s="3251">
        <v>61</v>
      </c>
      <c r="C151" s="3251" t="s">
        <v>3501</v>
      </c>
      <c r="D151" s="3251" t="s">
        <v>3493</v>
      </c>
      <c r="E151" s="3251">
        <v>298</v>
      </c>
      <c r="F151" s="3251">
        <f t="shared" si="23"/>
        <v>48852</v>
      </c>
      <c r="G151" s="3231">
        <v>44933</v>
      </c>
      <c r="I151" s="3231"/>
    </row>
    <row r="152" spans="1:15" ht="18" hidden="1" customHeight="1" outlineLevel="1">
      <c r="A152" s="3251" t="s">
        <v>3507</v>
      </c>
      <c r="B152" s="3251">
        <v>68.900000000000006</v>
      </c>
      <c r="C152" s="3251" t="s">
        <v>3510</v>
      </c>
      <c r="D152" s="3251" t="s">
        <v>3493</v>
      </c>
      <c r="E152" s="3251">
        <v>289</v>
      </c>
      <c r="F152" s="3251">
        <f t="shared" si="23"/>
        <v>41945</v>
      </c>
      <c r="G152" s="3231">
        <v>44906</v>
      </c>
      <c r="I152" s="3231"/>
    </row>
    <row r="153" spans="1:15" s="3226" customFormat="1" ht="18" hidden="1" customHeight="1" outlineLevel="1">
      <c r="A153" s="3249" t="s">
        <v>3507</v>
      </c>
      <c r="B153" s="3249">
        <v>44.9</v>
      </c>
      <c r="C153" s="3249" t="s">
        <v>3502</v>
      </c>
      <c r="D153" s="3249" t="s">
        <v>3493</v>
      </c>
      <c r="E153" s="3249">
        <v>268.5</v>
      </c>
      <c r="F153" s="3249">
        <f t="shared" si="23"/>
        <v>59800</v>
      </c>
      <c r="G153" s="3223">
        <v>44841</v>
      </c>
      <c r="H153" s="3224"/>
      <c r="I153" s="3223" t="s">
        <v>3565</v>
      </c>
      <c r="J153" s="3225"/>
      <c r="K153" s="3224"/>
      <c r="L153" s="3225"/>
      <c r="M153" s="3224"/>
      <c r="N153" s="3225"/>
      <c r="O153" s="3224"/>
    </row>
    <row r="154" spans="1:15" s="3226" customFormat="1" ht="18" hidden="1" customHeight="1" outlineLevel="1">
      <c r="A154" s="3249" t="s">
        <v>3507</v>
      </c>
      <c r="B154" s="3249">
        <v>60.9</v>
      </c>
      <c r="C154" s="3249" t="s">
        <v>3501</v>
      </c>
      <c r="D154" s="3249" t="s">
        <v>3493</v>
      </c>
      <c r="E154" s="3249">
        <v>312</v>
      </c>
      <c r="F154" s="3249">
        <f t="shared" si="23"/>
        <v>51232</v>
      </c>
      <c r="G154" s="3223">
        <v>44839</v>
      </c>
      <c r="H154" s="3224"/>
      <c r="I154" s="3223" t="s">
        <v>3565</v>
      </c>
      <c r="J154" s="3225"/>
      <c r="K154" s="3224"/>
      <c r="L154" s="3225"/>
      <c r="M154" s="3224"/>
      <c r="N154" s="3225"/>
      <c r="O154" s="3224"/>
    </row>
    <row r="155" spans="1:15" s="3226" customFormat="1" ht="18" hidden="1" customHeight="1" outlineLevel="1">
      <c r="A155" s="3249" t="s">
        <v>3507</v>
      </c>
      <c r="B155" s="3249">
        <v>62.9</v>
      </c>
      <c r="C155" s="3249" t="s">
        <v>3502</v>
      </c>
      <c r="D155" s="3249" t="s">
        <v>3493</v>
      </c>
      <c r="E155" s="3249">
        <v>342</v>
      </c>
      <c r="F155" s="3249">
        <f t="shared" si="23"/>
        <v>54372</v>
      </c>
      <c r="G155" s="3223">
        <v>44828</v>
      </c>
      <c r="H155" s="3224"/>
      <c r="I155" s="3223" t="s">
        <v>3565</v>
      </c>
      <c r="J155" s="3225"/>
      <c r="K155" s="3224"/>
      <c r="L155" s="3225"/>
      <c r="M155" s="3224"/>
      <c r="N155" s="3225"/>
      <c r="O155" s="3224"/>
    </row>
    <row r="156" spans="1:15" s="3226" customFormat="1" ht="18" hidden="1" customHeight="1" outlineLevel="1">
      <c r="A156" s="3249" t="s">
        <v>3507</v>
      </c>
      <c r="B156" s="3249">
        <v>46.1</v>
      </c>
      <c r="C156" s="3249" t="s">
        <v>3501</v>
      </c>
      <c r="D156" s="3249" t="s">
        <v>3508</v>
      </c>
      <c r="E156" s="3249">
        <v>255</v>
      </c>
      <c r="F156" s="3249">
        <f t="shared" si="23"/>
        <v>55315</v>
      </c>
      <c r="G156" s="3223">
        <v>44822</v>
      </c>
      <c r="H156" s="3224"/>
      <c r="I156" s="3223" t="s">
        <v>3565</v>
      </c>
      <c r="J156" s="3225"/>
      <c r="K156" s="3224"/>
      <c r="L156" s="3225"/>
      <c r="M156" s="3224"/>
      <c r="N156" s="3225"/>
      <c r="O156" s="3224"/>
    </row>
    <row r="157" spans="1:15" s="3226" customFormat="1" ht="18" hidden="1" customHeight="1" outlineLevel="1">
      <c r="A157" s="3249" t="s">
        <v>3507</v>
      </c>
      <c r="B157" s="3249">
        <v>55.9</v>
      </c>
      <c r="C157" s="3249" t="s">
        <v>3500</v>
      </c>
      <c r="D157" s="3249" t="s">
        <v>3513</v>
      </c>
      <c r="E157" s="3249">
        <v>263</v>
      </c>
      <c r="F157" s="3249">
        <f t="shared" si="23"/>
        <v>47048</v>
      </c>
      <c r="G157" s="3223">
        <v>44798</v>
      </c>
      <c r="H157" s="3224"/>
      <c r="I157" s="3223" t="s">
        <v>3565</v>
      </c>
      <c r="J157" s="3225"/>
      <c r="K157" s="3224"/>
      <c r="L157" s="3225"/>
      <c r="M157" s="3224"/>
      <c r="N157" s="3225"/>
      <c r="O157" s="3224"/>
    </row>
    <row r="158" spans="1:15" s="3226" customFormat="1" ht="18" hidden="1" customHeight="1" outlineLevel="1">
      <c r="A158" s="3249" t="s">
        <v>3507</v>
      </c>
      <c r="B158" s="3249">
        <v>56.7</v>
      </c>
      <c r="C158" s="3249" t="s">
        <v>3512</v>
      </c>
      <c r="D158" s="3249" t="s">
        <v>3493</v>
      </c>
      <c r="E158" s="3249">
        <v>288</v>
      </c>
      <c r="F158" s="3249">
        <f t="shared" si="23"/>
        <v>50794</v>
      </c>
      <c r="G158" s="3223">
        <v>44793</v>
      </c>
      <c r="H158" s="3224"/>
      <c r="I158" s="3223" t="s">
        <v>3565</v>
      </c>
      <c r="J158" s="3225"/>
      <c r="K158" s="3224"/>
      <c r="L158" s="3225"/>
      <c r="M158" s="3224"/>
      <c r="N158" s="3225"/>
      <c r="O158" s="3224"/>
    </row>
    <row r="159" spans="1:15" s="3226" customFormat="1" ht="18" hidden="1" customHeight="1" outlineLevel="1">
      <c r="A159" s="3249" t="s">
        <v>3507</v>
      </c>
      <c r="B159" s="3249">
        <v>44.9</v>
      </c>
      <c r="C159" s="3249" t="s">
        <v>3502</v>
      </c>
      <c r="D159" s="3249" t="s">
        <v>3508</v>
      </c>
      <c r="E159" s="3249">
        <v>253</v>
      </c>
      <c r="F159" s="3249">
        <f t="shared" si="23"/>
        <v>56347</v>
      </c>
      <c r="G159" s="3223">
        <v>44687</v>
      </c>
      <c r="H159" s="3224"/>
      <c r="I159" s="3223" t="s">
        <v>3565</v>
      </c>
      <c r="J159" s="3225"/>
      <c r="K159" s="3224"/>
      <c r="L159" s="3225"/>
      <c r="M159" s="3224"/>
      <c r="N159" s="3225"/>
      <c r="O159" s="3224"/>
    </row>
    <row r="160" spans="1:15" s="3226" customFormat="1" ht="18" hidden="1" customHeight="1" outlineLevel="1">
      <c r="A160" s="3249" t="s">
        <v>3507</v>
      </c>
      <c r="B160" s="3249">
        <v>58.1</v>
      </c>
      <c r="C160" s="3249" t="s">
        <v>3501</v>
      </c>
      <c r="D160" s="3249" t="s">
        <v>3493</v>
      </c>
      <c r="E160" s="3249">
        <v>324</v>
      </c>
      <c r="F160" s="3249">
        <f t="shared" si="23"/>
        <v>55766</v>
      </c>
      <c r="G160" s="3223">
        <v>44673</v>
      </c>
      <c r="H160" s="3224"/>
      <c r="I160" s="3223" t="s">
        <v>3565</v>
      </c>
      <c r="J160" s="3225"/>
      <c r="K160" s="3224"/>
      <c r="L160" s="3225"/>
      <c r="M160" s="3224"/>
      <c r="N160" s="3225"/>
      <c r="O160" s="3224"/>
    </row>
    <row r="161" spans="1:15" s="3226" customFormat="1" ht="18" hidden="1" customHeight="1" outlineLevel="1">
      <c r="A161" s="3249" t="s">
        <v>3507</v>
      </c>
      <c r="B161" s="3249">
        <v>45.3</v>
      </c>
      <c r="C161" s="3249" t="s">
        <v>3501</v>
      </c>
      <c r="D161" s="3249" t="s">
        <v>3508</v>
      </c>
      <c r="E161" s="3249">
        <v>259.8</v>
      </c>
      <c r="F161" s="3249">
        <f t="shared" si="23"/>
        <v>57351</v>
      </c>
      <c r="G161" s="3223">
        <v>44667</v>
      </c>
      <c r="H161" s="3224"/>
      <c r="I161" s="3223" t="s">
        <v>3565</v>
      </c>
      <c r="J161" s="3225"/>
      <c r="K161" s="3224"/>
      <c r="L161" s="3225"/>
      <c r="M161" s="3224"/>
      <c r="N161" s="3225"/>
      <c r="O161" s="3224"/>
    </row>
    <row r="162" spans="1:15" s="3242" customFormat="1" ht="18" hidden="1" customHeight="1" outlineLevel="1" thickBot="1">
      <c r="A162" s="3253" t="s">
        <v>3507</v>
      </c>
      <c r="B162" s="3253">
        <v>52.01</v>
      </c>
      <c r="C162" s="3253" t="s">
        <v>3501</v>
      </c>
      <c r="D162" s="3253" t="s">
        <v>3493</v>
      </c>
      <c r="E162" s="3253">
        <v>290.5</v>
      </c>
      <c r="F162" s="3253">
        <f t="shared" si="23"/>
        <v>55855</v>
      </c>
      <c r="G162" s="3239">
        <v>44662</v>
      </c>
      <c r="H162" s="3240"/>
      <c r="I162" s="3239" t="s">
        <v>3566</v>
      </c>
      <c r="J162" s="3241"/>
      <c r="K162" s="3240"/>
      <c r="L162" s="3241"/>
      <c r="M162" s="3240"/>
      <c r="N162" s="3241"/>
      <c r="O162" s="3240"/>
    </row>
    <row r="163" spans="1:15" s="3219" customFormat="1" ht="18" customHeight="1" collapsed="1">
      <c r="A163" s="3221" t="str">
        <f>A164</f>
        <v>大红门西后街</v>
      </c>
      <c r="B163" s="3221"/>
      <c r="C163" s="3221"/>
      <c r="D163" s="3221"/>
      <c r="E163" s="3221"/>
      <c r="F163" s="3221">
        <f>ROUND(SUM(E164:E164)/SUM(B164:B164)*10000,0)</f>
        <v>48500</v>
      </c>
      <c r="G163" s="3220" t="s">
        <v>3523</v>
      </c>
      <c r="H163" s="3221"/>
      <c r="I163" s="3220"/>
      <c r="J163" s="3220"/>
      <c r="K163" s="3221"/>
      <c r="L163" s="3220"/>
      <c r="M163" s="3221"/>
      <c r="N163" s="3220"/>
      <c r="O163" s="3221"/>
    </row>
    <row r="164" spans="1:15" s="3226" customFormat="1" ht="18" hidden="1" customHeight="1" outlineLevel="1">
      <c r="A164" s="3249" t="s">
        <v>3528</v>
      </c>
      <c r="B164" s="3249">
        <v>78.349999999999994</v>
      </c>
      <c r="C164" s="3249" t="s">
        <v>3501</v>
      </c>
      <c r="D164" s="3249" t="s">
        <v>3504</v>
      </c>
      <c r="E164" s="3249">
        <v>380</v>
      </c>
      <c r="F164" s="3249">
        <f>ROUND(E164*10000/B164,0)</f>
        <v>48500</v>
      </c>
      <c r="G164" s="3223">
        <v>44847</v>
      </c>
      <c r="H164" s="3224"/>
      <c r="I164" s="3223" t="s">
        <v>3565</v>
      </c>
      <c r="J164" s="3225"/>
      <c r="K164" s="3224"/>
      <c r="L164" s="3225"/>
      <c r="M164" s="3224"/>
      <c r="N164" s="3225"/>
      <c r="O164" s="3224"/>
    </row>
    <row r="165" spans="1:15" s="3242" customFormat="1" ht="18" hidden="1" customHeight="1" outlineLevel="1" thickBot="1">
      <c r="A165" s="3253" t="s">
        <v>3514</v>
      </c>
      <c r="B165" s="3253">
        <v>58.64</v>
      </c>
      <c r="C165" s="3253" t="s">
        <v>3515</v>
      </c>
      <c r="D165" s="3253" t="s">
        <v>3493</v>
      </c>
      <c r="E165" s="3253">
        <v>285</v>
      </c>
      <c r="F165" s="3253">
        <f>ROUND(E165*10000/B165,0)</f>
        <v>48602</v>
      </c>
      <c r="G165" s="3239">
        <v>44795</v>
      </c>
      <c r="H165" s="3240"/>
      <c r="I165" s="3239" t="s">
        <v>3566</v>
      </c>
      <c r="J165" s="3241"/>
      <c r="K165" s="3240"/>
      <c r="L165" s="3241"/>
      <c r="M165" s="3240"/>
      <c r="N165" s="3241"/>
      <c r="O165" s="3240"/>
    </row>
    <row r="166" spans="1:15" s="3219" customFormat="1" ht="18" customHeight="1" collapsed="1">
      <c r="A166" s="3221" t="str">
        <f>A167</f>
        <v>大红门东后街</v>
      </c>
      <c r="B166" s="3221"/>
      <c r="C166" s="3221"/>
      <c r="D166" s="3221"/>
      <c r="E166" s="3221"/>
      <c r="F166" s="3221">
        <f>ROUND(SUM(E167:E168)/SUM(B167:B168)*10000,0)</f>
        <v>44925</v>
      </c>
      <c r="G166" s="3220" t="s">
        <v>3523</v>
      </c>
      <c r="H166" s="3221"/>
      <c r="I166" s="3220"/>
      <c r="J166" s="3220"/>
      <c r="K166" s="3221"/>
      <c r="L166" s="3220"/>
      <c r="M166" s="3221"/>
      <c r="N166" s="3220"/>
      <c r="O166" s="3221"/>
    </row>
    <row r="167" spans="1:15" ht="18" hidden="1" customHeight="1" outlineLevel="1">
      <c r="A167" s="3251" t="s">
        <v>3516</v>
      </c>
      <c r="B167" s="3251">
        <v>80.8</v>
      </c>
      <c r="C167" s="3251" t="s">
        <v>3501</v>
      </c>
      <c r="D167" s="3251">
        <v>370</v>
      </c>
      <c r="E167" s="3251">
        <v>370</v>
      </c>
      <c r="F167" s="3251">
        <f>ROUND(E167*10000/B167,0)</f>
        <v>45792</v>
      </c>
      <c r="G167" s="3231">
        <v>45003</v>
      </c>
      <c r="I167" s="3231"/>
    </row>
    <row r="168" spans="1:15" s="3246" customFormat="1" ht="18" hidden="1" customHeight="1" outlineLevel="1" thickBot="1">
      <c r="A168" s="3254" t="s">
        <v>3516</v>
      </c>
      <c r="B168" s="3254">
        <v>60.1</v>
      </c>
      <c r="C168" s="3254" t="s">
        <v>3502</v>
      </c>
      <c r="D168" s="3254">
        <v>263</v>
      </c>
      <c r="E168" s="3254">
        <v>263</v>
      </c>
      <c r="F168" s="3254">
        <f>ROUND(E168*10000/B168,0)</f>
        <v>43760</v>
      </c>
      <c r="G168" s="3243">
        <v>44966</v>
      </c>
      <c r="H168" s="3244"/>
      <c r="I168" s="3243"/>
      <c r="J168" s="3245"/>
      <c r="K168" s="3244"/>
      <c r="L168" s="3245"/>
      <c r="M168" s="3244"/>
      <c r="N168" s="3245"/>
      <c r="O168" s="3244"/>
    </row>
    <row r="169" spans="1:15" s="3219" customFormat="1" ht="18" customHeight="1" collapsed="1">
      <c r="A169" s="3221" t="str">
        <f>A170</f>
        <v>大红门南里</v>
      </c>
      <c r="B169" s="3221"/>
      <c r="C169" s="3221"/>
      <c r="D169" s="3221"/>
      <c r="E169" s="3221"/>
      <c r="F169" s="3221">
        <f>ROUND(SUM(E170:E170)/SUM(B170:B170)*10000,0)</f>
        <v>54850</v>
      </c>
      <c r="G169" s="3220" t="s">
        <v>3523</v>
      </c>
      <c r="H169" s="3221"/>
      <c r="I169" s="3220"/>
      <c r="J169" s="3220"/>
      <c r="K169" s="3221"/>
      <c r="L169" s="3220"/>
      <c r="M169" s="3221"/>
      <c r="N169" s="3220"/>
      <c r="O169" s="3221"/>
    </row>
    <row r="170" spans="1:15" ht="18" hidden="1" customHeight="1" outlineLevel="1">
      <c r="A170" s="3251" t="s">
        <v>3517</v>
      </c>
      <c r="B170" s="3251">
        <v>51.96</v>
      </c>
      <c r="C170" s="3251" t="s">
        <v>3501</v>
      </c>
      <c r="D170" s="3251" t="s">
        <v>3493</v>
      </c>
      <c r="E170" s="3251">
        <v>285</v>
      </c>
      <c r="F170" s="3251">
        <f>ROUND(E170*10000/B170,0)</f>
        <v>54850</v>
      </c>
      <c r="G170" s="3231">
        <v>44971</v>
      </c>
      <c r="I170" s="3231"/>
    </row>
    <row r="171" spans="1:15" s="3242" customFormat="1" ht="18" hidden="1" customHeight="1" outlineLevel="1" thickBot="1">
      <c r="A171" s="3253" t="s">
        <v>3517</v>
      </c>
      <c r="B171" s="3253">
        <v>54</v>
      </c>
      <c r="C171" s="3253" t="s">
        <v>3502</v>
      </c>
      <c r="D171" s="3253" t="s">
        <v>3518</v>
      </c>
      <c r="E171" s="3253">
        <v>258</v>
      </c>
      <c r="F171" s="3253">
        <f>ROUND(E171*10000/B171,0)</f>
        <v>47778</v>
      </c>
      <c r="G171" s="3239">
        <v>44441</v>
      </c>
      <c r="H171" s="3240"/>
      <c r="I171" s="3239" t="s">
        <v>3566</v>
      </c>
      <c r="J171" s="3241"/>
      <c r="K171" s="3240"/>
      <c r="L171" s="3241"/>
      <c r="M171" s="3240"/>
      <c r="N171" s="3241"/>
      <c r="O171" s="3240"/>
    </row>
  </sheetData>
  <phoneticPr fontId="3" type="noConversion"/>
  <pageMargins left="0.75" right="0.75" top="1" bottom="1" header="0.5" footer="0.5"/>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00" t="str">
        <f>IF(项目基本情况!B9="房地产市场价值","估价结果一览表","结果表-2")</f>
        <v>结果表-2</v>
      </c>
      <c r="B1" s="3300"/>
      <c r="C1" s="3300"/>
      <c r="D1" s="3300"/>
      <c r="E1" s="3300"/>
      <c r="F1" s="3300"/>
      <c r="G1" s="3300"/>
      <c r="H1" s="3300"/>
      <c r="I1" s="3300"/>
    </row>
    <row r="2" spans="1:9" ht="30" customHeight="1" thickTop="1">
      <c r="A2" s="3301" t="s">
        <v>928</v>
      </c>
      <c r="B2" s="3301" t="s">
        <v>929</v>
      </c>
      <c r="C2" s="3301" t="s">
        <v>930</v>
      </c>
      <c r="D2" s="3301" t="str">
        <f>结果表!D116</f>
        <v>出让国有建设用地使用权价值</v>
      </c>
      <c r="E2" s="3301"/>
      <c r="F2" s="3301" t="str">
        <f>结果表!F116</f>
        <v>在建建筑物价值</v>
      </c>
      <c r="G2" s="3301"/>
      <c r="H2" s="3301" t="str">
        <f>IF(项目基本情况!B9="房地产市场价值","房地产市场价值","房地产价值")</f>
        <v>房地产价值</v>
      </c>
      <c r="I2" s="3301"/>
    </row>
    <row r="3" spans="1:9" ht="15">
      <c r="A3" s="3296"/>
      <c r="B3" s="3296"/>
      <c r="C3" s="3296"/>
      <c r="D3" s="801" t="s">
        <v>925</v>
      </c>
      <c r="E3" s="801" t="s">
        <v>931</v>
      </c>
      <c r="F3" s="801" t="s">
        <v>925</v>
      </c>
      <c r="G3" s="801" t="s">
        <v>926</v>
      </c>
      <c r="H3" s="801" t="s">
        <v>925</v>
      </c>
      <c r="I3" s="801" t="s">
        <v>926</v>
      </c>
    </row>
    <row r="4" spans="1:9" ht="30">
      <c r="A4" s="1403" t="str">
        <f>项目基本情况!S2</f>
        <v>北京市丰台区大红门一期A区棚户区改造项目房地产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96" t="s">
        <v>927</v>
      </c>
      <c r="B5" s="3296"/>
      <c r="C5" s="3296"/>
      <c r="D5" s="3296" t="e">
        <f ca="1">结果表!D119</f>
        <v>#REF!</v>
      </c>
      <c r="E5" s="3296"/>
      <c r="F5" s="3296" t="e">
        <f ca="1">结果表!F119</f>
        <v>#REF!</v>
      </c>
      <c r="G5" s="3296"/>
      <c r="H5" s="3296" t="e">
        <f ca="1">结果表!H119</f>
        <v>#REF!</v>
      </c>
      <c r="I5" s="3296"/>
    </row>
    <row r="6" spans="1:9" ht="15.75">
      <c r="A6" s="3295" t="str">
        <f>结果表!A120</f>
        <v>估价师知悉的法定优先受偿款</v>
      </c>
      <c r="B6" s="3295"/>
      <c r="C6" s="3295"/>
      <c r="D6" s="3295">
        <f>结果表!D120</f>
        <v>0</v>
      </c>
      <c r="E6" s="3295"/>
      <c r="F6" s="3295"/>
      <c r="G6" s="3295"/>
      <c r="H6" s="3295"/>
      <c r="I6" s="3295"/>
    </row>
    <row r="7" spans="1:9" ht="15">
      <c r="A7" s="3296" t="s">
        <v>927</v>
      </c>
      <c r="B7" s="3296"/>
      <c r="C7" s="3296"/>
      <c r="D7" s="3297" t="str">
        <f>结果表!D121</f>
        <v>零元整</v>
      </c>
      <c r="E7" s="3298"/>
      <c r="F7" s="3298"/>
      <c r="G7" s="3298"/>
      <c r="H7" s="3298"/>
      <c r="I7" s="3299"/>
    </row>
    <row r="8" spans="1:9" ht="15.75">
      <c r="A8" s="3295" t="str">
        <f>结果表!A122</f>
        <v>房地产抵押价值</v>
      </c>
      <c r="B8" s="3295"/>
      <c r="C8" s="3295"/>
      <c r="D8" s="3295" t="e">
        <f ca="1">结果表!D122</f>
        <v>#REF!</v>
      </c>
      <c r="E8" s="3295"/>
      <c r="F8" s="3295"/>
      <c r="G8" s="3295"/>
      <c r="H8" s="3295"/>
      <c r="I8" s="3295"/>
    </row>
    <row r="9" spans="1:9" ht="15">
      <c r="A9" s="3296" t="s">
        <v>927</v>
      </c>
      <c r="B9" s="3296"/>
      <c r="C9" s="3296"/>
      <c r="D9" s="3296" t="e">
        <f ca="1">结果表!D123</f>
        <v>#REF!</v>
      </c>
      <c r="E9" s="3296"/>
      <c r="F9" s="3296"/>
      <c r="G9" s="3296"/>
      <c r="H9" s="3296"/>
      <c r="I9" s="3296"/>
    </row>
    <row r="10" spans="1:9" ht="15.75">
      <c r="A10" s="3295" t="str">
        <f>结果表!A124</f>
        <v/>
      </c>
      <c r="B10" s="3295"/>
      <c r="C10" s="3295"/>
      <c r="D10" s="3295" t="str">
        <f>结果表!D124</f>
        <v>——</v>
      </c>
      <c r="E10" s="3295"/>
      <c r="F10" s="3295"/>
      <c r="G10" s="3295"/>
      <c r="H10" s="3295"/>
      <c r="I10" s="3295"/>
    </row>
    <row r="11" spans="1:9" ht="15">
      <c r="A11" s="3296" t="s">
        <v>927</v>
      </c>
      <c r="B11" s="3296"/>
      <c r="C11" s="3296"/>
      <c r="D11" s="3296" t="e">
        <f>结果表!D125</f>
        <v>#VALUE!</v>
      </c>
      <c r="E11" s="3296"/>
      <c r="F11" s="3296"/>
      <c r="G11" s="3296"/>
      <c r="H11" s="3296"/>
      <c r="I11" s="3296"/>
    </row>
    <row r="12" spans="1:9" ht="15.75">
      <c r="A12" s="3295" t="str">
        <f>结果表!A126</f>
        <v/>
      </c>
      <c r="B12" s="3295"/>
      <c r="C12" s="3295"/>
      <c r="D12" s="3295" t="str">
        <f>结果表!D126</f>
        <v>——</v>
      </c>
      <c r="E12" s="3295"/>
      <c r="F12" s="3295"/>
      <c r="G12" s="3295"/>
      <c r="H12" s="3295"/>
      <c r="I12" s="3295"/>
    </row>
    <row r="13" spans="1:9" ht="15.75" thickBot="1">
      <c r="A13" s="3293" t="s">
        <v>927</v>
      </c>
      <c r="B13" s="3293"/>
      <c r="C13" s="3293"/>
      <c r="D13" s="3293" t="e">
        <f>结果表!D127</f>
        <v>#VALUE!</v>
      </c>
      <c r="E13" s="3293"/>
      <c r="F13" s="3293"/>
      <c r="G13" s="3293"/>
      <c r="H13" s="3293"/>
      <c r="I13" s="3293"/>
    </row>
    <row r="14" spans="1:9" ht="15" thickTop="1">
      <c r="A14" s="3294" t="s">
        <v>932</v>
      </c>
      <c r="B14" s="3294"/>
      <c r="C14" s="3294"/>
      <c r="D14" s="3294"/>
      <c r="E14" s="3294"/>
      <c r="F14" s="3294"/>
      <c r="G14" s="3294"/>
      <c r="H14" s="3294"/>
      <c r="I14" s="32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9"/>
  <sheetViews>
    <sheetView topLeftCell="F1" zoomScale="70" zoomScaleNormal="70" workbookViewId="0">
      <selection activeCell="V31" sqref="I28:V31"/>
    </sheetView>
  </sheetViews>
  <sheetFormatPr defaultColWidth="15.625" defaultRowHeight="20.100000000000001" customHeight="1"/>
  <cols>
    <col min="1" max="16384" width="15.625" style="3154"/>
  </cols>
  <sheetData>
    <row r="1" spans="1:69" ht="20.100000000000001" customHeight="1">
      <c r="A1" s="3153" t="s">
        <v>3387</v>
      </c>
    </row>
    <row r="2" spans="1:69" ht="24" customHeight="1" thickBot="1">
      <c r="A2" s="3155" t="s">
        <v>3436</v>
      </c>
      <c r="B2" s="3155"/>
      <c r="C2" s="3155"/>
      <c r="E2" s="3155" t="s">
        <v>3429</v>
      </c>
      <c r="F2" s="3155"/>
      <c r="G2" s="3155"/>
      <c r="I2" s="3155" t="s">
        <v>3430</v>
      </c>
      <c r="J2" s="3155"/>
      <c r="K2" s="3155"/>
      <c r="M2" s="3155" t="s">
        <v>3431</v>
      </c>
      <c r="N2" s="3155"/>
      <c r="O2" s="3155"/>
      <c r="Q2" s="3155" t="s">
        <v>3432</v>
      </c>
      <c r="R2" s="3155"/>
      <c r="S2" s="3155"/>
      <c r="U2" s="3155" t="s">
        <v>3433</v>
      </c>
      <c r="V2" s="3155"/>
      <c r="W2" s="3155"/>
      <c r="Y2" s="3155" t="s">
        <v>3423</v>
      </c>
      <c r="Z2" s="3155"/>
      <c r="AA2" s="3155"/>
      <c r="AC2" s="3155" t="s">
        <v>3424</v>
      </c>
      <c r="AD2" s="3155"/>
      <c r="AE2" s="3155"/>
      <c r="AG2" s="3155" t="s">
        <v>3425</v>
      </c>
      <c r="AH2" s="3155"/>
      <c r="AI2" s="3155"/>
      <c r="AK2" s="3155" t="s">
        <v>3426</v>
      </c>
      <c r="AL2" s="3155"/>
      <c r="AM2" s="3155"/>
      <c r="AO2" s="3156" t="s">
        <v>3427</v>
      </c>
      <c r="AP2" s="3156"/>
      <c r="AQ2" s="3156"/>
      <c r="AS2" s="3628" t="s">
        <v>3468</v>
      </c>
      <c r="AT2" s="3628"/>
      <c r="AU2" s="3628"/>
      <c r="AW2" s="3628" t="s">
        <v>3469</v>
      </c>
      <c r="AX2" s="3628"/>
      <c r="AY2" s="3628"/>
      <c r="BA2" s="3628" t="s">
        <v>3531</v>
      </c>
      <c r="BB2" s="3628"/>
      <c r="BC2" s="3628"/>
      <c r="BE2" s="3628" t="s">
        <v>3532</v>
      </c>
      <c r="BF2" s="3628"/>
      <c r="BG2" s="3628"/>
      <c r="BI2"/>
      <c r="BO2" s="3628" t="s">
        <v>3603</v>
      </c>
      <c r="BP2" s="3628"/>
      <c r="BQ2" s="3628"/>
    </row>
    <row r="3" spans="1:69" ht="20.100000000000001" customHeight="1" thickBot="1">
      <c r="A3" s="3619" t="s">
        <v>3428</v>
      </c>
      <c r="B3" s="3621">
        <v>44652</v>
      </c>
      <c r="C3" s="3622"/>
      <c r="E3" s="3619" t="s">
        <v>3428</v>
      </c>
      <c r="F3" s="3621">
        <v>44682</v>
      </c>
      <c r="G3" s="3622"/>
      <c r="I3" s="3619" t="s">
        <v>3428</v>
      </c>
      <c r="J3" s="3621">
        <v>44713</v>
      </c>
      <c r="K3" s="3622"/>
      <c r="M3" s="3619" t="s">
        <v>3428</v>
      </c>
      <c r="N3" s="3621">
        <v>44743</v>
      </c>
      <c r="O3" s="3622"/>
      <c r="Q3" s="3619" t="s">
        <v>3428</v>
      </c>
      <c r="R3" s="3621">
        <v>44774</v>
      </c>
      <c r="S3" s="3622"/>
      <c r="U3" s="3619" t="s">
        <v>3428</v>
      </c>
      <c r="V3" s="3621">
        <v>44805</v>
      </c>
      <c r="W3" s="3622"/>
      <c r="Y3" s="3619" t="s">
        <v>3428</v>
      </c>
      <c r="Z3" s="3621">
        <v>44835</v>
      </c>
      <c r="AA3" s="3622"/>
      <c r="AC3" s="3619" t="s">
        <v>3428</v>
      </c>
      <c r="AD3" s="3621">
        <v>44866</v>
      </c>
      <c r="AE3" s="3622"/>
      <c r="AG3" s="3619" t="s">
        <v>3428</v>
      </c>
      <c r="AH3" s="3621">
        <v>44896</v>
      </c>
      <c r="AI3" s="3622"/>
      <c r="AK3" s="3619" t="s">
        <v>3428</v>
      </c>
      <c r="AL3" s="3621">
        <v>44927</v>
      </c>
      <c r="AM3" s="3622"/>
      <c r="AO3" s="3623" t="s">
        <v>3428</v>
      </c>
      <c r="AP3" s="3625">
        <v>44958</v>
      </c>
      <c r="AQ3" s="3626"/>
      <c r="AS3" s="3629" t="s">
        <v>3428</v>
      </c>
      <c r="AT3" s="3631">
        <v>44986</v>
      </c>
      <c r="AU3" s="3632"/>
      <c r="AW3" s="3629" t="s">
        <v>3428</v>
      </c>
      <c r="AX3" s="3631">
        <v>45017</v>
      </c>
      <c r="AY3" s="3632"/>
      <c r="BA3" s="3629" t="s">
        <v>3428</v>
      </c>
      <c r="BB3" s="3631">
        <v>45047</v>
      </c>
      <c r="BC3" s="3632"/>
      <c r="BE3" s="3629" t="s">
        <v>3428</v>
      </c>
      <c r="BF3" s="3631">
        <v>45078</v>
      </c>
      <c r="BG3" s="3632"/>
      <c r="BO3" s="3629" t="s">
        <v>3604</v>
      </c>
      <c r="BP3" s="3631">
        <v>45139</v>
      </c>
      <c r="BQ3" s="3632"/>
    </row>
    <row r="4" spans="1:69" ht="20.100000000000001" customHeight="1" thickBot="1">
      <c r="A4" s="3620"/>
      <c r="B4" s="3151" t="s">
        <v>3383</v>
      </c>
      <c r="C4" s="3155" t="s">
        <v>3384</v>
      </c>
      <c r="E4" s="3620"/>
      <c r="F4" s="3151" t="s">
        <v>3383</v>
      </c>
      <c r="G4" s="3155" t="s">
        <v>3384</v>
      </c>
      <c r="I4" s="3620"/>
      <c r="J4" s="3151" t="s">
        <v>3383</v>
      </c>
      <c r="K4" s="3155" t="s">
        <v>3384</v>
      </c>
      <c r="M4" s="3620"/>
      <c r="N4" s="3151" t="s">
        <v>3383</v>
      </c>
      <c r="O4" s="3155" t="s">
        <v>3384</v>
      </c>
      <c r="Q4" s="3620"/>
      <c r="R4" s="3151" t="s">
        <v>3383</v>
      </c>
      <c r="S4" s="3155" t="s">
        <v>3384</v>
      </c>
      <c r="U4" s="3620"/>
      <c r="V4" s="3151" t="s">
        <v>3383</v>
      </c>
      <c r="W4" s="3155" t="s">
        <v>3384</v>
      </c>
      <c r="Y4" s="3620"/>
      <c r="Z4" s="3151" t="s">
        <v>3383</v>
      </c>
      <c r="AA4" s="3155" t="s">
        <v>3384</v>
      </c>
      <c r="AC4" s="3620"/>
      <c r="AD4" s="3151" t="s">
        <v>3383</v>
      </c>
      <c r="AE4" s="3155" t="s">
        <v>3384</v>
      </c>
      <c r="AG4" s="3620"/>
      <c r="AH4" s="3151" t="s">
        <v>3383</v>
      </c>
      <c r="AI4" s="3155" t="s">
        <v>3384</v>
      </c>
      <c r="AK4" s="3620"/>
      <c r="AL4" s="3151" t="s">
        <v>3383</v>
      </c>
      <c r="AM4" s="3155" t="s">
        <v>3384</v>
      </c>
      <c r="AO4" s="3624"/>
      <c r="AP4" s="3152" t="s">
        <v>3383</v>
      </c>
      <c r="AQ4" s="3156" t="s">
        <v>3384</v>
      </c>
      <c r="AS4" s="3630"/>
      <c r="AT4" s="3183" t="s">
        <v>3383</v>
      </c>
      <c r="AU4" s="3184" t="s">
        <v>3384</v>
      </c>
      <c r="AW4" s="3630"/>
      <c r="AX4" s="3183" t="s">
        <v>3383</v>
      </c>
      <c r="AY4" s="3184" t="s">
        <v>3384</v>
      </c>
      <c r="BA4" s="3630"/>
      <c r="BB4" s="3204" t="s">
        <v>3383</v>
      </c>
      <c r="BC4" s="3184" t="s">
        <v>3384</v>
      </c>
      <c r="BE4" s="3630"/>
      <c r="BF4" s="3204" t="s">
        <v>3383</v>
      </c>
      <c r="BG4" s="3184" t="s">
        <v>3384</v>
      </c>
      <c r="BO4" s="3630"/>
      <c r="BP4" s="3214" t="s">
        <v>3383</v>
      </c>
      <c r="BQ4" s="3184" t="s">
        <v>3384</v>
      </c>
    </row>
    <row r="5" spans="1:69" ht="20.100000000000001" customHeight="1" thickBot="1">
      <c r="A5" s="3151" t="s">
        <v>3421</v>
      </c>
      <c r="B5" s="3151">
        <v>100.7</v>
      </c>
      <c r="C5" s="3155">
        <v>105.8</v>
      </c>
      <c r="E5" s="3151" t="s">
        <v>3421</v>
      </c>
      <c r="F5" s="3151">
        <v>100.4</v>
      </c>
      <c r="G5" s="3155">
        <v>105.9</v>
      </c>
      <c r="I5" s="3151" t="s">
        <v>3421</v>
      </c>
      <c r="J5" s="3151">
        <v>100.8</v>
      </c>
      <c r="K5" s="3155">
        <v>105.8</v>
      </c>
      <c r="M5" s="3151" t="s">
        <v>3421</v>
      </c>
      <c r="N5" s="3151">
        <v>100.5</v>
      </c>
      <c r="O5" s="3155">
        <v>105.5</v>
      </c>
      <c r="Q5" s="3151" t="s">
        <v>3422</v>
      </c>
      <c r="R5" s="3157">
        <v>100.4</v>
      </c>
      <c r="S5" s="3158">
        <v>105.8</v>
      </c>
      <c r="U5" s="3151" t="s">
        <v>3422</v>
      </c>
      <c r="V5" s="3151">
        <v>100.2</v>
      </c>
      <c r="W5" s="3155">
        <v>106.1</v>
      </c>
      <c r="Y5" s="3151" t="s">
        <v>3422</v>
      </c>
      <c r="Z5" s="3151">
        <v>100.4</v>
      </c>
      <c r="AA5" s="3155">
        <v>105.9</v>
      </c>
      <c r="AC5" s="3151" t="s">
        <v>3422</v>
      </c>
      <c r="AD5" s="3151">
        <v>100.1</v>
      </c>
      <c r="AE5" s="3155">
        <v>105.7</v>
      </c>
      <c r="AG5" s="3151" t="s">
        <v>3422</v>
      </c>
      <c r="AH5" s="3151">
        <v>100.2</v>
      </c>
      <c r="AI5" s="3155">
        <v>105.8</v>
      </c>
      <c r="AK5" s="3151" t="s">
        <v>3422</v>
      </c>
      <c r="AL5" s="3151">
        <v>100.4</v>
      </c>
      <c r="AM5" s="3155">
        <v>105.2</v>
      </c>
      <c r="AO5" s="3152" t="s">
        <v>3422</v>
      </c>
      <c r="AP5" s="3152">
        <v>100.2</v>
      </c>
      <c r="AQ5" s="3156">
        <v>104.7</v>
      </c>
      <c r="AS5" s="3185" t="s">
        <v>3422</v>
      </c>
      <c r="AT5" s="3183">
        <v>100.3</v>
      </c>
      <c r="AU5" s="3184">
        <v>104.6</v>
      </c>
      <c r="AW5" s="3185" t="s">
        <v>3422</v>
      </c>
      <c r="AX5" s="3183">
        <v>100.6</v>
      </c>
      <c r="AY5" s="3184">
        <v>104.5</v>
      </c>
      <c r="BA5" s="3185" t="s">
        <v>3422</v>
      </c>
      <c r="BB5" s="3206">
        <v>100.2</v>
      </c>
      <c r="BC5" s="3207">
        <v>104.3</v>
      </c>
      <c r="BE5" s="3185" t="s">
        <v>3422</v>
      </c>
      <c r="BF5" s="3206">
        <v>100.1</v>
      </c>
      <c r="BG5" s="3207">
        <v>103.5</v>
      </c>
      <c r="BO5" s="3185" t="s">
        <v>3422</v>
      </c>
      <c r="BP5" s="3214">
        <v>99.8</v>
      </c>
      <c r="BQ5" s="3184">
        <v>102.8</v>
      </c>
    </row>
    <row r="6" spans="1:69" ht="20.100000000000001" customHeight="1" thickBot="1">
      <c r="A6" s="3151" t="s">
        <v>3388</v>
      </c>
      <c r="B6" s="3151">
        <v>100.8</v>
      </c>
      <c r="C6" s="3155">
        <v>105.6</v>
      </c>
      <c r="E6" s="3151" t="s">
        <v>3388</v>
      </c>
      <c r="F6" s="3151">
        <v>100.1</v>
      </c>
      <c r="G6" s="3155">
        <v>105.2</v>
      </c>
      <c r="I6" s="3151" t="s">
        <v>3388</v>
      </c>
      <c r="J6" s="3151">
        <v>100.7</v>
      </c>
      <c r="K6" s="3155">
        <v>104.8</v>
      </c>
      <c r="M6" s="3151" t="s">
        <v>3388</v>
      </c>
      <c r="N6" s="3151">
        <v>100.6</v>
      </c>
      <c r="O6" s="3155">
        <v>104.1</v>
      </c>
      <c r="Q6" s="3151" t="s">
        <v>3388</v>
      </c>
      <c r="R6" s="3157">
        <v>100.8</v>
      </c>
      <c r="S6" s="3158">
        <v>104.8</v>
      </c>
      <c r="U6" s="3151" t="s">
        <v>3388</v>
      </c>
      <c r="V6" s="3151">
        <v>100.3</v>
      </c>
      <c r="W6" s="3155">
        <v>105.2</v>
      </c>
      <c r="Y6" s="3151" t="s">
        <v>3388</v>
      </c>
      <c r="Z6" s="3151">
        <v>100.2</v>
      </c>
      <c r="AA6" s="3155">
        <v>105</v>
      </c>
      <c r="AC6" s="3151" t="s">
        <v>3388</v>
      </c>
      <c r="AD6" s="3151">
        <v>100</v>
      </c>
      <c r="AE6" s="3155">
        <v>104.8</v>
      </c>
      <c r="AG6" s="3151" t="s">
        <v>3388</v>
      </c>
      <c r="AH6" s="3151">
        <v>100.1</v>
      </c>
      <c r="AI6" s="3155">
        <v>105.2</v>
      </c>
      <c r="AK6" s="3151" t="s">
        <v>3388</v>
      </c>
      <c r="AL6" s="3151">
        <v>100.2</v>
      </c>
      <c r="AM6" s="3155">
        <v>104.6</v>
      </c>
      <c r="AO6" s="3152" t="s">
        <v>3388</v>
      </c>
      <c r="AP6" s="3152">
        <v>100.4</v>
      </c>
      <c r="AQ6" s="3156">
        <v>104.6</v>
      </c>
      <c r="AS6" s="3185" t="s">
        <v>3388</v>
      </c>
      <c r="AT6" s="3183">
        <v>100.1</v>
      </c>
      <c r="AU6" s="3184">
        <v>104.5</v>
      </c>
      <c r="AW6" s="3185" t="s">
        <v>3388</v>
      </c>
      <c r="AX6" s="3183">
        <v>100.5</v>
      </c>
      <c r="AY6" s="3184">
        <v>104.2</v>
      </c>
      <c r="BA6" s="3185" t="s">
        <v>3388</v>
      </c>
      <c r="BB6" s="3206">
        <v>100.4</v>
      </c>
      <c r="BC6" s="3207">
        <v>104.5</v>
      </c>
      <c r="BE6" s="3185" t="s">
        <v>3388</v>
      </c>
      <c r="BF6" s="3206">
        <v>100.2</v>
      </c>
      <c r="BG6" s="3207">
        <v>104</v>
      </c>
      <c r="BO6" s="3185" t="s">
        <v>3605</v>
      </c>
      <c r="BP6" s="3214">
        <v>99.6</v>
      </c>
      <c r="BQ6" s="3184">
        <v>102.5</v>
      </c>
    </row>
    <row r="7" spans="1:69" ht="20.100000000000001" customHeight="1" thickBot="1">
      <c r="A7" s="3151" t="s">
        <v>3434</v>
      </c>
      <c r="B7" s="3151">
        <v>100.5</v>
      </c>
      <c r="C7" s="3155">
        <v>105.8</v>
      </c>
      <c r="E7" s="3151" t="s">
        <v>3434</v>
      </c>
      <c r="F7" s="3151">
        <v>100.1</v>
      </c>
      <c r="G7" s="3155">
        <v>105.2</v>
      </c>
      <c r="I7" s="3151" t="s">
        <v>3434</v>
      </c>
      <c r="J7" s="3151">
        <v>100.8</v>
      </c>
      <c r="K7" s="3155">
        <v>105.2</v>
      </c>
      <c r="M7" s="3151" t="s">
        <v>3434</v>
      </c>
      <c r="N7" s="3151">
        <v>100.4</v>
      </c>
      <c r="O7" s="3155">
        <v>104.9</v>
      </c>
      <c r="Q7" s="3151" t="s">
        <v>3434</v>
      </c>
      <c r="R7" s="3157">
        <v>100.3</v>
      </c>
      <c r="S7" s="3158">
        <v>104.8</v>
      </c>
      <c r="U7" s="3151" t="s">
        <v>3434</v>
      </c>
      <c r="V7" s="3151">
        <v>100</v>
      </c>
      <c r="W7" s="3155">
        <v>104.8</v>
      </c>
      <c r="Y7" s="3151" t="s">
        <v>3434</v>
      </c>
      <c r="Z7" s="3151">
        <v>100.4</v>
      </c>
      <c r="AA7" s="3155">
        <v>104.9</v>
      </c>
      <c r="AC7" s="3151" t="s">
        <v>3434</v>
      </c>
      <c r="AD7" s="3151">
        <v>100.3</v>
      </c>
      <c r="AE7" s="3155">
        <v>104.7</v>
      </c>
      <c r="AG7" s="3151" t="s">
        <v>3434</v>
      </c>
      <c r="AH7" s="3151">
        <v>100.1</v>
      </c>
      <c r="AI7" s="3155">
        <v>105.1</v>
      </c>
      <c r="AK7" s="3151" t="s">
        <v>3434</v>
      </c>
      <c r="AL7" s="3151">
        <v>100.2</v>
      </c>
      <c r="AM7" s="3155">
        <v>104.5</v>
      </c>
      <c r="AO7" s="3152" t="s">
        <v>3434</v>
      </c>
      <c r="AP7" s="3152">
        <v>100.1</v>
      </c>
      <c r="AQ7" s="3156">
        <v>104</v>
      </c>
      <c r="AS7" s="3185" t="s">
        <v>3434</v>
      </c>
      <c r="AT7" s="3183">
        <v>100.2</v>
      </c>
      <c r="AU7" s="3184">
        <v>103.6</v>
      </c>
      <c r="AW7" s="3185" t="s">
        <v>3434</v>
      </c>
      <c r="AX7" s="3183">
        <v>100.9</v>
      </c>
      <c r="AY7" s="3184">
        <v>104</v>
      </c>
      <c r="BA7" s="3185" t="s">
        <v>3434</v>
      </c>
      <c r="BB7" s="3206">
        <v>100.2</v>
      </c>
      <c r="BC7" s="3207">
        <v>104</v>
      </c>
      <c r="BE7" s="3185" t="s">
        <v>3434</v>
      </c>
      <c r="BF7" s="3206">
        <v>100</v>
      </c>
      <c r="BG7" s="3207">
        <v>103.2</v>
      </c>
      <c r="BO7" s="3185" t="s">
        <v>3606</v>
      </c>
      <c r="BP7" s="3214">
        <v>99.7</v>
      </c>
      <c r="BQ7" s="3184">
        <v>102.2</v>
      </c>
    </row>
    <row r="8" spans="1:69" ht="20.100000000000001" customHeight="1" thickBot="1">
      <c r="A8" s="3151" t="s">
        <v>3435</v>
      </c>
      <c r="B8" s="3151">
        <v>100.7</v>
      </c>
      <c r="C8" s="3155">
        <v>106</v>
      </c>
      <c r="E8" s="3151" t="s">
        <v>3435</v>
      </c>
      <c r="F8" s="3151">
        <v>100.8</v>
      </c>
      <c r="G8" s="3155">
        <v>106.8</v>
      </c>
      <c r="I8" s="3151" t="s">
        <v>3435</v>
      </c>
      <c r="J8" s="3151">
        <v>100.9</v>
      </c>
      <c r="K8" s="3155">
        <v>106.9</v>
      </c>
      <c r="M8" s="3151" t="s">
        <v>3435</v>
      </c>
      <c r="N8" s="3151">
        <v>100.4</v>
      </c>
      <c r="O8" s="3155">
        <v>106.8</v>
      </c>
      <c r="Q8" s="3151" t="s">
        <v>3435</v>
      </c>
      <c r="R8" s="3157">
        <v>100.2</v>
      </c>
      <c r="S8" s="3158">
        <v>107.1</v>
      </c>
      <c r="U8" s="3151" t="s">
        <v>3435</v>
      </c>
      <c r="V8" s="3151">
        <v>100.3</v>
      </c>
      <c r="W8" s="3155">
        <v>107.5</v>
      </c>
      <c r="Y8" s="3151" t="s">
        <v>3435</v>
      </c>
      <c r="Z8" s="3151">
        <v>100.5</v>
      </c>
      <c r="AA8" s="3155">
        <v>107</v>
      </c>
      <c r="AC8" s="3151" t="s">
        <v>3435</v>
      </c>
      <c r="AD8" s="3151">
        <v>100.1</v>
      </c>
      <c r="AE8" s="3155">
        <v>106.9</v>
      </c>
      <c r="AG8" s="3151" t="s">
        <v>3435</v>
      </c>
      <c r="AH8" s="3151">
        <v>100.3</v>
      </c>
      <c r="AI8" s="3155">
        <v>106.7</v>
      </c>
      <c r="AK8" s="3151" t="s">
        <v>3435</v>
      </c>
      <c r="AL8" s="3151">
        <v>100.6</v>
      </c>
      <c r="AM8" s="3155">
        <v>106</v>
      </c>
      <c r="AO8" s="3152" t="s">
        <v>3435</v>
      </c>
      <c r="AP8" s="3152">
        <v>100</v>
      </c>
      <c r="AQ8" s="3156">
        <v>105.2</v>
      </c>
      <c r="AS8" s="3185" t="s">
        <v>3435</v>
      </c>
      <c r="AT8" s="3183">
        <v>100.4</v>
      </c>
      <c r="AU8" s="3184">
        <v>105.3</v>
      </c>
      <c r="AW8" s="3185" t="s">
        <v>3435</v>
      </c>
      <c r="AX8" s="3183">
        <v>100.5</v>
      </c>
      <c r="AY8" s="3184">
        <v>105.1</v>
      </c>
      <c r="BA8" s="3185" t="s">
        <v>3435</v>
      </c>
      <c r="BB8" s="3206">
        <v>100</v>
      </c>
      <c r="BC8" s="3207">
        <v>104.3</v>
      </c>
      <c r="BE8" s="3185" t="s">
        <v>3435</v>
      </c>
      <c r="BF8" s="3206">
        <v>100</v>
      </c>
      <c r="BG8" s="3207">
        <v>103.4</v>
      </c>
      <c r="BO8" s="3185" t="s">
        <v>3607</v>
      </c>
      <c r="BP8" s="3214">
        <v>99.9</v>
      </c>
      <c r="BQ8" s="3184">
        <v>103.3</v>
      </c>
    </row>
    <row r="9" spans="1:69" ht="20.100000000000001" customHeight="1" thickBot="1">
      <c r="A9" s="3151" t="s">
        <v>3385</v>
      </c>
      <c r="B9" s="3151">
        <v>100.6</v>
      </c>
      <c r="C9" s="3155">
        <v>106.5</v>
      </c>
      <c r="E9" s="3151" t="s">
        <v>3385</v>
      </c>
      <c r="F9" s="3151">
        <v>99.9</v>
      </c>
      <c r="G9" s="3155">
        <v>105.3</v>
      </c>
      <c r="I9" s="3151" t="s">
        <v>3385</v>
      </c>
      <c r="J9" s="3151">
        <v>100.5</v>
      </c>
      <c r="K9" s="3155">
        <v>104.5</v>
      </c>
      <c r="M9" s="3151" t="s">
        <v>3385</v>
      </c>
      <c r="N9" s="3151">
        <v>100.2</v>
      </c>
      <c r="O9" s="3155">
        <v>104.1</v>
      </c>
      <c r="Q9" s="3151" t="s">
        <v>3385</v>
      </c>
      <c r="R9" s="3157">
        <v>100.2</v>
      </c>
      <c r="S9" s="3158">
        <v>103.9</v>
      </c>
      <c r="U9" s="3151" t="s">
        <v>3385</v>
      </c>
      <c r="V9" s="3151">
        <v>100.4</v>
      </c>
      <c r="W9" s="3155">
        <v>104.6</v>
      </c>
      <c r="Y9" s="3151" t="s">
        <v>3385</v>
      </c>
      <c r="Z9" s="3151">
        <v>100.1</v>
      </c>
      <c r="AA9" s="3155">
        <v>105.2</v>
      </c>
      <c r="AC9" s="3151" t="s">
        <v>3385</v>
      </c>
      <c r="AD9" s="3151">
        <v>99.8</v>
      </c>
      <c r="AE9" s="3155">
        <v>105.2</v>
      </c>
      <c r="AG9" s="3151" t="s">
        <v>3385</v>
      </c>
      <c r="AH9" s="3151">
        <v>99.6</v>
      </c>
      <c r="AI9" s="3155">
        <v>103.9</v>
      </c>
      <c r="AK9" s="3151" t="s">
        <v>3385</v>
      </c>
      <c r="AL9" s="3151">
        <v>100.9</v>
      </c>
      <c r="AM9" s="3155">
        <v>104.3</v>
      </c>
      <c r="AO9" s="3152" t="s">
        <v>3385</v>
      </c>
      <c r="AP9" s="3152">
        <v>100.8</v>
      </c>
      <c r="AQ9" s="3156">
        <v>104.4</v>
      </c>
      <c r="AS9" s="3185" t="s">
        <v>3385</v>
      </c>
      <c r="AT9" s="3183">
        <v>100.7</v>
      </c>
      <c r="AU9" s="3184">
        <v>103.8</v>
      </c>
      <c r="AW9" s="3185" t="s">
        <v>3385</v>
      </c>
      <c r="AX9" s="3183">
        <v>100.1</v>
      </c>
      <c r="AY9" s="3184">
        <v>103.3</v>
      </c>
      <c r="BA9" s="3185" t="s">
        <v>3385</v>
      </c>
      <c r="BB9" s="3206">
        <v>99.4</v>
      </c>
      <c r="BC9" s="3207">
        <v>102.8</v>
      </c>
      <c r="BE9" s="3185" t="s">
        <v>3385</v>
      </c>
      <c r="BF9" s="3206">
        <v>99.3</v>
      </c>
      <c r="BG9" s="3207">
        <v>101.5</v>
      </c>
      <c r="BO9" s="3185" t="s">
        <v>3385</v>
      </c>
      <c r="BP9" s="3214">
        <v>100.4</v>
      </c>
      <c r="BQ9" s="3184">
        <v>100.8</v>
      </c>
    </row>
    <row r="10" spans="1:69" s="3160" customFormat="1" ht="20.100000000000001" customHeight="1" thickBot="1">
      <c r="A10" s="3149" t="s">
        <v>3388</v>
      </c>
      <c r="B10" s="3149">
        <v>100.6</v>
      </c>
      <c r="C10" s="3159">
        <v>106.2</v>
      </c>
      <c r="E10" s="3149" t="s">
        <v>3388</v>
      </c>
      <c r="F10" s="3149">
        <v>99.6</v>
      </c>
      <c r="G10" s="3159">
        <v>104.7</v>
      </c>
      <c r="I10" s="3149" t="s">
        <v>3388</v>
      </c>
      <c r="J10" s="3149">
        <v>100.5</v>
      </c>
      <c r="K10" s="3159">
        <v>103.8</v>
      </c>
      <c r="M10" s="3149" t="s">
        <v>3388</v>
      </c>
      <c r="N10" s="3149">
        <v>100.3</v>
      </c>
      <c r="O10" s="3159">
        <v>103.4</v>
      </c>
      <c r="Q10" s="3149" t="s">
        <v>3388</v>
      </c>
      <c r="R10" s="3161">
        <v>100.2</v>
      </c>
      <c r="S10" s="3162">
        <v>103.5</v>
      </c>
      <c r="U10" s="3149" t="s">
        <v>3388</v>
      </c>
      <c r="V10" s="3149">
        <v>100.4</v>
      </c>
      <c r="W10" s="3159">
        <v>104.3</v>
      </c>
      <c r="Y10" s="3149" t="s">
        <v>3388</v>
      </c>
      <c r="Z10" s="3149">
        <v>100</v>
      </c>
      <c r="AA10" s="3159">
        <v>105.1</v>
      </c>
      <c r="AC10" s="3149" t="s">
        <v>3388</v>
      </c>
      <c r="AD10" s="3149">
        <v>99.5</v>
      </c>
      <c r="AE10" s="3159">
        <v>104.8</v>
      </c>
      <c r="AG10" s="3149" t="s">
        <v>3388</v>
      </c>
      <c r="AH10" s="3149">
        <v>99.7</v>
      </c>
      <c r="AI10" s="3159">
        <v>103.1</v>
      </c>
      <c r="AK10" s="3149" t="s">
        <v>3388</v>
      </c>
      <c r="AL10" s="3149">
        <v>101.1</v>
      </c>
      <c r="AM10" s="3159">
        <v>103.9</v>
      </c>
      <c r="AO10" s="3150" t="s">
        <v>3388</v>
      </c>
      <c r="AP10" s="3150">
        <v>101.1</v>
      </c>
      <c r="AQ10" s="3163">
        <v>104.3</v>
      </c>
      <c r="AS10" s="3186" t="s">
        <v>3388</v>
      </c>
      <c r="AT10" s="3187">
        <v>100.7</v>
      </c>
      <c r="AU10" s="3188">
        <v>103.7</v>
      </c>
      <c r="AW10" s="3186" t="s">
        <v>3388</v>
      </c>
      <c r="AX10" s="3187">
        <v>99.9</v>
      </c>
      <c r="AY10" s="3188">
        <v>103</v>
      </c>
      <c r="BA10" s="3186" t="s">
        <v>3388</v>
      </c>
      <c r="BB10" s="3208">
        <v>99.2</v>
      </c>
      <c r="BC10" s="3209">
        <v>102.6</v>
      </c>
      <c r="BE10" s="3186" t="s">
        <v>3388</v>
      </c>
      <c r="BF10" s="3208">
        <v>99.2</v>
      </c>
      <c r="BG10" s="3209">
        <v>101.2</v>
      </c>
      <c r="BO10" s="3186" t="s">
        <v>3605</v>
      </c>
      <c r="BP10" s="3187">
        <v>100.6</v>
      </c>
      <c r="BQ10" s="3188">
        <v>100.6</v>
      </c>
    </row>
    <row r="11" spans="1:69" ht="20.100000000000001" customHeight="1" thickBot="1">
      <c r="A11" s="3151" t="s">
        <v>3434</v>
      </c>
      <c r="B11" s="3151">
        <v>100.5</v>
      </c>
      <c r="C11" s="3155">
        <v>106.6</v>
      </c>
      <c r="E11" s="3151" t="s">
        <v>3434</v>
      </c>
      <c r="F11" s="3151">
        <v>100.1</v>
      </c>
      <c r="G11" s="3155">
        <v>105.7</v>
      </c>
      <c r="I11" s="3151" t="s">
        <v>3434</v>
      </c>
      <c r="J11" s="3151">
        <v>100.5</v>
      </c>
      <c r="K11" s="3155">
        <v>104.7</v>
      </c>
      <c r="M11" s="3151" t="s">
        <v>3434</v>
      </c>
      <c r="N11" s="3151">
        <v>100.2</v>
      </c>
      <c r="O11" s="3155">
        <v>104.2</v>
      </c>
      <c r="Q11" s="3151" t="s">
        <v>3434</v>
      </c>
      <c r="R11" s="3157">
        <v>100.3</v>
      </c>
      <c r="S11" s="3158">
        <v>104.1</v>
      </c>
      <c r="U11" s="3151" t="s">
        <v>3434</v>
      </c>
      <c r="V11" s="3151">
        <v>100.5</v>
      </c>
      <c r="W11" s="3155">
        <v>104.8</v>
      </c>
      <c r="Y11" s="3151" t="s">
        <v>3434</v>
      </c>
      <c r="Z11" s="3151">
        <v>100.1</v>
      </c>
      <c r="AA11" s="3155">
        <v>104.9</v>
      </c>
      <c r="AC11" s="3151" t="s">
        <v>3434</v>
      </c>
      <c r="AD11" s="3151">
        <v>99.9</v>
      </c>
      <c r="AE11" s="3155">
        <v>105</v>
      </c>
      <c r="AG11" s="3151" t="s">
        <v>3434</v>
      </c>
      <c r="AH11" s="3151">
        <v>99.3</v>
      </c>
      <c r="AI11" s="3155">
        <v>104</v>
      </c>
      <c r="AK11" s="3151" t="s">
        <v>3434</v>
      </c>
      <c r="AL11" s="3151">
        <v>100.5</v>
      </c>
      <c r="AM11" s="3155">
        <v>104.1</v>
      </c>
      <c r="AO11" s="3152" t="s">
        <v>3434</v>
      </c>
      <c r="AP11" s="3152">
        <v>100.5</v>
      </c>
      <c r="AQ11" s="3156">
        <v>103.8</v>
      </c>
      <c r="AS11" s="3185" t="s">
        <v>3434</v>
      </c>
      <c r="AT11" s="3183">
        <v>101.2</v>
      </c>
      <c r="AU11" s="3184">
        <v>103.6</v>
      </c>
      <c r="AW11" s="3185" t="s">
        <v>3434</v>
      </c>
      <c r="AX11" s="3183">
        <v>100.2</v>
      </c>
      <c r="AY11" s="3184">
        <v>103.4</v>
      </c>
      <c r="BA11" s="3185" t="s">
        <v>3434</v>
      </c>
      <c r="BB11" s="3206">
        <v>99.6</v>
      </c>
      <c r="BC11" s="3207">
        <v>102.8</v>
      </c>
      <c r="BE11" s="3185" t="s">
        <v>3434</v>
      </c>
      <c r="BF11" s="3206">
        <v>99.2</v>
      </c>
      <c r="BG11" s="3207">
        <v>101.4</v>
      </c>
      <c r="BO11" s="3185" t="s">
        <v>3606</v>
      </c>
      <c r="BP11" s="3214">
        <v>99.9</v>
      </c>
      <c r="BQ11" s="3184">
        <v>100.5</v>
      </c>
    </row>
    <row r="12" spans="1:69" ht="20.100000000000001" customHeight="1" thickBot="1">
      <c r="A12" s="3151" t="s">
        <v>3435</v>
      </c>
      <c r="B12" s="3151">
        <v>100.7</v>
      </c>
      <c r="C12" s="3155">
        <v>107.1</v>
      </c>
      <c r="E12" s="3151" t="s">
        <v>3435</v>
      </c>
      <c r="F12" s="3151">
        <v>100.2</v>
      </c>
      <c r="G12" s="3155">
        <v>106.1</v>
      </c>
      <c r="I12" s="3151" t="s">
        <v>3435</v>
      </c>
      <c r="J12" s="3151">
        <v>100.8</v>
      </c>
      <c r="K12" s="3155">
        <v>106</v>
      </c>
      <c r="M12" s="3151" t="s">
        <v>3435</v>
      </c>
      <c r="N12" s="3151">
        <v>100.1</v>
      </c>
      <c r="O12" s="3155">
        <v>105.6</v>
      </c>
      <c r="Q12" s="3151" t="s">
        <v>3435</v>
      </c>
      <c r="R12" s="3157">
        <v>99.9</v>
      </c>
      <c r="S12" s="3158">
        <v>104.6</v>
      </c>
      <c r="U12" s="3151" t="s">
        <v>3435</v>
      </c>
      <c r="V12" s="3151">
        <v>100.4</v>
      </c>
      <c r="W12" s="3155">
        <v>105.1</v>
      </c>
      <c r="Y12" s="3151" t="s">
        <v>3435</v>
      </c>
      <c r="Z12" s="3151">
        <v>100.8</v>
      </c>
      <c r="AA12" s="3155">
        <v>106</v>
      </c>
      <c r="AC12" s="3151" t="s">
        <v>3435</v>
      </c>
      <c r="AD12" s="3151">
        <v>100.4</v>
      </c>
      <c r="AE12" s="3155">
        <v>106.4</v>
      </c>
      <c r="AG12" s="3151" t="s">
        <v>3435</v>
      </c>
      <c r="AH12" s="3151">
        <v>99.8</v>
      </c>
      <c r="AI12" s="3155">
        <v>105.9</v>
      </c>
      <c r="AK12" s="3151" t="s">
        <v>3435</v>
      </c>
      <c r="AL12" s="3151">
        <v>100.9</v>
      </c>
      <c r="AM12" s="3155">
        <v>105.6</v>
      </c>
      <c r="AO12" s="3152" t="s">
        <v>3435</v>
      </c>
      <c r="AP12" s="3152">
        <v>100.3</v>
      </c>
      <c r="AQ12" s="3156">
        <v>105.4</v>
      </c>
      <c r="AS12" s="3185" t="s">
        <v>3435</v>
      </c>
      <c r="AT12" s="3183">
        <v>100.1</v>
      </c>
      <c r="AU12" s="3184">
        <v>104.5</v>
      </c>
      <c r="AW12" s="3185" t="s">
        <v>3435</v>
      </c>
      <c r="AX12" s="3183">
        <v>100.2</v>
      </c>
      <c r="AY12" s="3184">
        <v>103.9</v>
      </c>
      <c r="BA12" s="3185" t="s">
        <v>3435</v>
      </c>
      <c r="BB12" s="3206">
        <v>99.9</v>
      </c>
      <c r="BC12" s="3207">
        <v>103.5</v>
      </c>
      <c r="BE12" s="3185" t="s">
        <v>3435</v>
      </c>
      <c r="BF12" s="3206">
        <v>99.7</v>
      </c>
      <c r="BG12" s="3207">
        <v>102.5</v>
      </c>
      <c r="BO12" s="3185" t="s">
        <v>3607</v>
      </c>
      <c r="BP12" s="3214">
        <v>100.3</v>
      </c>
      <c r="BQ12" s="3184">
        <v>101.9</v>
      </c>
    </row>
    <row r="13" spans="1:69" ht="20.100000000000001" customHeight="1">
      <c r="A13" s="3627" t="s">
        <v>3386</v>
      </c>
      <c r="B13" s="3627"/>
      <c r="C13" s="3627"/>
      <c r="E13" s="3627" t="s">
        <v>3386</v>
      </c>
      <c r="F13" s="3627"/>
      <c r="G13" s="3627"/>
      <c r="I13" s="3627" t="s">
        <v>3386</v>
      </c>
      <c r="J13" s="3627"/>
      <c r="K13" s="3627"/>
      <c r="M13" s="3627" t="s">
        <v>3386</v>
      </c>
      <c r="N13" s="3627"/>
      <c r="O13" s="3627"/>
      <c r="Q13" s="3627" t="s">
        <v>3386</v>
      </c>
      <c r="R13" s="3627"/>
      <c r="S13" s="3627"/>
      <c r="U13" s="3627" t="s">
        <v>3386</v>
      </c>
      <c r="V13" s="3627"/>
      <c r="W13" s="3627"/>
      <c r="Y13" s="3627" t="s">
        <v>3386</v>
      </c>
      <c r="Z13" s="3627"/>
      <c r="AA13" s="3627"/>
      <c r="AC13" s="3627" t="s">
        <v>3386</v>
      </c>
      <c r="AD13" s="3627"/>
      <c r="AE13" s="3627"/>
      <c r="AG13" s="3627" t="s">
        <v>3386</v>
      </c>
      <c r="AH13" s="3627"/>
      <c r="AI13" s="3627"/>
      <c r="AO13" s="3618"/>
      <c r="AP13" s="3618"/>
      <c r="AQ13" s="3618"/>
    </row>
    <row r="15" spans="1:69" s="3211" customFormat="1" ht="20.100000000000001" customHeight="1">
      <c r="A15" s="3210" t="s">
        <v>3535</v>
      </c>
    </row>
    <row r="16" spans="1:69" ht="20.100000000000001" customHeight="1">
      <c r="A16" s="3164" t="s">
        <v>3437</v>
      </c>
      <c r="B16" s="3154">
        <v>22.4</v>
      </c>
      <c r="C16" s="3154">
        <v>22.5</v>
      </c>
      <c r="D16" s="3154">
        <v>22.6</v>
      </c>
      <c r="E16" s="3154">
        <v>22.7</v>
      </c>
      <c r="F16" s="3154">
        <v>22.8</v>
      </c>
      <c r="G16" s="3164">
        <v>22.9</v>
      </c>
      <c r="H16" s="3166" t="s">
        <v>3438</v>
      </c>
      <c r="I16" s="3164">
        <v>22.11</v>
      </c>
      <c r="J16" s="3164">
        <v>22.12</v>
      </c>
      <c r="K16" s="3164">
        <v>23.1</v>
      </c>
      <c r="L16" s="3164">
        <v>23.2</v>
      </c>
      <c r="M16" s="3164">
        <v>23.3</v>
      </c>
      <c r="N16" s="3164">
        <v>23.4</v>
      </c>
      <c r="O16" s="3154">
        <v>23.5</v>
      </c>
      <c r="P16" s="3154">
        <v>23.6</v>
      </c>
      <c r="Q16" s="3154">
        <v>23.7</v>
      </c>
      <c r="R16" s="3154">
        <v>23.8</v>
      </c>
      <c r="S16" s="3154">
        <v>23.9</v>
      </c>
      <c r="T16" s="3166" t="s">
        <v>3533</v>
      </c>
    </row>
    <row r="17" spans="1:20" ht="20.100000000000001" customHeight="1">
      <c r="A17" s="3164" t="str">
        <f>A10</f>
        <v>90平方米及以下</v>
      </c>
      <c r="B17" s="3154">
        <f>B10</f>
        <v>100.6</v>
      </c>
      <c r="C17" s="3154">
        <f>F10</f>
        <v>99.6</v>
      </c>
      <c r="D17" s="3154">
        <f>J10</f>
        <v>100.5</v>
      </c>
      <c r="E17" s="3154">
        <f>N10</f>
        <v>100.3</v>
      </c>
      <c r="F17" s="3154">
        <f>R10</f>
        <v>100.2</v>
      </c>
      <c r="G17" s="3154">
        <f>V10</f>
        <v>100.4</v>
      </c>
      <c r="H17" s="3154">
        <f>Z10</f>
        <v>100</v>
      </c>
      <c r="I17" s="3154">
        <f>AD10</f>
        <v>99.5</v>
      </c>
      <c r="J17" s="3154">
        <f>AH10</f>
        <v>99.7</v>
      </c>
      <c r="K17" s="3154">
        <f>AL10</f>
        <v>101.1</v>
      </c>
      <c r="L17" s="3154">
        <f>AP10</f>
        <v>101.1</v>
      </c>
      <c r="M17" s="3154">
        <f>AT10</f>
        <v>100.7</v>
      </c>
      <c r="N17" s="3154">
        <f>AX10</f>
        <v>99.9</v>
      </c>
      <c r="O17" s="3154">
        <f>BB10</f>
        <v>99.2</v>
      </c>
      <c r="P17" s="3154">
        <f>BF10</f>
        <v>99.2</v>
      </c>
      <c r="Q17" s="3154">
        <v>99.3</v>
      </c>
      <c r="R17" s="3154">
        <f>BP10</f>
        <v>100.6</v>
      </c>
      <c r="S17" s="3165">
        <v>100.8</v>
      </c>
      <c r="T17" s="3165">
        <v>100</v>
      </c>
    </row>
    <row r="18" spans="1:20" ht="20.100000000000001" customHeight="1">
      <c r="A18" s="3154" t="str">
        <f>B4</f>
        <v>以上月价格为100的指数</v>
      </c>
    </row>
    <row r="19" spans="1:20" s="3211" customFormat="1" ht="20.100000000000001" customHeight="1">
      <c r="A19" s="3210" t="s">
        <v>3536</v>
      </c>
    </row>
    <row r="20" spans="1:20" ht="20.100000000000001" customHeight="1">
      <c r="A20" s="3164" t="s">
        <v>3490</v>
      </c>
      <c r="B20" s="3154">
        <v>52472</v>
      </c>
      <c r="C20" s="3167">
        <f>C17*B20/100</f>
        <v>52262.111999999994</v>
      </c>
      <c r="D20" s="3167">
        <f>D17*C20/100</f>
        <v>52523.422559999992</v>
      </c>
      <c r="E20" s="3167">
        <f t="shared" ref="E20:S20" si="0">E17*D20/100</f>
        <v>52680.992827679991</v>
      </c>
      <c r="F20" s="3167">
        <f t="shared" si="0"/>
        <v>52786.354813335354</v>
      </c>
      <c r="G20" s="3167">
        <f t="shared" si="0"/>
        <v>52997.500232588696</v>
      </c>
      <c r="H20" s="3167">
        <f t="shared" si="0"/>
        <v>52997.500232588696</v>
      </c>
      <c r="I20" s="3167">
        <f t="shared" si="0"/>
        <v>52732.512731425755</v>
      </c>
      <c r="J20" s="3167">
        <f t="shared" si="0"/>
        <v>52574.315193231479</v>
      </c>
      <c r="K20" s="3167">
        <f t="shared" si="0"/>
        <v>53152.63266035702</v>
      </c>
      <c r="L20" s="3167">
        <f t="shared" si="0"/>
        <v>53737.311619620945</v>
      </c>
      <c r="M20" s="3167">
        <f t="shared" si="0"/>
        <v>54113.472800958298</v>
      </c>
      <c r="N20" s="3167">
        <f t="shared" si="0"/>
        <v>54059.359328157341</v>
      </c>
      <c r="O20" s="3167">
        <f t="shared" si="0"/>
        <v>53626.884453532082</v>
      </c>
      <c r="P20" s="3167">
        <f t="shared" si="0"/>
        <v>53197.869377903829</v>
      </c>
      <c r="Q20" s="3167">
        <f t="shared" si="0"/>
        <v>52825.484292258501</v>
      </c>
      <c r="R20" s="3167">
        <f t="shared" si="0"/>
        <v>53142.437198012049</v>
      </c>
      <c r="S20" s="3167">
        <f t="shared" si="0"/>
        <v>53567.576695596144</v>
      </c>
      <c r="T20" s="3167">
        <f>T17*S20/100</f>
        <v>53567.576695596144</v>
      </c>
    </row>
    <row r="21" spans="1:20" ht="20.100000000000001" customHeight="1">
      <c r="A21" s="3164" t="s">
        <v>3534</v>
      </c>
      <c r="C21" s="3167"/>
      <c r="D21" s="3167"/>
      <c r="E21" s="3167"/>
      <c r="F21" s="3167"/>
      <c r="G21" s="3167"/>
      <c r="H21" s="3167"/>
      <c r="I21" s="3167"/>
      <c r="J21" s="3167"/>
      <c r="K21" s="3167"/>
      <c r="L21" s="3167"/>
      <c r="M21" s="3167"/>
      <c r="N21" s="3167"/>
      <c r="O21" s="3167"/>
      <c r="P21" s="3167">
        <v>53714</v>
      </c>
      <c r="Q21" s="3167">
        <f>P21*Q17/100</f>
        <v>53338.002</v>
      </c>
      <c r="R21" s="3167">
        <f t="shared" ref="R21:T21" si="1">Q21*R17/100</f>
        <v>53658.030011999996</v>
      </c>
      <c r="S21" s="3167">
        <f t="shared" si="1"/>
        <v>54087.294252095999</v>
      </c>
      <c r="T21" s="3167">
        <f t="shared" si="1"/>
        <v>54087.294252095999</v>
      </c>
    </row>
    <row r="22" spans="1:20" s="3211" customFormat="1" ht="20.100000000000001" customHeight="1">
      <c r="A22" s="3210" t="s">
        <v>3537</v>
      </c>
      <c r="C22" s="3212"/>
      <c r="D22" s="3212"/>
      <c r="E22" s="3212"/>
      <c r="F22" s="3212"/>
      <c r="G22" s="3212"/>
      <c r="H22" s="3212"/>
      <c r="I22" s="3212"/>
      <c r="J22" s="3212"/>
      <c r="K22" s="3212"/>
      <c r="L22" s="3212"/>
      <c r="M22" s="3212"/>
      <c r="N22" s="3212"/>
      <c r="O22" s="3212"/>
      <c r="P22" s="3212"/>
      <c r="Q22" s="3212"/>
      <c r="R22" s="3212"/>
      <c r="S22" s="3212"/>
      <c r="T22" s="3212"/>
    </row>
    <row r="23" spans="1:20" ht="20.100000000000001" customHeight="1">
      <c r="A23" s="3164" t="s">
        <v>3489</v>
      </c>
      <c r="B23" s="3154">
        <v>4</v>
      </c>
      <c r="H23" s="3201">
        <v>100</v>
      </c>
      <c r="I23" s="3201">
        <f>ROUND(I17/100*H23,$B$23)</f>
        <v>99.5</v>
      </c>
      <c r="J23" s="3201">
        <f t="shared" ref="J23:S23" si="2">ROUND(J17/100*I23,$B$23)</f>
        <v>99.201499999999996</v>
      </c>
      <c r="K23" s="3201">
        <f t="shared" si="2"/>
        <v>100.2927</v>
      </c>
      <c r="L23" s="3201">
        <f t="shared" si="2"/>
        <v>101.3959</v>
      </c>
      <c r="M23" s="3201">
        <f t="shared" si="2"/>
        <v>102.1057</v>
      </c>
      <c r="N23" s="3201">
        <f t="shared" si="2"/>
        <v>102.00360000000001</v>
      </c>
      <c r="O23" s="3201">
        <f t="shared" si="2"/>
        <v>101.1876</v>
      </c>
      <c r="P23" s="3201">
        <f>ROUND(P17/100*O23,$B$23)</f>
        <v>100.3781</v>
      </c>
      <c r="Q23" s="3201">
        <f>ROUND(Q17/100*P23,$B$23)</f>
        <v>99.6755</v>
      </c>
      <c r="R23" s="3201">
        <f>ROUND(R17/100*Q23,$B$23)</f>
        <v>100.2736</v>
      </c>
      <c r="S23" s="3201">
        <f t="shared" si="2"/>
        <v>101.0758</v>
      </c>
      <c r="T23" s="3201">
        <f>ROUND(T17/100*S23,$B$23)</f>
        <v>101.0758</v>
      </c>
    </row>
    <row r="24" spans="1:20" ht="20.100000000000001" customHeight="1">
      <c r="H24" s="3201">
        <f t="shared" ref="H24:Q24" si="3">ROUND(H23*I24/I23,$B$23)</f>
        <v>98.935599999999994</v>
      </c>
      <c r="I24" s="3201">
        <f t="shared" si="3"/>
        <v>98.440899999999999</v>
      </c>
      <c r="J24" s="3201">
        <f t="shared" si="3"/>
        <v>98.145600000000002</v>
      </c>
      <c r="K24" s="3201">
        <f t="shared" si="3"/>
        <v>99.225200000000001</v>
      </c>
      <c r="L24" s="3201">
        <f t="shared" si="3"/>
        <v>100.3167</v>
      </c>
      <c r="M24" s="3201">
        <f t="shared" si="3"/>
        <v>101.0189</v>
      </c>
      <c r="N24" s="3201">
        <f t="shared" si="3"/>
        <v>100.9179</v>
      </c>
      <c r="O24" s="3201">
        <f t="shared" si="3"/>
        <v>100.11060000000001</v>
      </c>
      <c r="P24" s="3201">
        <f>ROUND(P23*Q24/Q23,$B$23)</f>
        <v>99.309700000000007</v>
      </c>
      <c r="Q24" s="3201">
        <f t="shared" si="3"/>
        <v>98.614599999999996</v>
      </c>
      <c r="R24" s="3201">
        <f>ROUND(R23*S24/S23,$B$23)</f>
        <v>99.206299999999999</v>
      </c>
      <c r="S24" s="3201">
        <f>ROUND(S23*T24/T23,$B$23)</f>
        <v>100</v>
      </c>
      <c r="T24" s="3201">
        <v>100</v>
      </c>
    </row>
    <row r="26" spans="1:20" ht="20.100000000000001" customHeight="1">
      <c r="D26" s="3205">
        <f t="shared" ref="D26:S26" si="4">ROUND(E26*100/E17,$B$23)</f>
        <v>98.050600000000003</v>
      </c>
      <c r="E26" s="3205">
        <f t="shared" si="4"/>
        <v>98.344800000000006</v>
      </c>
      <c r="F26" s="3205">
        <f t="shared" si="4"/>
        <v>98.541499999999999</v>
      </c>
      <c r="G26" s="3205">
        <f t="shared" si="4"/>
        <v>98.935699999999997</v>
      </c>
      <c r="H26" s="3205">
        <f t="shared" si="4"/>
        <v>98.935699999999997</v>
      </c>
      <c r="I26" s="3205">
        <f t="shared" si="4"/>
        <v>98.441000000000003</v>
      </c>
      <c r="J26" s="3205">
        <f t="shared" si="4"/>
        <v>98.145700000000005</v>
      </c>
      <c r="K26" s="3205">
        <f t="shared" si="4"/>
        <v>99.225300000000004</v>
      </c>
      <c r="L26" s="3205">
        <f t="shared" si="4"/>
        <v>100.3168</v>
      </c>
      <c r="M26" s="3205">
        <f t="shared" si="4"/>
        <v>101.01900000000001</v>
      </c>
      <c r="N26" s="3205">
        <f t="shared" si="4"/>
        <v>100.91800000000001</v>
      </c>
      <c r="O26" s="3205">
        <f t="shared" si="4"/>
        <v>100.11069999999999</v>
      </c>
      <c r="P26" s="3205">
        <f>ROUND(Q26*100/Q17,$B$23)</f>
        <v>99.309799999999996</v>
      </c>
      <c r="Q26" s="3205">
        <f t="shared" si="4"/>
        <v>98.614599999999996</v>
      </c>
      <c r="R26" s="3205">
        <f t="shared" si="4"/>
        <v>99.206299999999999</v>
      </c>
      <c r="S26" s="3205">
        <f t="shared" si="4"/>
        <v>100</v>
      </c>
      <c r="T26" s="3205">
        <v>100</v>
      </c>
    </row>
    <row r="29" spans="1:20" ht="20.100000000000001" customHeight="1">
      <c r="G29" s="3154">
        <f t="shared" ref="G29:R29" si="5">ROUND(F26*G17/100,5)-G26</f>
        <v>-2.9999999995311555E-5</v>
      </c>
      <c r="H29" s="3154">
        <f t="shared" si="5"/>
        <v>0</v>
      </c>
      <c r="I29" s="3154">
        <f t="shared" si="5"/>
        <v>1.9999999992137418E-5</v>
      </c>
      <c r="J29" s="3154">
        <f t="shared" si="5"/>
        <v>-2.0000000006348273E-5</v>
      </c>
      <c r="K29" s="3154">
        <f t="shared" si="5"/>
        <v>0</v>
      </c>
      <c r="L29" s="3154">
        <f t="shared" si="5"/>
        <v>-2.0000000006348273E-5</v>
      </c>
      <c r="M29" s="3154">
        <f t="shared" si="5"/>
        <v>1.9999999992137418E-5</v>
      </c>
      <c r="N29" s="3154">
        <f t="shared" si="5"/>
        <v>-2.0000000006348273E-5</v>
      </c>
      <c r="O29" s="3154">
        <f t="shared" si="5"/>
        <v>-3.9999999998485691E-5</v>
      </c>
      <c r="P29" s="3154">
        <f t="shared" si="5"/>
        <v>1.0000000003174137E-5</v>
      </c>
      <c r="Q29" s="3154">
        <f t="shared" si="5"/>
        <v>3.000000000952241E-5</v>
      </c>
      <c r="R29" s="3154">
        <f t="shared" si="5"/>
        <v>-1.0000000003174137E-5</v>
      </c>
      <c r="S29" s="3154">
        <f>ROUND(R26*S17/100,5)-S26</f>
        <v>-5.0000000001659828E-5</v>
      </c>
    </row>
  </sheetData>
  <mergeCells count="47">
    <mergeCell ref="BO2:BQ2"/>
    <mergeCell ref="BO3:BO4"/>
    <mergeCell ref="BP3:BQ3"/>
    <mergeCell ref="BA2:BC2"/>
    <mergeCell ref="BA3:BA4"/>
    <mergeCell ref="BB3:BC3"/>
    <mergeCell ref="BE2:BG2"/>
    <mergeCell ref="BE3:BE4"/>
    <mergeCell ref="BF3:BG3"/>
    <mergeCell ref="AS2:AU2"/>
    <mergeCell ref="AS3:AS4"/>
    <mergeCell ref="AT3:AU3"/>
    <mergeCell ref="AW2:AY2"/>
    <mergeCell ref="AW3:AW4"/>
    <mergeCell ref="AX3:AY3"/>
    <mergeCell ref="A13:C13"/>
    <mergeCell ref="E13:G13"/>
    <mergeCell ref="Q3:Q4"/>
    <mergeCell ref="R3:S3"/>
    <mergeCell ref="Q13:S13"/>
    <mergeCell ref="I3:I4"/>
    <mergeCell ref="J3:K3"/>
    <mergeCell ref="I13:K13"/>
    <mergeCell ref="M3:M4"/>
    <mergeCell ref="N3:O3"/>
    <mergeCell ref="M13:O13"/>
    <mergeCell ref="A3:A4"/>
    <mergeCell ref="B3:C3"/>
    <mergeCell ref="E3:E4"/>
    <mergeCell ref="F3:G3"/>
    <mergeCell ref="U3:U4"/>
    <mergeCell ref="V3:W3"/>
    <mergeCell ref="U13:W13"/>
    <mergeCell ref="Y3:Y4"/>
    <mergeCell ref="Z3:AA3"/>
    <mergeCell ref="Y13:AA13"/>
    <mergeCell ref="AC3:AC4"/>
    <mergeCell ref="AD3:AE3"/>
    <mergeCell ref="AC13:AE13"/>
    <mergeCell ref="AG3:AG4"/>
    <mergeCell ref="AH3:AI3"/>
    <mergeCell ref="AG13:AI13"/>
    <mergeCell ref="AO13:AQ13"/>
    <mergeCell ref="AK3:AK4"/>
    <mergeCell ref="AL3:AM3"/>
    <mergeCell ref="AO3:AO4"/>
    <mergeCell ref="AP3:AQ3"/>
  </mergeCells>
  <phoneticPr fontId="134" type="noConversion"/>
  <hyperlinks>
    <hyperlink ref="A1"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08" t="s">
        <v>949</v>
      </c>
      <c r="B1" s="3308"/>
      <c r="C1" s="3308"/>
      <c r="D1" s="3308"/>
    </row>
    <row r="2" spans="1:4" ht="18">
      <c r="A2" s="3309" t="s">
        <v>933</v>
      </c>
      <c r="B2" s="3309"/>
      <c r="C2" s="3309"/>
      <c r="D2" s="3309"/>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宁小鳗</v>
      </c>
      <c r="B5" s="1409">
        <f>项目基本情况!E4</f>
        <v>1120210056</v>
      </c>
      <c r="C5" s="1412"/>
      <c r="D5" s="1411" t="s">
        <v>938</v>
      </c>
    </row>
    <row r="6" spans="1:4" ht="18">
      <c r="A6" s="3309" t="s">
        <v>939</v>
      </c>
      <c r="B6" s="3309"/>
      <c r="C6" s="3309"/>
      <c r="D6" s="33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10" t="s">
        <v>942</v>
      </c>
      <c r="B11" s="3302"/>
      <c r="C11" s="3302"/>
      <c r="D11" s="3302"/>
    </row>
    <row r="12" spans="1:4" ht="15.75">
      <c r="A12" s="33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7"/>
      <c r="C12" s="3307"/>
      <c r="D12" s="3307"/>
    </row>
    <row r="13" spans="1:4" ht="30" customHeight="1">
      <c r="A13" s="3302" t="str">
        <f>IF(项目基本情况!B8="抵押","3.抵押双方在办理抵押登记手续时，应使用本公司出具的正式《房地产评估报告》，特提醒报告使用者注意。","——")</f>
        <v>——</v>
      </c>
      <c r="B13" s="3307"/>
      <c r="C13" s="3307"/>
      <c r="D13" s="3307"/>
    </row>
    <row r="14" spans="1:4" ht="15.75" customHeight="1">
      <c r="A14" s="3302" t="str">
        <f>IF(项目基本情况!B8="抵押","4.本次评估估价师所知悉的法定优先受偿款情况说明如下：","——")</f>
        <v>——</v>
      </c>
      <c r="B14" s="3307"/>
      <c r="C14" s="3307"/>
      <c r="D14" s="3307"/>
    </row>
    <row r="15" spans="1:4" ht="42" customHeight="1">
      <c r="A15" s="3302" t="str">
        <f>IF(项目基本情况!B8="抵押","（1）"&amp;CONCATENATE(项目基本情况!L20,项目基本情况!L21,项目基本情况!L22),"——")</f>
        <v>——</v>
      </c>
      <c r="B15" s="3302"/>
      <c r="C15" s="3302"/>
      <c r="D15" s="3302"/>
    </row>
    <row r="16" spans="1:4" ht="30" customHeight="1">
      <c r="A16" s="3304" t="s">
        <v>943</v>
      </c>
      <c r="B16" s="3304"/>
      <c r="C16" s="3304"/>
      <c r="D16" s="3304"/>
    </row>
    <row r="17" spans="1:4" ht="144" customHeight="1">
      <c r="A17" s="3304" t="s">
        <v>944</v>
      </c>
      <c r="B17" s="3304"/>
      <c r="C17" s="3304"/>
      <c r="D17" s="3304"/>
    </row>
    <row r="18" spans="1:4" ht="15.75" customHeight="1">
      <c r="A18" s="3302" t="str">
        <f>IF(项目基本情况!B8="抵押",结果表!K120,"——")</f>
        <v>——</v>
      </c>
      <c r="B18" s="3302"/>
      <c r="C18" s="3302"/>
      <c r="D18" s="3302"/>
    </row>
    <row r="19" spans="1:4" ht="46.5" customHeight="1">
      <c r="A19" s="33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2"/>
      <c r="C19" s="3302"/>
      <c r="D19" s="3302"/>
    </row>
    <row r="20" spans="1:4" ht="57.75" customHeight="1">
      <c r="A20" s="33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2"/>
      <c r="C20" s="3302"/>
      <c r="D20" s="3302"/>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5"/>
      <c r="C21" s="3305"/>
      <c r="D21" s="3305"/>
    </row>
    <row r="22" spans="1:4" ht="18.75" customHeight="1">
      <c r="A22" s="3306" t="s">
        <v>945</v>
      </c>
      <c r="B22" s="3306"/>
      <c r="C22" s="3306"/>
      <c r="D22" s="33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03">
        <v>42551</v>
      </c>
      <c r="D31" s="33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16" t="s">
        <v>956</v>
      </c>
      <c r="B15" s="3311" t="s">
        <v>109</v>
      </c>
      <c r="C15" s="3312"/>
    </row>
    <row r="16" spans="1:7" ht="13.5">
      <c r="A16" s="3317"/>
      <c r="B16" s="3311" t="s">
        <v>42</v>
      </c>
      <c r="C16" s="3312"/>
    </row>
    <row r="17" spans="1:3" ht="13.5">
      <c r="A17" s="3317"/>
      <c r="B17" s="3314" t="s">
        <v>957</v>
      </c>
      <c r="C17" s="1429" t="s">
        <v>956</v>
      </c>
    </row>
    <row r="18" spans="1:3" ht="13.5">
      <c r="A18" s="3317"/>
      <c r="B18" s="3314"/>
      <c r="C18" s="1429" t="s">
        <v>958</v>
      </c>
    </row>
    <row r="19" spans="1:3" ht="13.5">
      <c r="A19" s="3317"/>
      <c r="B19" s="3314"/>
      <c r="C19" s="1429" t="s">
        <v>959</v>
      </c>
    </row>
    <row r="20" spans="1:3" ht="13.5">
      <c r="A20" s="3318"/>
      <c r="B20" s="3313" t="s">
        <v>960</v>
      </c>
      <c r="C20" s="3312"/>
    </row>
    <row r="21" spans="1:3" ht="13.5">
      <c r="A21" s="1430" t="s">
        <v>961</v>
      </c>
      <c r="B21" s="1431"/>
      <c r="C21" s="1432"/>
    </row>
    <row r="22" spans="1:3" ht="13.5">
      <c r="A22" s="3315" t="s">
        <v>962</v>
      </c>
      <c r="B22" s="3313" t="s">
        <v>963</v>
      </c>
      <c r="C22" s="3312"/>
    </row>
    <row r="23" spans="1:3" ht="13.5">
      <c r="A23" s="3315"/>
      <c r="B23" s="3313" t="s">
        <v>964</v>
      </c>
      <c r="C23" s="3312"/>
    </row>
    <row r="24" spans="1:3" ht="13.5">
      <c r="A24" s="3315"/>
      <c r="B24" s="3313" t="s">
        <v>965</v>
      </c>
      <c r="C24" s="3312"/>
    </row>
    <row r="25" spans="1:3" ht="13.5">
      <c r="A25" s="3315"/>
      <c r="B25" s="3314" t="s">
        <v>966</v>
      </c>
      <c r="C25" s="1429" t="s">
        <v>967</v>
      </c>
    </row>
    <row r="26" spans="1:3" ht="13.5">
      <c r="A26" s="3315"/>
      <c r="B26" s="3314"/>
      <c r="C26" s="1429" t="s">
        <v>968</v>
      </c>
    </row>
    <row r="27" spans="1:3" ht="13.5">
      <c r="A27" s="3315"/>
      <c r="B27" s="3314"/>
      <c r="C27" s="1429" t="s">
        <v>969</v>
      </c>
    </row>
    <row r="28" spans="1:3" ht="13.5">
      <c r="A28" s="3315"/>
      <c r="B28" s="3314"/>
      <c r="C28" s="1429" t="s">
        <v>970</v>
      </c>
    </row>
    <row r="29" spans="1:3" ht="13.5">
      <c r="A29" s="3315"/>
      <c r="B29" s="3314"/>
      <c r="C29" s="1429" t="s">
        <v>971</v>
      </c>
    </row>
    <row r="30" spans="1:3" ht="13.5">
      <c r="A30" s="3315"/>
      <c r="B30" s="3314"/>
      <c r="C30" s="1429" t="s">
        <v>972</v>
      </c>
    </row>
    <row r="31" spans="1:3" ht="13.5">
      <c r="A31" s="3315"/>
      <c r="B31" s="3314"/>
      <c r="C31" s="1429" t="s">
        <v>973</v>
      </c>
    </row>
    <row r="32" spans="1:3" ht="13.5">
      <c r="A32" s="3315"/>
      <c r="B32" s="3314"/>
      <c r="C32" s="1429" t="s">
        <v>974</v>
      </c>
    </row>
    <row r="33" spans="1:3" ht="13.5">
      <c r="A33" s="3315"/>
      <c r="B33" s="33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5" sqref="F15"/>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2137</v>
      </c>
      <c r="B2" s="2155">
        <f ca="1">TODAY()</f>
        <v>45222</v>
      </c>
      <c r="C2" s="2156" t="s">
        <v>2138</v>
      </c>
      <c r="D2" s="2156"/>
      <c r="E2" s="2156"/>
      <c r="F2" s="2152"/>
      <c r="G2" s="2152"/>
      <c r="H2" s="2152"/>
    </row>
    <row r="3" spans="1:8" ht="24" customHeight="1">
      <c r="A3" s="2157" t="s">
        <v>2139</v>
      </c>
      <c r="B3" s="1219" t="s">
        <v>2140</v>
      </c>
      <c r="C3" s="1219" t="s">
        <v>2141</v>
      </c>
      <c r="D3" s="2158" t="s">
        <v>2142</v>
      </c>
      <c r="E3" s="2159" t="s">
        <v>2143</v>
      </c>
      <c r="F3" s="1219" t="s">
        <v>2144</v>
      </c>
      <c r="G3" s="1219" t="s">
        <v>2141</v>
      </c>
      <c r="H3" s="2158" t="s">
        <v>2145</v>
      </c>
    </row>
    <row r="4" spans="1:8" ht="24" customHeight="1">
      <c r="A4" s="1219" t="s">
        <v>2146</v>
      </c>
      <c r="B4" s="1219">
        <f ca="1">IF(C4&lt;B2,"已过期",1119970066)</f>
        <v>1119970066</v>
      </c>
      <c r="C4" s="2160">
        <v>45937</v>
      </c>
      <c r="D4" s="2161" t="str">
        <f ca="1">A4&amp;"（注册号："&amp;B4&amp;"）"</f>
        <v>梁津（注册号：1119970066）</v>
      </c>
      <c r="E4" s="2162" t="s">
        <v>2146</v>
      </c>
      <c r="F4" s="1219">
        <f ca="1">IF(G4&lt;B2,"已过期",96010014)</f>
        <v>96010014</v>
      </c>
      <c r="G4" s="2163">
        <v>47118</v>
      </c>
      <c r="H4" s="2164" t="str">
        <f ca="1">E4&amp;"（注册号："&amp;F4&amp;"）"</f>
        <v>梁津（注册号：96010014）</v>
      </c>
    </row>
    <row r="5" spans="1:8" ht="24" customHeight="1">
      <c r="A5" s="1219" t="s">
        <v>2147</v>
      </c>
      <c r="B5" s="1219">
        <f ca="1">IF(C5&lt;B2,"已过期",1119970111)</f>
        <v>1119970111</v>
      </c>
      <c r="C5" s="2160">
        <v>45937</v>
      </c>
      <c r="D5" s="2161" t="str">
        <f t="shared" ref="D5:D15" ca="1" si="0">A5&amp;"（注册号："&amp;B5&amp;"）"</f>
        <v>叶凌（注册号：1119970111）</v>
      </c>
      <c r="E5" s="2162" t="s">
        <v>2147</v>
      </c>
      <c r="F5" s="1219">
        <f ca="1">IF(G5&lt;B2,"已过期",94010078)</f>
        <v>94010078</v>
      </c>
      <c r="G5" s="2163">
        <v>46387</v>
      </c>
      <c r="H5" s="2164" t="str">
        <f t="shared" ref="H5:H16" ca="1" si="1">E5&amp;"（注册号："&amp;F5&amp;"）"</f>
        <v>叶凌（注册号：94010078）</v>
      </c>
    </row>
    <row r="6" spans="1:8" ht="24" customHeight="1">
      <c r="A6" s="1219" t="s">
        <v>2148</v>
      </c>
      <c r="B6" s="1219">
        <f ca="1">IF(C6&lt;B2,"已过期",1120050019)</f>
        <v>1120050019</v>
      </c>
      <c r="C6" s="2160">
        <v>45410</v>
      </c>
      <c r="D6" s="2161" t="str">
        <f t="shared" ca="1" si="0"/>
        <v>王鹏（注册号：1120050019）</v>
      </c>
      <c r="E6" s="2162" t="s">
        <v>2148</v>
      </c>
      <c r="F6" s="1219">
        <f ca="1">IF(G6&lt;B2,"已过期",2002110030)</f>
        <v>2002110030</v>
      </c>
      <c r="G6" s="2163">
        <v>46387</v>
      </c>
      <c r="H6" s="2164" t="str">
        <f t="shared" ca="1" si="1"/>
        <v>王鹏（注册号：2002110030）</v>
      </c>
    </row>
    <row r="7" spans="1:8" ht="24" customHeight="1">
      <c r="A7" s="1219" t="s">
        <v>2149</v>
      </c>
      <c r="B7" s="1219">
        <f ca="1">IF(C7&lt;B2,"已过期",1120000080)</f>
        <v>1120000080</v>
      </c>
      <c r="C7" s="2160">
        <v>45937</v>
      </c>
      <c r="D7" s="2161" t="str">
        <f t="shared" ca="1" si="0"/>
        <v>欧红伟（注册号：1120000080）</v>
      </c>
      <c r="E7" s="2162" t="s">
        <v>2149</v>
      </c>
      <c r="F7" s="1219">
        <f ca="1">IF(G7&lt;B2,"已过期",2000110082)</f>
        <v>2000110082</v>
      </c>
      <c r="G7" s="2163">
        <v>46387</v>
      </c>
      <c r="H7" s="2164" t="str">
        <f t="shared" ca="1" si="1"/>
        <v>欧红伟（注册号：2000110082）</v>
      </c>
    </row>
    <row r="8" spans="1:8" ht="24" customHeight="1">
      <c r="A8" s="1219" t="s">
        <v>2150</v>
      </c>
      <c r="B8" s="1219">
        <f ca="1">IF(C8&lt;B2,"已过期",1419970001)</f>
        <v>1419970001</v>
      </c>
      <c r="C8" s="2160">
        <v>45937</v>
      </c>
      <c r="D8" s="2161" t="str">
        <f t="shared" ca="1" si="0"/>
        <v>吴薇（注册号：1419970001）</v>
      </c>
      <c r="E8" s="2162" t="s">
        <v>2150</v>
      </c>
      <c r="F8" s="1219">
        <f ca="1">IF(G8&lt;B2,"已过期",2002110125)</f>
        <v>2002110125</v>
      </c>
      <c r="G8" s="2163">
        <v>47118</v>
      </c>
      <c r="H8" s="2164" t="str">
        <f t="shared" ca="1" si="1"/>
        <v>吴薇（注册号：2002110125）</v>
      </c>
    </row>
    <row r="9" spans="1:8" ht="24" customHeight="1">
      <c r="A9" s="1219" t="s">
        <v>2151</v>
      </c>
      <c r="B9" s="1219">
        <f ca="1">IF(C9&lt;B2,"已过期",1120060040)</f>
        <v>1120060040</v>
      </c>
      <c r="C9" s="2165">
        <v>45592</v>
      </c>
      <c r="D9" s="2161" t="str">
        <f t="shared" ca="1" si="0"/>
        <v>陈颖（注册号：1120060040）</v>
      </c>
      <c r="E9" s="2162" t="s">
        <v>2151</v>
      </c>
      <c r="F9" s="1219">
        <f ca="1">IF(G9&lt;B2,"已过期",2004110096)</f>
        <v>2004110096</v>
      </c>
      <c r="G9" s="2163">
        <v>47118</v>
      </c>
      <c r="H9" s="2164" t="str">
        <f t="shared" ca="1" si="1"/>
        <v>陈颖（注册号：2004110096）</v>
      </c>
    </row>
    <row r="10" spans="1:8" ht="24" customHeight="1">
      <c r="A10" s="1219" t="s">
        <v>2152</v>
      </c>
      <c r="B10" s="1219">
        <f ca="1">IF(C10&lt;B2,"已过期",1120100036)</f>
        <v>1120100036</v>
      </c>
      <c r="C10" s="2165">
        <v>45752</v>
      </c>
      <c r="D10" s="2161" t="str">
        <f t="shared" ca="1" si="0"/>
        <v>崔锴（注册号：1120100036）</v>
      </c>
      <c r="E10" s="2162" t="s">
        <v>2152</v>
      </c>
      <c r="F10" s="1219">
        <f ca="1">IF(G10&lt;B2,"已过期",2010110070)</f>
        <v>2010110070</v>
      </c>
      <c r="G10" s="2163">
        <v>47907</v>
      </c>
      <c r="H10" s="2164" t="str">
        <f t="shared" ca="1" si="1"/>
        <v>崔锴（注册号：2010110070）</v>
      </c>
    </row>
    <row r="11" spans="1:8" ht="24" customHeight="1">
      <c r="A11" s="1219" t="s">
        <v>2153</v>
      </c>
      <c r="B11" s="1219">
        <f ca="1">IF(C11&lt;B2,"已过期",1120070131)</f>
        <v>1120070131</v>
      </c>
      <c r="C11" s="2160">
        <v>45937</v>
      </c>
      <c r="D11" s="2161" t="str">
        <f t="shared" ca="1" si="0"/>
        <v>郑燚（注册号：1120070131）</v>
      </c>
      <c r="E11" s="2162" t="s">
        <v>2153</v>
      </c>
      <c r="F11" s="1219">
        <f ca="1">IF(G11&lt;B2,"已过期",2014110011)</f>
        <v>2014110011</v>
      </c>
      <c r="G11" s="2163">
        <v>49302</v>
      </c>
      <c r="H11" s="2164" t="str">
        <f t="shared" ca="1" si="1"/>
        <v>郑燚（注册号：2014110011）</v>
      </c>
    </row>
    <row r="12" spans="1:8" ht="24" customHeight="1">
      <c r="A12" s="1219" t="s">
        <v>2154</v>
      </c>
      <c r="B12" s="1219">
        <f ca="1">IF(C12&lt;B2,"已过期",1120040230)</f>
        <v>1120040230</v>
      </c>
      <c r="C12" s="2165">
        <v>45937</v>
      </c>
      <c r="D12" s="2161" t="str">
        <f t="shared" ca="1" si="0"/>
        <v>苏海（注册号：1120040230）</v>
      </c>
      <c r="E12" s="2162" t="s">
        <v>2154</v>
      </c>
      <c r="F12" s="1219">
        <f ca="1">IF(G12&lt;B2,"已过期",98030020)</f>
        <v>98030020</v>
      </c>
      <c r="G12" s="2163">
        <v>47118</v>
      </c>
      <c r="H12" s="2164" t="str">
        <f t="shared" ca="1" si="1"/>
        <v>苏海（注册号：98030020）</v>
      </c>
    </row>
    <row r="13" spans="1:8" ht="24" customHeight="1">
      <c r="A13" s="1219" t="s">
        <v>2155</v>
      </c>
      <c r="B13" s="1219">
        <f ca="1">IF(C13&lt;B2,"已过期",1120020033)</f>
        <v>1120020033</v>
      </c>
      <c r="C13" s="2160">
        <v>45375</v>
      </c>
      <c r="D13" s="2161" t="str">
        <f t="shared" ca="1" si="0"/>
        <v>刘敬东（注册号：1120020033）</v>
      </c>
      <c r="E13" s="2162" t="s">
        <v>2155</v>
      </c>
      <c r="F13" s="1219">
        <f ca="1">IF(G13&lt;B2,"已过期",2000110137)</f>
        <v>2000110137</v>
      </c>
      <c r="G13" s="2163">
        <v>46387</v>
      </c>
      <c r="H13" s="2164" t="str">
        <f t="shared" ca="1" si="1"/>
        <v>刘敬东（注册号：2000110137）</v>
      </c>
    </row>
    <row r="14" spans="1:8" ht="24" customHeight="1">
      <c r="A14" s="1219" t="s">
        <v>2156</v>
      </c>
      <c r="B14" s="1219" t="str">
        <f ca="1">IF(C14&lt;B2,"已过期",1119980106)</f>
        <v>已过期</v>
      </c>
      <c r="C14" s="2165">
        <v>44969</v>
      </c>
      <c r="D14" s="2161" t="str">
        <f t="shared" ca="1" si="0"/>
        <v>刘俊财（注册号：已过期）</v>
      </c>
      <c r="E14" s="2162" t="s">
        <v>2156</v>
      </c>
      <c r="F14" s="1219">
        <f ca="1">IF(G14&lt;B2,"已过期",96010063)</f>
        <v>96010063</v>
      </c>
      <c r="G14" s="2163">
        <v>47483</v>
      </c>
      <c r="H14" s="2164" t="str">
        <f t="shared" ca="1" si="1"/>
        <v>刘俊财（注册号：96010063）</v>
      </c>
    </row>
    <row r="15" spans="1:8" ht="24" customHeight="1">
      <c r="A15" s="1219" t="s">
        <v>2434</v>
      </c>
      <c r="B15" s="1219">
        <v>1120210056</v>
      </c>
      <c r="C15" s="2165">
        <v>45410</v>
      </c>
      <c r="D15" s="2161" t="str">
        <f t="shared" si="0"/>
        <v>宁小鳗（注册号：1120210056）</v>
      </c>
      <c r="E15" s="2162" t="s">
        <v>2157</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319" t="s">
        <v>2158</v>
      </c>
      <c r="B17" s="3319"/>
      <c r="C17" s="3319"/>
      <c r="D17" s="3319"/>
      <c r="E17" s="3319"/>
      <c r="F17" s="3319"/>
      <c r="G17" s="3319"/>
      <c r="H17" s="3319"/>
    </row>
    <row r="18" spans="1:8" ht="24" customHeight="1">
      <c r="A18" s="3320" t="s">
        <v>2159</v>
      </c>
      <c r="B18" s="3320"/>
      <c r="C18" s="3320"/>
      <c r="D18" s="2158"/>
      <c r="E18" s="3321" t="s">
        <v>2160</v>
      </c>
      <c r="F18" s="3320"/>
      <c r="G18" s="3320"/>
    </row>
    <row r="19" spans="1:8" s="2168" customFormat="1" ht="24" customHeight="1">
      <c r="A19" s="2167" t="s">
        <v>2161</v>
      </c>
      <c r="B19" s="1219" t="s">
        <v>2162</v>
      </c>
      <c r="C19" s="1219" t="s">
        <v>2141</v>
      </c>
      <c r="D19" s="2158"/>
      <c r="E19" s="2162" t="s">
        <v>2161</v>
      </c>
      <c r="F19" s="1219" t="s">
        <v>2162</v>
      </c>
      <c r="G19" s="1219" t="s">
        <v>2141</v>
      </c>
    </row>
    <row r="20" spans="1:8" s="2168" customFormat="1" ht="24" customHeight="1">
      <c r="A20" s="2169" t="s">
        <v>2163</v>
      </c>
      <c r="B20" s="2169" t="s">
        <v>2164</v>
      </c>
      <c r="C20" s="2163">
        <v>45898</v>
      </c>
      <c r="D20" s="2170"/>
      <c r="E20" s="2171" t="s">
        <v>2165</v>
      </c>
      <c r="F20" s="2174" t="s">
        <v>2435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85" priority="53">
      <formula>AND($C4-TODAY()&lt;30,TODAY()&lt;$C4)</formula>
    </cfRule>
  </conditionalFormatting>
  <conditionalFormatting sqref="C20:D20">
    <cfRule type="expression" dxfId="284" priority="52">
      <formula>AND($C20-TODAY()&lt;30,TODAY()&lt;$C20)</formula>
    </cfRule>
  </conditionalFormatting>
  <conditionalFormatting sqref="C20:D20 G4 C4:D5 C13:D13">
    <cfRule type="cellIs" dxfId="283" priority="54" stopIfTrue="1" operator="lessThan">
      <formula>$B$2</formula>
    </cfRule>
  </conditionalFormatting>
  <conditionalFormatting sqref="G5 G7 G9">
    <cfRule type="cellIs" dxfId="282" priority="51" stopIfTrue="1" operator="lessThan">
      <formula>$B$2</formula>
    </cfRule>
  </conditionalFormatting>
  <conditionalFormatting sqref="C6:D6 D14 D16">
    <cfRule type="expression" dxfId="281" priority="49">
      <formula>AND($C6-TODAY()&lt;30,TODAY()&lt;$C6)</formula>
    </cfRule>
  </conditionalFormatting>
  <conditionalFormatting sqref="G6 G8 G10 C6:D6 D7:D12 D14 D16">
    <cfRule type="cellIs" dxfId="280" priority="50" stopIfTrue="1" operator="lessThan">
      <formula>$B$2</formula>
    </cfRule>
  </conditionalFormatting>
  <conditionalFormatting sqref="D12">
    <cfRule type="expression" dxfId="279" priority="47">
      <formula>AND($C12-TODAY()&lt;30,TODAY()&lt;$C12)</formula>
    </cfRule>
  </conditionalFormatting>
  <conditionalFormatting sqref="D12">
    <cfRule type="cellIs" dxfId="278" priority="48" stopIfTrue="1" operator="lessThan">
      <formula>$B$2</formula>
    </cfRule>
  </conditionalFormatting>
  <conditionalFormatting sqref="C13:D13">
    <cfRule type="expression" dxfId="277" priority="45">
      <formula>AND($C13-TODAY()&lt;30,TODAY()&lt;$C13)</formula>
    </cfRule>
  </conditionalFormatting>
  <conditionalFormatting sqref="C13:D13">
    <cfRule type="cellIs" dxfId="276" priority="46" stopIfTrue="1" operator="lessThan">
      <formula>$B$2</formula>
    </cfRule>
  </conditionalFormatting>
  <conditionalFormatting sqref="D14">
    <cfRule type="expression" dxfId="275" priority="43">
      <formula>AND($C14-TODAY()&lt;30,TODAY()&lt;$C14)</formula>
    </cfRule>
  </conditionalFormatting>
  <conditionalFormatting sqref="D14">
    <cfRule type="cellIs" dxfId="274" priority="44" stopIfTrue="1" operator="lessThan">
      <formula>$B$2</formula>
    </cfRule>
  </conditionalFormatting>
  <conditionalFormatting sqref="G13">
    <cfRule type="cellIs" dxfId="273" priority="42" stopIfTrue="1" operator="lessThan">
      <formula>$B$2</formula>
    </cfRule>
  </conditionalFormatting>
  <conditionalFormatting sqref="B4:B11 F4:F11 B13 F13:F14">
    <cfRule type="cellIs" dxfId="272" priority="41" stopIfTrue="1" operator="equal">
      <formula>"已过期"</formula>
    </cfRule>
  </conditionalFormatting>
  <conditionalFormatting sqref="C7">
    <cfRule type="cellIs" dxfId="271" priority="38" stopIfTrue="1" operator="lessThan">
      <formula>$B$2</formula>
    </cfRule>
  </conditionalFormatting>
  <conditionalFormatting sqref="C7">
    <cfRule type="expression" dxfId="270" priority="37">
      <formula>AND($C7-TODAY()&lt;30,TODAY()&lt;$C7)</formula>
    </cfRule>
  </conditionalFormatting>
  <conditionalFormatting sqref="C8">
    <cfRule type="expression" dxfId="269" priority="35">
      <formula>AND($C8-TODAY()&lt;30,TODAY()&lt;$C8)</formula>
    </cfRule>
  </conditionalFormatting>
  <conditionalFormatting sqref="C8">
    <cfRule type="cellIs" dxfId="268" priority="36" stopIfTrue="1" operator="lessThan">
      <formula>$B$2</formula>
    </cfRule>
  </conditionalFormatting>
  <conditionalFormatting sqref="C11">
    <cfRule type="expression" dxfId="267" priority="33">
      <formula>AND($C11-TODAY()&lt;30,TODAY()&lt;$C11)</formula>
    </cfRule>
  </conditionalFormatting>
  <conditionalFormatting sqref="C11">
    <cfRule type="cellIs" dxfId="266" priority="34" stopIfTrue="1" operator="lessThan">
      <formula>$B$2</formula>
    </cfRule>
  </conditionalFormatting>
  <conditionalFormatting sqref="A16:C16">
    <cfRule type="cellIs" dxfId="265" priority="32" stopIfTrue="1" operator="equal">
      <formula>"已过期"</formula>
    </cfRule>
  </conditionalFormatting>
  <conditionalFormatting sqref="E16:G16">
    <cfRule type="cellIs" dxfId="264" priority="31" stopIfTrue="1" operator="equal">
      <formula>"已过期"</formula>
    </cfRule>
  </conditionalFormatting>
  <conditionalFormatting sqref="G11">
    <cfRule type="cellIs" dxfId="263" priority="30" stopIfTrue="1" operator="lessThan">
      <formula>$B$2</formula>
    </cfRule>
  </conditionalFormatting>
  <conditionalFormatting sqref="F12">
    <cfRule type="cellIs" dxfId="262" priority="29" stopIfTrue="1" operator="equal">
      <formula>"已过期"</formula>
    </cfRule>
  </conditionalFormatting>
  <conditionalFormatting sqref="G12">
    <cfRule type="cellIs" dxfId="261" priority="28" stopIfTrue="1" operator="lessThan">
      <formula>$B$2</formula>
    </cfRule>
  </conditionalFormatting>
  <conditionalFormatting sqref="C12">
    <cfRule type="cellIs" dxfId="260" priority="27" stopIfTrue="1" operator="lessThan">
      <formula>$B$2</formula>
    </cfRule>
  </conditionalFormatting>
  <conditionalFormatting sqref="C12">
    <cfRule type="expression" dxfId="259" priority="25">
      <formula>AND($C12-TODAY()&lt;30,TODAY()&lt;$C12)</formula>
    </cfRule>
  </conditionalFormatting>
  <conditionalFormatting sqref="C12">
    <cfRule type="cellIs" dxfId="258" priority="26" stopIfTrue="1" operator="lessThan">
      <formula>$B$2</formula>
    </cfRule>
  </conditionalFormatting>
  <conditionalFormatting sqref="B12">
    <cfRule type="cellIs" dxfId="257" priority="24" stopIfTrue="1" operator="equal">
      <formula>"已过期"</formula>
    </cfRule>
  </conditionalFormatting>
  <conditionalFormatting sqref="C9:C10">
    <cfRule type="expression" dxfId="256" priority="22">
      <formula>AND($C9-TODAY()&lt;30,TODAY()&lt;$C9)</formula>
    </cfRule>
  </conditionalFormatting>
  <conditionalFormatting sqref="C9:C10">
    <cfRule type="cellIs" dxfId="255" priority="23" stopIfTrue="1" operator="lessThan">
      <formula>$B$2</formula>
    </cfRule>
  </conditionalFormatting>
  <conditionalFormatting sqref="G21">
    <cfRule type="expression" dxfId="254" priority="20" stopIfTrue="1">
      <formula>AND(#REF!-TODAY()&lt;30,TODAY()&lt;#REF!)</formula>
    </cfRule>
  </conditionalFormatting>
  <conditionalFormatting sqref="G21">
    <cfRule type="cellIs" dxfId="253" priority="21" stopIfTrue="1" operator="lessThan">
      <formula>$B$2</formula>
    </cfRule>
  </conditionalFormatting>
  <conditionalFormatting sqref="C14">
    <cfRule type="expression" dxfId="252" priority="18">
      <formula>AND($C14-TODAY()&lt;30,TODAY()&lt;$C14)</formula>
    </cfRule>
  </conditionalFormatting>
  <conditionalFormatting sqref="C14">
    <cfRule type="cellIs" dxfId="251" priority="19" stopIfTrue="1" operator="lessThan">
      <formula>$B$2</formula>
    </cfRule>
  </conditionalFormatting>
  <conditionalFormatting sqref="C14">
    <cfRule type="expression" dxfId="250" priority="16">
      <formula>AND($C14-TODAY()&lt;30,TODAY()&lt;$C14)</formula>
    </cfRule>
  </conditionalFormatting>
  <conditionalFormatting sqref="C14">
    <cfRule type="cellIs" dxfId="249" priority="17" stopIfTrue="1" operator="lessThan">
      <formula>$B$2</formula>
    </cfRule>
  </conditionalFormatting>
  <conditionalFormatting sqref="B14">
    <cfRule type="cellIs" dxfId="248" priority="15" stopIfTrue="1" operator="equal">
      <formula>"已过期"</formula>
    </cfRule>
  </conditionalFormatting>
  <conditionalFormatting sqref="G14">
    <cfRule type="cellIs" dxfId="247" priority="14" stopIfTrue="1" operator="lessThan">
      <formula>$B$2</formula>
    </cfRule>
  </conditionalFormatting>
  <conditionalFormatting sqref="D15">
    <cfRule type="expression" dxfId="246" priority="12">
      <formula>AND($C15-TODAY()&lt;30,TODAY()&lt;$C15)</formula>
    </cfRule>
  </conditionalFormatting>
  <conditionalFormatting sqref="D15">
    <cfRule type="cellIs" dxfId="245" priority="13" stopIfTrue="1" operator="lessThan">
      <formula>$B$2</formula>
    </cfRule>
  </conditionalFormatting>
  <conditionalFormatting sqref="D15">
    <cfRule type="expression" dxfId="244" priority="10">
      <formula>AND($C15-TODAY()&lt;30,TODAY()&lt;$C15)</formula>
    </cfRule>
  </conditionalFormatting>
  <conditionalFormatting sqref="D15">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C15">
    <cfRule type="expression" dxfId="241" priority="7">
      <formula>AND($C15-TODAY()&lt;30,TODAY()&lt;$C15)</formula>
    </cfRule>
  </conditionalFormatting>
  <conditionalFormatting sqref="C15">
    <cfRule type="cellIs" dxfId="240" priority="8" stopIfTrue="1" operator="lessThan">
      <formula>$B$2</formula>
    </cfRule>
  </conditionalFormatting>
  <conditionalFormatting sqref="C15">
    <cfRule type="expression" dxfId="239" priority="5">
      <formula>AND($C15-TODAY()&lt;30,TODAY()&lt;$C15)</formula>
    </cfRule>
  </conditionalFormatting>
  <conditionalFormatting sqref="C15">
    <cfRule type="cellIs" dxfId="238" priority="6" stopIfTrue="1" operator="lessThan">
      <formula>$B$2</formula>
    </cfRule>
  </conditionalFormatting>
  <conditionalFormatting sqref="B15">
    <cfRule type="cellIs" dxfId="237" priority="4" stopIfTrue="1" operator="equal">
      <formula>"已过期"</formula>
    </cfRule>
  </conditionalFormatting>
  <conditionalFormatting sqref="G15">
    <cfRule type="cellIs" dxfId="236" priority="3" stopIfTrue="1" operator="lessThan">
      <formula>$B$2</formula>
    </cfRule>
  </conditionalFormatting>
  <conditionalFormatting sqref="G20">
    <cfRule type="expression" dxfId="235" priority="1" stopIfTrue="1">
      <formula>AND(#REF!-TODAY()&lt;30,TODAY()&lt;#REF!)</formula>
    </cfRule>
  </conditionalFormatting>
  <conditionalFormatting sqref="G20">
    <cfRule type="cellIs" dxfId="23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195</vt:i4>
      </vt:variant>
    </vt:vector>
  </HeadingPairs>
  <TitlesOfParts>
    <vt:vector size="2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比较法-住宅（标准房屋）</vt:lpstr>
      <vt:lpstr>比较法-住宅（建欣苑一里）</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比较法-住宅（建欣苑三里）</vt:lpstr>
      <vt:lpstr>比较法-住宅（建欣苑四里）</vt:lpstr>
      <vt:lpstr>成交案例</vt:lpstr>
      <vt:lpstr>参数</vt:lpstr>
      <vt:lpstr>参数!_GoBack</vt:lpstr>
      <vt:lpstr>'比较法-办公'!Print_Area</vt:lpstr>
      <vt:lpstr>'比较法-仓储'!Print_Area</vt:lpstr>
      <vt:lpstr>'比较法-车位'!Print_Area</vt:lpstr>
      <vt:lpstr>'比较法-工业'!Print_Area</vt:lpstr>
      <vt:lpstr>'比较法-商业'!Print_Area</vt:lpstr>
      <vt:lpstr>'比较法-住宅（标准房屋）'!Print_Area</vt:lpstr>
      <vt:lpstr>'比较法-住宅（建欣苑三里）'!Print_Area</vt:lpstr>
      <vt:lpstr>'比较法-住宅（建欣苑四里）'!Print_Area</vt:lpstr>
      <vt:lpstr>'比较法-住宅（建欣苑一里）'!Print_Area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'比较法-住宅（标准房屋）'!住宅朝向</vt:lpstr>
      <vt:lpstr>'比较法-住宅（建欣苑三里）'!住宅朝向</vt:lpstr>
      <vt:lpstr>'比较法-住宅（建欣苑四里）'!住宅朝向</vt:lpstr>
      <vt:lpstr>住宅朝向</vt:lpstr>
      <vt:lpstr>'比较法-住宅（标准房屋）'!住宅房型</vt:lpstr>
      <vt:lpstr>'比较法-住宅（建欣苑三里）'!住宅房型</vt:lpstr>
      <vt:lpstr>'比较法-住宅（建欣苑四里）'!住宅房型</vt:lpstr>
      <vt:lpstr>住宅房型</vt:lpstr>
      <vt:lpstr>'比较法-住宅（标准房屋）'!住宅公共部分装修</vt:lpstr>
      <vt:lpstr>'比较法-住宅（建欣苑三里）'!住宅公共部分装修</vt:lpstr>
      <vt:lpstr>'比较法-住宅（建欣苑四里）'!住宅公共部分装修</vt:lpstr>
      <vt:lpstr>住宅公共部分装修</vt:lpstr>
      <vt:lpstr>'比较法-住宅（标准房屋）'!住宅基础设施水平</vt:lpstr>
      <vt:lpstr>'比较法-住宅（建欣苑三里）'!住宅基础设施水平</vt:lpstr>
      <vt:lpstr>'比较法-住宅（建欣苑四里）'!住宅基础设施水平</vt:lpstr>
      <vt:lpstr>住宅基础设施水平</vt:lpstr>
      <vt:lpstr>'比较法-住宅（标准房屋）'!住宅建筑结构</vt:lpstr>
      <vt:lpstr>'比较法-住宅（建欣苑三里）'!住宅建筑结构</vt:lpstr>
      <vt:lpstr>'比较法-住宅（建欣苑四里）'!住宅建筑结构</vt:lpstr>
      <vt:lpstr>住宅建筑结构</vt:lpstr>
      <vt:lpstr>'比较法-住宅（标准房屋）'!住宅建筑类型</vt:lpstr>
      <vt:lpstr>'比较法-住宅（建欣苑三里）'!住宅建筑类型</vt:lpstr>
      <vt:lpstr>'比较法-住宅（建欣苑四里）'!住宅建筑类型</vt:lpstr>
      <vt:lpstr>住宅建筑类型</vt:lpstr>
      <vt:lpstr>'比较法-住宅（标准房屋）'!住宅建筑品质</vt:lpstr>
      <vt:lpstr>'比较法-住宅（建欣苑三里）'!住宅建筑品质</vt:lpstr>
      <vt:lpstr>'比较法-住宅（建欣苑四里）'!住宅建筑品质</vt:lpstr>
      <vt:lpstr>住宅建筑品质</vt:lpstr>
      <vt:lpstr>'比较法-住宅（标准房屋）'!住宅交易情况</vt:lpstr>
      <vt:lpstr>'比较法-住宅（建欣苑三里）'!住宅交易情况</vt:lpstr>
      <vt:lpstr>'比较法-住宅（建欣苑四里）'!住宅交易情况</vt:lpstr>
      <vt:lpstr>住宅交易情况</vt:lpstr>
      <vt:lpstr>'比较法-住宅（标准房屋）'!住宅楼层</vt:lpstr>
      <vt:lpstr>'比较法-住宅（建欣苑三里）'!住宅楼层</vt:lpstr>
      <vt:lpstr>'比较法-住宅（建欣苑四里）'!住宅楼层</vt:lpstr>
      <vt:lpstr>住宅楼层</vt:lpstr>
      <vt:lpstr>'比较法-住宅（标准房屋）'!住宅内部装修</vt:lpstr>
      <vt:lpstr>'比较法-住宅（建欣苑三里）'!住宅内部装修</vt:lpstr>
      <vt:lpstr>'比较法-住宅（建欣苑四里）'!住宅内部装修</vt:lpstr>
      <vt:lpstr>住宅内部装修</vt:lpstr>
      <vt:lpstr>'比较法-住宅（标准房屋）'!住宅物业管理</vt:lpstr>
      <vt:lpstr>'比较法-住宅（建欣苑三里）'!住宅物业管理</vt:lpstr>
      <vt:lpstr>'比较法-住宅（建欣苑四里）'!住宅物业管理</vt:lpstr>
      <vt:lpstr>住宅物业管理</vt:lpstr>
      <vt:lpstr>'比较法-住宅（标准房屋）'!住宅用途</vt:lpstr>
      <vt:lpstr>'比较法-住宅（建欣苑三里）'!住宅用途</vt:lpstr>
      <vt:lpstr>'比较法-住宅（建欣苑四里）'!住宅用途</vt:lpstr>
      <vt:lpstr>住宅用途</vt:lpstr>
      <vt:lpstr>'比较法-住宅（标准房屋）'!住宅主力户型面积</vt:lpstr>
      <vt:lpstr>'比较法-住宅（建欣苑三里）'!住宅主力户型面积</vt:lpstr>
      <vt:lpstr>'比较法-住宅（建欣苑四里）'!住宅主力户型面积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2023-10-23T08:58:02Z</dcterms:modified>
</cp:coreProperties>
</file>